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grau/Projects/work/xai-budgeting/data/raw/"/>
    </mc:Choice>
  </mc:AlternateContent>
  <xr:revisionPtr revIDLastSave="0" documentId="13_ncr:1_{E828DB19-E635-C14F-A7F7-E3504210561D}" xr6:coauthVersionLast="47" xr6:coauthVersionMax="47" xr10:uidLastSave="{00000000-0000-0000-0000-000000000000}"/>
  <bookViews>
    <workbookView xWindow="0" yWindow="1780" windowWidth="28720" windowHeight="13620" tabRatio="887" firstSheet="16" activeTab="15" xr2:uid="{00000000-000D-0000-FFFF-FFFF00000000}"/>
  </bookViews>
  <sheets>
    <sheet name="ZH HRM2" sheetId="68" r:id="rId1"/>
    <sheet name="BE HRM1" sheetId="34" r:id="rId2"/>
    <sheet name="LU HRM2" sheetId="24" r:id="rId3"/>
    <sheet name="UR HRM2" sheetId="23" r:id="rId4"/>
    <sheet name="SZ HRM1" sheetId="44" r:id="rId5"/>
    <sheet name="OW HRM2" sheetId="32" r:id="rId6"/>
    <sheet name="NW HRM2" sheetId="17" r:id="rId7"/>
    <sheet name="GL HRM2" sheetId="20" r:id="rId8"/>
    <sheet name="ZG HRM2" sheetId="26" r:id="rId9"/>
    <sheet name="FR HRM2" sheetId="28" r:id="rId10"/>
    <sheet name="SO HRM2" sheetId="21" r:id="rId11"/>
    <sheet name="BS HRM1" sheetId="45" r:id="rId12"/>
    <sheet name="BS HRM2" sheetId="29" r:id="rId13"/>
    <sheet name="BL HRM2" sheetId="19" r:id="rId14"/>
    <sheet name="SH HRM1" sheetId="47" r:id="rId15"/>
    <sheet name="AR HRM1" sheetId="48" r:id="rId16"/>
    <sheet name="AR HRM2" sheetId="33" r:id="rId17"/>
    <sheet name="AI HRM1" sheetId="49" r:id="rId18"/>
    <sheet name="SG HRM1" sheetId="50" r:id="rId19"/>
    <sheet name="SG HRM2" sheetId="36" r:id="rId20"/>
    <sheet name="GR HRM1" sheetId="51" r:id="rId21"/>
    <sheet name="GR HRM2" sheetId="31" r:id="rId22"/>
    <sheet name="AG HRM1" sheetId="67" r:id="rId23"/>
    <sheet name="AG HRM2" sheetId="35" r:id="rId24"/>
    <sheet name="TG HRM2" sheetId="25" r:id="rId25"/>
    <sheet name="TI MCH1" sheetId="53" r:id="rId26"/>
    <sheet name="TI MCH2" sheetId="38" r:id="rId27"/>
    <sheet name="VD MCH1" sheetId="54" r:id="rId28"/>
    <sheet name="VD MCH2" sheetId="39" r:id="rId29"/>
    <sheet name="VS MCH1" sheetId="55" r:id="rId30"/>
    <sheet name="NE MCH1" sheetId="56" r:id="rId31"/>
    <sheet name="GE MCH1" sheetId="57" r:id="rId32"/>
    <sheet name="GE IPSAS" sheetId="41" r:id="rId33"/>
    <sheet name="JU MCH2" sheetId="22" r:id="rId34"/>
    <sheet name="Rechnung 2012" sheetId="58" r:id="rId35"/>
    <sheet name="Budget 2013" sheetId="59" r:id="rId36"/>
    <sheet name="Rechnung 2013" sheetId="60" r:id="rId37"/>
    <sheet name="Budget 2014" sheetId="69" r:id="rId38"/>
    <sheet name="Übersicht Saldo L. R. " sheetId="62" r:id="rId39"/>
    <sheet name="Finanzierungsfehlbetrag" sheetId="63" r:id="rId40"/>
    <sheet name="Selbstfinanzierungsgrad" sheetId="64" r:id="rId41"/>
    <sheet name="CHF" sheetId="43" r:id="rId42"/>
    <sheet name="CHD" sheetId="65" r:id="rId43"/>
  </sheets>
  <externalReferences>
    <externalReference r:id="rId44"/>
    <externalReference r:id="rId45"/>
  </externalReferences>
  <definedNames>
    <definedName name="_xlnm._FilterDatabase" localSheetId="38" hidden="1">'Übersicht Saldo L. R. '!$A$2:$F$32</definedName>
    <definedName name="Abschluss_d" localSheetId="37">'Budget 2014'!$A$3:$E$36</definedName>
    <definedName name="Abschluss_d" localSheetId="39">Finanzierungsfehlbetrag!$A$2:$E$35</definedName>
    <definedName name="Abschluss_d" localSheetId="34">'Rechnung 2012'!$A$3:$E$36</definedName>
    <definedName name="Abschluss_d" localSheetId="36">'Rechnung 2013'!$A$3:$F$36</definedName>
    <definedName name="Abschluss_d" localSheetId="40">Selbstfinanzierungsgrad!$A$2:$E$34</definedName>
    <definedName name="Abschluss_d" localSheetId="38">'Übersicht Saldo L. R. '!$A$2:$E$36</definedName>
    <definedName name="Abschluss_d">'Budget 2013'!$A$3:$E$36</definedName>
    <definedName name="Abschluss_f" localSheetId="22">'Budget 2013'!#REF!</definedName>
    <definedName name="Abschluss_f" localSheetId="37">'Budget 2014'!#REF!</definedName>
    <definedName name="Abschluss_f" localSheetId="42">'Budget 2013'!#REF!</definedName>
    <definedName name="Abschluss_f" localSheetId="39">Finanzierungsfehlbetrag!$H$2:$M$35</definedName>
    <definedName name="Abschluss_f" localSheetId="34">'Rechnung 2012'!#REF!</definedName>
    <definedName name="Abschluss_f" localSheetId="36">'Rechnung 2013'!#REF!</definedName>
    <definedName name="Abschluss_f" localSheetId="40">Selbstfinanzierungsgrad!$H$2:$M$34</definedName>
    <definedName name="Abschluss_f" localSheetId="38">'Übersicht Saldo L. R. '!$G$2:$G$36</definedName>
    <definedName name="Abschluss_f">'Budget 2013'!#REF!</definedName>
    <definedName name="Abschluss_g" localSheetId="22">'Budget 2013'!#REF!</definedName>
    <definedName name="Abschluss_g" localSheetId="37">'[1]Ergebnisse Spalte E'!#REF!</definedName>
    <definedName name="Abschluss_g" localSheetId="42">'Budget 2013'!#REF!</definedName>
    <definedName name="Abschluss_g">'Budget 2013'!#REF!</definedName>
    <definedName name="ErgC">'Rechnung 2012'!$A$1:$F$38</definedName>
    <definedName name="ErgE">'Budget 2013'!$A$1:$E$38</definedName>
    <definedName name="ErgG">'Rechnung 2013'!$A$1:$E$37</definedName>
    <definedName name="ErgI" localSheetId="37">'Budget 2014'!$A$1:$E$38</definedName>
    <definedName name="ErgI">#REF!</definedName>
    <definedName name="FI">Finanzierungsfehlbetrag!$A$1:$F$37</definedName>
    <definedName name="find">Finanzierungsfehlbetrag!$A$1:$F$33</definedName>
    <definedName name="Grad" localSheetId="22">'[2]ab 04'!#REF!</definedName>
    <definedName name="Grad" localSheetId="37">'[1]ab 04'!#REF!</definedName>
    <definedName name="Grad" localSheetId="42">'[2]ab 04'!#REF!</definedName>
    <definedName name="Grad">'[2]ab 04'!#REF!</definedName>
    <definedName name="kantone" localSheetId="22">'[2]ab 04'!#REF!</definedName>
    <definedName name="kantone" localSheetId="37">'[1]ab 04'!#REF!</definedName>
    <definedName name="kantone" localSheetId="42">'[2]ab 04'!#REF!</definedName>
    <definedName name="kantone" localSheetId="39">'[2]ab 04'!#REF!</definedName>
    <definedName name="kantone" localSheetId="40">'[2]ab 04'!#REF!</definedName>
    <definedName name="kantone" localSheetId="38">'[2]ab 04'!#REF!</definedName>
    <definedName name="kantone">'[2]ab 04'!#REF!</definedName>
    <definedName name="LR" localSheetId="22">'[2]ab 04'!#REF!</definedName>
    <definedName name="LR" localSheetId="37">'[1]ab 04'!#REF!</definedName>
    <definedName name="LR" localSheetId="42">'[2]ab 04'!#REF!</definedName>
    <definedName name="LR" localSheetId="39">'[2]ab 04'!#REF!</definedName>
    <definedName name="LR" localSheetId="40">'[2]ab 04'!#REF!</definedName>
    <definedName name="LR">'[2]ab 04'!#REF!</definedName>
    <definedName name="LRd">'Übersicht Saldo L. R. '!$A$1:$F$32</definedName>
    <definedName name="md">'Rechnung 2012'!$A$3:$F$37</definedName>
    <definedName name="mf" localSheetId="22">'Rechnung 2012'!#REF!</definedName>
    <definedName name="mf" localSheetId="37">'[1]Ergebnisse Spalte C'!#REF!</definedName>
    <definedName name="mf" localSheetId="42">'Rechnung 2012'!#REF!</definedName>
    <definedName name="mf">'Rechnung 2012'!#REF!</definedName>
    <definedName name="Nameeinf" localSheetId="39">'[2]ab 04'!#REF!</definedName>
    <definedName name="Nameeinf" localSheetId="40">'[2]ab 04'!#REF!</definedName>
    <definedName name="od" localSheetId="37">'Budget 2014'!$A$3:$E$35</definedName>
    <definedName name="od">#REF!</definedName>
    <definedName name="of" localSheetId="22">#REF!</definedName>
    <definedName name="of" localSheetId="37">'Budget 2014'!#REF!</definedName>
    <definedName name="of" localSheetId="42">#REF!</definedName>
    <definedName name="of">#REF!</definedName>
    <definedName name="_xlnm.Print_Area" localSheetId="22">'AG HRM1'!#REF!</definedName>
    <definedName name="_xlnm.Print_Area" localSheetId="17">'AI HRM1'!#REF!</definedName>
    <definedName name="_xlnm.Print_Area" localSheetId="35">'Budget 2013'!$A$2:$E$37</definedName>
    <definedName name="_xlnm.Print_Area" localSheetId="37">'Budget 2014'!$A$2:$E$36</definedName>
    <definedName name="_xlnm.Print_Area" localSheetId="39">Finanzierungsfehlbetrag!$A$1:$F$37</definedName>
    <definedName name="_xlnm.Print_Area" localSheetId="31">'GE MCH1'!#REF!</definedName>
    <definedName name="_xlnm.Print_Area" localSheetId="20">'GR HRM1'!#REF!</definedName>
    <definedName name="_xlnm.Print_Area" localSheetId="30">'NE MCH1'!#REF!</definedName>
    <definedName name="_xlnm.Print_Area" localSheetId="5">'OW HRM2'!$A$1:$G$186</definedName>
    <definedName name="_xlnm.Print_Area" localSheetId="34">'Rechnung 2012'!$A$2:$E$37</definedName>
    <definedName name="_xlnm.Print_Area" localSheetId="36">'Rechnung 2013'!$A$2:$E$37</definedName>
    <definedName name="_xlnm.Print_Area" localSheetId="40">Selbstfinanzierungsgrad!$A$1:$F$37</definedName>
    <definedName name="_xlnm.Print_Area" localSheetId="18">'SG HRM1'!#REF!</definedName>
    <definedName name="_xlnm.Print_Area" localSheetId="25">'TI MCH1'!#REF!</definedName>
    <definedName name="_xlnm.Print_Area" localSheetId="38">'Übersicht Saldo L. R. '!$A$1:$F$37</definedName>
    <definedName name="_xlnm.Print_Area" localSheetId="27">'VD MCH1'!#REF!</definedName>
    <definedName name="_xlnm.Print_Area" localSheetId="29">'VS MCH1'!#REF!</definedName>
    <definedName name="_xlnm.Print_Area" localSheetId="0">'ZH HRM2'!$A$1:$G$108</definedName>
    <definedName name="_xlnm.Print_Titles" localSheetId="22">'AG HRM1'!#REF!</definedName>
    <definedName name="_xlnm.Print_Titles" localSheetId="23">'AG HRM2'!$1:$2</definedName>
    <definedName name="_xlnm.Print_Titles" localSheetId="17">'AI HRM1'!#REF!</definedName>
    <definedName name="_xlnm.Print_Titles" localSheetId="16">'AR HRM2'!$1:$2</definedName>
    <definedName name="_xlnm.Print_Titles" localSheetId="13">'BL HRM2'!$1:$2</definedName>
    <definedName name="_xlnm.Print_Titles" localSheetId="12">'BS HRM2'!$1:$2</definedName>
    <definedName name="_xlnm.Print_Titles" localSheetId="9">'FR HRM2'!$1:$2</definedName>
    <definedName name="_xlnm.Print_Titles" localSheetId="32">'GE IPSAS'!$1:$2</definedName>
    <definedName name="_xlnm.Print_Titles" localSheetId="31">'GE MCH1'!#REF!</definedName>
    <definedName name="_xlnm.Print_Titles" localSheetId="7">'GL HRM2'!$1:$2</definedName>
    <definedName name="_xlnm.Print_Titles" localSheetId="20">'GR HRM1'!#REF!</definedName>
    <definedName name="_xlnm.Print_Titles" localSheetId="21">'GR HRM2'!$1:$2</definedName>
    <definedName name="_xlnm.Print_Titles" localSheetId="33">'JU MCH2'!$1:$2</definedName>
    <definedName name="_xlnm.Print_Titles" localSheetId="2">'LU HRM2'!$1:$2</definedName>
    <definedName name="_xlnm.Print_Titles" localSheetId="30">'NE MCH1'!#REF!</definedName>
    <definedName name="_xlnm.Print_Titles" localSheetId="6">'NW HRM2'!$1:$2</definedName>
    <definedName name="_xlnm.Print_Titles" localSheetId="5">'OW HRM2'!$1:$2</definedName>
    <definedName name="_xlnm.Print_Titles" localSheetId="18">'SG HRM1'!#REF!</definedName>
    <definedName name="_xlnm.Print_Titles" localSheetId="19">'SG HRM2'!$1:$2</definedName>
    <definedName name="_xlnm.Print_Titles" localSheetId="10">'SO HRM2'!$1:$2</definedName>
    <definedName name="_xlnm.Print_Titles" localSheetId="24">'TG HRM2'!$1:$2</definedName>
    <definedName name="_xlnm.Print_Titles" localSheetId="25">'TI MCH1'!#REF!</definedName>
    <definedName name="_xlnm.Print_Titles" localSheetId="26">'TI MCH2'!$1:$2</definedName>
    <definedName name="_xlnm.Print_Titles" localSheetId="3">'UR HRM2'!$1:$2</definedName>
    <definedName name="_xlnm.Print_Titles" localSheetId="27">'VD MCH1'!#REF!</definedName>
    <definedName name="_xlnm.Print_Titles" localSheetId="28">'VD MCH2'!$1:$2</definedName>
    <definedName name="_xlnm.Print_Titles" localSheetId="29">'VS MCH1'!#REF!</definedName>
    <definedName name="_xlnm.Print_Titles" localSheetId="8">'ZG HRM2'!$1:$2</definedName>
    <definedName name="_xlnm.Print_Titles" localSheetId="0">'ZH HRM2'!$A:$C,'ZH HRM2'!$1:$2</definedName>
    <definedName name="qd">'Budget 2013'!$A$3:$E$35</definedName>
    <definedName name="qf" localSheetId="22">'Budget 2013'!#REF!</definedName>
    <definedName name="qf" localSheetId="37">'[1]Ergebnisse Spalte E'!#REF!</definedName>
    <definedName name="qf" localSheetId="42">'Budget 2013'!#REF!</definedName>
    <definedName name="qf">'Budget 2013'!#REF!</definedName>
    <definedName name="Saldo">'Übersicht Saldo L. R. '!$A$1:$F$36</definedName>
    <definedName name="SaldoLR">'Übersicht Saldo L. R. '!$A$6:$F$32</definedName>
    <definedName name="sd">'Rechnung 2013'!$A$3:$E$35</definedName>
    <definedName name="SF">Selbstfinanzierungsgrad!$A$1:$F$35</definedName>
    <definedName name="SF_GradR" localSheetId="22">'[2]ab 04'!#REF!</definedName>
    <definedName name="SF_GradR" localSheetId="35">'Budget 2013'!$A$3:$E$36</definedName>
    <definedName name="SF_GradR" localSheetId="37">'Budget 2014'!$A$3:$E$36</definedName>
    <definedName name="SF_GradR" localSheetId="42">'[2]ab 04'!#REF!</definedName>
    <definedName name="SF_GradR" localSheetId="39">Finanzierungsfehlbetrag!$A$2:$E$35</definedName>
    <definedName name="SF_GradR" localSheetId="34">'Rechnung 2012'!$A$3:$E$36</definedName>
    <definedName name="SF_GradR" localSheetId="36">'Rechnung 2013'!$A$3:$F$36</definedName>
    <definedName name="SF_GradR" localSheetId="40">Selbstfinanzierungsgrad!$A$2:$E$34</definedName>
    <definedName name="SF_GradR" localSheetId="38">'Übersicht Saldo L. R. '!$A$2:$E$36</definedName>
    <definedName name="SF_GradR">'[2]ab 04'!#REF!</definedName>
    <definedName name="SFd">Selbstfinanzierungsgrad!$A$1:$F$32</definedName>
    <definedName name="SFmitohne" localSheetId="39">'[2]ab 04'!#REF!</definedName>
    <definedName name="SFmitohne" localSheetId="40">'[2]ab 04'!#REF!</definedName>
    <definedName name="Text" localSheetId="39">'[2]ab 04'!#REF!</definedName>
    <definedName name="Text" localSheetId="40">'[2]ab 04'!#REF!</definedName>
    <definedName name="TIFI">Finanzierungsfehlbetrag!$A$2:$F$5</definedName>
    <definedName name="TILR">'Übersicht Saldo L. R. '!$A$2:$F$5</definedName>
    <definedName name="TISF">Selbstfinanzierungsgrad!$A$2:$F$5</definedName>
    <definedName name="Umfrage" localSheetId="39">'[2]ab 04'!#REF!</definedName>
    <definedName name="Umfrage" localSheetId="40">'[2]ab 04'!#REF!</definedName>
    <definedName name="Verweis" localSheetId="39">'[2]ab 04'!#REF!</definedName>
    <definedName name="Verweis" localSheetId="40">'[2]ab 04'!#REF!</definedName>
    <definedName name="ZIANT" localSheetId="39">'[2]ab 04'!#REF!</definedName>
    <definedName name="ZIANT" localSheetId="40">'[2]ab 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3" i="68" l="1"/>
  <c r="E183" i="68"/>
  <c r="G180" i="68"/>
  <c r="E180" i="68"/>
  <c r="G171" i="68"/>
  <c r="F171" i="68"/>
  <c r="E171" i="68"/>
  <c r="D171" i="68"/>
  <c r="G170" i="68"/>
  <c r="F170" i="68"/>
  <c r="E170" i="68"/>
  <c r="D170" i="68"/>
  <c r="G168" i="68"/>
  <c r="F168" i="68"/>
  <c r="E168" i="68"/>
  <c r="D168" i="68"/>
  <c r="G163" i="68"/>
  <c r="F163" i="68"/>
  <c r="E163" i="68"/>
  <c r="D163" i="68"/>
  <c r="G156" i="68"/>
  <c r="F156" i="68"/>
  <c r="E156" i="68"/>
  <c r="D156" i="68"/>
  <c r="G147" i="68"/>
  <c r="E147" i="68"/>
  <c r="G140" i="68"/>
  <c r="F140" i="68"/>
  <c r="E140" i="68"/>
  <c r="D140" i="68"/>
  <c r="G134" i="68"/>
  <c r="F134" i="68"/>
  <c r="E134" i="68"/>
  <c r="D134" i="68"/>
  <c r="D133" i="68" s="1"/>
  <c r="D147" i="68" s="1"/>
  <c r="F123" i="68"/>
  <c r="D123" i="68"/>
  <c r="F122" i="68"/>
  <c r="F121" i="68" s="1"/>
  <c r="F159" i="68" s="1"/>
  <c r="F161" i="68" s="1"/>
  <c r="D122" i="68"/>
  <c r="D121" i="68" s="1"/>
  <c r="D159" i="68" s="1"/>
  <c r="D161" i="68" s="1"/>
  <c r="G121" i="68"/>
  <c r="G159" i="68" s="1"/>
  <c r="G161" i="68" s="1"/>
  <c r="E121" i="68"/>
  <c r="E159" i="68" s="1"/>
  <c r="E161" i="68" s="1"/>
  <c r="G117" i="68"/>
  <c r="F117" i="68"/>
  <c r="E117" i="68"/>
  <c r="D117" i="68"/>
  <c r="F113" i="68"/>
  <c r="F112" i="68" s="1"/>
  <c r="D113" i="68"/>
  <c r="D112" i="68" s="1"/>
  <c r="D111" i="68" s="1"/>
  <c r="G112" i="68"/>
  <c r="G111" i="68" s="1"/>
  <c r="E112" i="68"/>
  <c r="E111" i="68" s="1"/>
  <c r="G106" i="68"/>
  <c r="F106" i="68"/>
  <c r="E106" i="68"/>
  <c r="D106" i="68"/>
  <c r="G95" i="68"/>
  <c r="G107" i="68" s="1"/>
  <c r="F95" i="68"/>
  <c r="F107" i="68" s="1"/>
  <c r="E95" i="68"/>
  <c r="E107" i="68" s="1"/>
  <c r="E108" i="68" s="1"/>
  <c r="D95" i="68"/>
  <c r="D107" i="68" s="1"/>
  <c r="G76" i="68"/>
  <c r="F76" i="68"/>
  <c r="E76" i="68"/>
  <c r="D76" i="68"/>
  <c r="G55" i="68"/>
  <c r="G166" i="68" s="1"/>
  <c r="F55" i="68"/>
  <c r="F166" i="68" s="1"/>
  <c r="E55" i="68"/>
  <c r="E166" i="68" s="1"/>
  <c r="D55" i="68"/>
  <c r="G23" i="68"/>
  <c r="F23" i="68"/>
  <c r="E23" i="68"/>
  <c r="D23" i="68"/>
  <c r="G22" i="68"/>
  <c r="F22" i="68"/>
  <c r="E22" i="68"/>
  <c r="D22" i="68"/>
  <c r="G21" i="68"/>
  <c r="G78" i="68" s="1"/>
  <c r="G178" i="68" s="1"/>
  <c r="F21" i="68"/>
  <c r="F78" i="68" s="1"/>
  <c r="F178" i="68" s="1"/>
  <c r="E21" i="68"/>
  <c r="E78" i="68" s="1"/>
  <c r="E178" i="68" s="1"/>
  <c r="D21" i="68"/>
  <c r="D78" i="68" s="1"/>
  <c r="D178" i="68" s="1"/>
  <c r="F16" i="68"/>
  <c r="D16" i="68"/>
  <c r="F111" i="68" l="1"/>
  <c r="F167" i="68" s="1"/>
  <c r="G181" i="68"/>
  <c r="G184" i="68"/>
  <c r="G172" i="68" s="1"/>
  <c r="F36" i="68"/>
  <c r="F79" i="68" s="1"/>
  <c r="G36" i="68"/>
  <c r="E184" i="68"/>
  <c r="E172" i="68" s="1"/>
  <c r="D179" i="68"/>
  <c r="D164" i="68"/>
  <c r="F37" i="68"/>
  <c r="F56" i="68" s="1"/>
  <c r="F77" i="68" s="1"/>
  <c r="F150" i="68" s="1"/>
  <c r="F152" i="68" s="1"/>
  <c r="F180" i="68"/>
  <c r="F183" i="68"/>
  <c r="F184" i="68" s="1"/>
  <c r="F172" i="68" s="1"/>
  <c r="E181" i="68"/>
  <c r="E177" i="68"/>
  <c r="E36" i="68"/>
  <c r="G108" i="68"/>
  <c r="D183" i="68"/>
  <c r="D184" i="68" s="1"/>
  <c r="D172" i="68" s="1"/>
  <c r="D180" i="68"/>
  <c r="G179" i="68"/>
  <c r="G164" i="68"/>
  <c r="D177" i="68"/>
  <c r="D36" i="68"/>
  <c r="D181" i="68"/>
  <c r="F108" i="68"/>
  <c r="D108" i="68"/>
  <c r="G182" i="68"/>
  <c r="G186" i="68" s="1"/>
  <c r="G185" i="68"/>
  <c r="D166" i="68"/>
  <c r="E131" i="68"/>
  <c r="E167" i="68"/>
  <c r="E158" i="68"/>
  <c r="E160" i="68" s="1"/>
  <c r="E164" i="68"/>
  <c r="E179" i="68"/>
  <c r="F179" i="68"/>
  <c r="F164" i="68"/>
  <c r="G158" i="68"/>
  <c r="G160" i="68" s="1"/>
  <c r="G167" i="68"/>
  <c r="G131" i="68"/>
  <c r="D167" i="68"/>
  <c r="D131" i="68"/>
  <c r="D158" i="68"/>
  <c r="D160" i="68" s="1"/>
  <c r="F131" i="68"/>
  <c r="D162" i="68"/>
  <c r="G177" i="68"/>
  <c r="F181" i="68"/>
  <c r="F177" i="68"/>
  <c r="F133" i="68"/>
  <c r="G79" i="68" l="1"/>
  <c r="G37" i="68"/>
  <c r="G56" i="68" s="1"/>
  <c r="G77" i="68" s="1"/>
  <c r="G150" i="68" s="1"/>
  <c r="G152" i="68" s="1"/>
  <c r="G153" i="68"/>
  <c r="E162" i="68"/>
  <c r="F153" i="68"/>
  <c r="F185" i="68"/>
  <c r="F182" i="68"/>
  <c r="F186" i="68" s="1"/>
  <c r="D165" i="68"/>
  <c r="D169" i="68"/>
  <c r="D157" i="68"/>
  <c r="F147" i="68"/>
  <c r="F158" i="68"/>
  <c r="E37" i="68"/>
  <c r="E56" i="68" s="1"/>
  <c r="E77" i="68" s="1"/>
  <c r="E150" i="68" s="1"/>
  <c r="E151" i="68" s="1"/>
  <c r="E79" i="68"/>
  <c r="G151" i="68"/>
  <c r="G169" i="68"/>
  <c r="G157" i="68"/>
  <c r="G165" i="68"/>
  <c r="D185" i="68"/>
  <c r="D182" i="68"/>
  <c r="D186" i="68" s="1"/>
  <c r="E169" i="68"/>
  <c r="E165" i="68"/>
  <c r="E157" i="68"/>
  <c r="F154" i="68"/>
  <c r="F155" i="68"/>
  <c r="G162" i="68"/>
  <c r="G154" i="68"/>
  <c r="G155" i="68"/>
  <c r="F169" i="68"/>
  <c r="F165" i="68"/>
  <c r="F157" i="68"/>
  <c r="F151" i="68"/>
  <c r="D79" i="68"/>
  <c r="D37" i="68"/>
  <c r="D56" i="68" s="1"/>
  <c r="D77" i="68" s="1"/>
  <c r="D150" i="68" s="1"/>
  <c r="E185" i="68"/>
  <c r="E182" i="68"/>
  <c r="E186" i="68" s="1"/>
  <c r="D155" i="68" l="1"/>
  <c r="D154" i="68"/>
  <c r="D152" i="68"/>
  <c r="E155" i="68"/>
  <c r="E154" i="68"/>
  <c r="E152" i="68"/>
  <c r="E153" i="68"/>
  <c r="F160" i="68"/>
  <c r="F162" i="68"/>
  <c r="D153" i="68"/>
  <c r="D151" i="68"/>
  <c r="E183" i="41" l="1"/>
  <c r="F183" i="41"/>
  <c r="G183" i="41"/>
  <c r="D183" i="41"/>
  <c r="E183" i="39"/>
  <c r="F183" i="39"/>
  <c r="G183" i="39"/>
  <c r="D183" i="39"/>
  <c r="E183" i="38"/>
  <c r="F183" i="38"/>
  <c r="G183" i="38"/>
  <c r="D183" i="38"/>
  <c r="E183" i="25"/>
  <c r="D183" i="25"/>
  <c r="E183" i="35"/>
  <c r="F183" i="35"/>
  <c r="G183" i="35"/>
  <c r="D183" i="35"/>
  <c r="E183" i="31"/>
  <c r="F183" i="31"/>
  <c r="G183" i="31"/>
  <c r="D183" i="31"/>
  <c r="F183" i="36"/>
  <c r="E183" i="36"/>
  <c r="D183" i="36"/>
  <c r="G183" i="36"/>
  <c r="F183" i="33"/>
  <c r="G183" i="33"/>
  <c r="E183" i="33"/>
  <c r="E183" i="19"/>
  <c r="F183" i="19"/>
  <c r="G183" i="19"/>
  <c r="D183" i="19"/>
  <c r="E183" i="29"/>
  <c r="E183" i="21"/>
  <c r="F183" i="21"/>
  <c r="G183" i="21"/>
  <c r="D183" i="21"/>
  <c r="E183" i="28"/>
  <c r="F183" i="28"/>
  <c r="G183" i="28"/>
  <c r="D183" i="28"/>
  <c r="E183" i="26"/>
  <c r="F183" i="26"/>
  <c r="G183" i="26"/>
  <c r="D183" i="26"/>
  <c r="E183" i="20"/>
  <c r="F183" i="20"/>
  <c r="G183" i="20"/>
  <c r="D183" i="20"/>
  <c r="E183" i="17"/>
  <c r="F183" i="17"/>
  <c r="G183" i="17"/>
  <c r="D183" i="17"/>
  <c r="E183" i="32"/>
  <c r="F183" i="32"/>
  <c r="G183" i="32"/>
  <c r="D183" i="32"/>
  <c r="E183" i="24"/>
  <c r="F183" i="24"/>
  <c r="G183" i="24"/>
  <c r="E183" i="23"/>
  <c r="F183" i="23"/>
  <c r="G183" i="23"/>
  <c r="D183" i="24"/>
  <c r="D183" i="23"/>
  <c r="I38" i="57" l="1"/>
  <c r="G38" i="57"/>
  <c r="H38" i="57" s="1"/>
  <c r="F38" i="57"/>
  <c r="E38" i="57"/>
  <c r="C38" i="57"/>
  <c r="D38" i="57" s="1"/>
  <c r="H37" i="57"/>
  <c r="F37" i="57"/>
  <c r="D37" i="57"/>
  <c r="H36" i="57"/>
  <c r="F36" i="57"/>
  <c r="D36" i="57"/>
  <c r="I35" i="57"/>
  <c r="I39" i="57" s="1"/>
  <c r="G35" i="57"/>
  <c r="F35" i="57" s="1"/>
  <c r="E35" i="57"/>
  <c r="E39" i="57" s="1"/>
  <c r="C35" i="57"/>
  <c r="D35" i="57" s="1"/>
  <c r="H34" i="57"/>
  <c r="F34" i="57"/>
  <c r="D34" i="57"/>
  <c r="H33" i="57"/>
  <c r="F33" i="57"/>
  <c r="D33" i="57"/>
  <c r="H32" i="57"/>
  <c r="F32" i="57"/>
  <c r="D32" i="57"/>
  <c r="I29" i="57"/>
  <c r="I30" i="57" s="1"/>
  <c r="I40" i="57" s="1"/>
  <c r="G29" i="57"/>
  <c r="E29" i="57"/>
  <c r="E30" i="57" s="1"/>
  <c r="E40" i="57" s="1"/>
  <c r="C29" i="57"/>
  <c r="H28" i="57"/>
  <c r="F28" i="57"/>
  <c r="D28" i="57"/>
  <c r="H27" i="57"/>
  <c r="F27" i="57"/>
  <c r="D27" i="57"/>
  <c r="H26" i="57"/>
  <c r="F26" i="57"/>
  <c r="D26" i="57"/>
  <c r="H25" i="57"/>
  <c r="F25" i="57"/>
  <c r="D25" i="57"/>
  <c r="H24" i="57"/>
  <c r="F24" i="57"/>
  <c r="D24" i="57"/>
  <c r="H23" i="57"/>
  <c r="F23" i="57"/>
  <c r="D23" i="57"/>
  <c r="H22" i="57"/>
  <c r="F22" i="57"/>
  <c r="D22" i="57"/>
  <c r="H21" i="57"/>
  <c r="F21" i="57"/>
  <c r="D21" i="57"/>
  <c r="I20" i="57"/>
  <c r="I42" i="57" s="1"/>
  <c r="G20" i="57"/>
  <c r="H20" i="57" s="1"/>
  <c r="F20" i="57"/>
  <c r="E20" i="57"/>
  <c r="E42" i="57" s="1"/>
  <c r="C20" i="57"/>
  <c r="D20" i="57" s="1"/>
  <c r="H19" i="57"/>
  <c r="F19" i="57"/>
  <c r="D19" i="57"/>
  <c r="H18" i="57"/>
  <c r="F18" i="57"/>
  <c r="D18" i="57"/>
  <c r="H17" i="57"/>
  <c r="F17" i="57"/>
  <c r="D17" i="57"/>
  <c r="H16" i="57"/>
  <c r="F16" i="57"/>
  <c r="D16" i="57"/>
  <c r="H15" i="57"/>
  <c r="F15" i="57"/>
  <c r="D15" i="57"/>
  <c r="H14" i="57"/>
  <c r="F14" i="57"/>
  <c r="D14" i="57"/>
  <c r="H13" i="57"/>
  <c r="F13" i="57"/>
  <c r="D13" i="57"/>
  <c r="H12" i="57"/>
  <c r="F12" i="57"/>
  <c r="D12" i="57"/>
  <c r="H11" i="57"/>
  <c r="F11" i="57"/>
  <c r="D11" i="57"/>
  <c r="H10" i="57"/>
  <c r="F10" i="57"/>
  <c r="D10" i="57"/>
  <c r="H9" i="57"/>
  <c r="F9" i="57"/>
  <c r="D9" i="57"/>
  <c r="H8" i="57"/>
  <c r="F8" i="57"/>
  <c r="D8" i="57"/>
  <c r="H7" i="57"/>
  <c r="F7" i="57"/>
  <c r="D7" i="57"/>
  <c r="H6" i="57"/>
  <c r="F6" i="57"/>
  <c r="D6" i="57"/>
  <c r="H5" i="57"/>
  <c r="F5" i="57"/>
  <c r="D5" i="57"/>
  <c r="H4" i="57"/>
  <c r="F4" i="57"/>
  <c r="D4" i="57"/>
  <c r="I38" i="56"/>
  <c r="G38" i="56"/>
  <c r="H38" i="56" s="1"/>
  <c r="E38" i="56"/>
  <c r="F38" i="56" s="1"/>
  <c r="C38" i="56"/>
  <c r="D38" i="56" s="1"/>
  <c r="H37" i="56"/>
  <c r="F37" i="56"/>
  <c r="D37" i="56"/>
  <c r="H36" i="56"/>
  <c r="F36" i="56"/>
  <c r="D36" i="56"/>
  <c r="I35" i="56"/>
  <c r="G35" i="56"/>
  <c r="G39" i="56" s="1"/>
  <c r="E35" i="56"/>
  <c r="E42" i="56" s="1"/>
  <c r="C35" i="56"/>
  <c r="H34" i="56"/>
  <c r="F34" i="56"/>
  <c r="D34" i="56"/>
  <c r="H33" i="56"/>
  <c r="F33" i="56"/>
  <c r="D33" i="56"/>
  <c r="H32" i="56"/>
  <c r="F32" i="56"/>
  <c r="D32" i="56"/>
  <c r="I29" i="56"/>
  <c r="G29" i="56"/>
  <c r="H29" i="56" s="1"/>
  <c r="E29" i="56"/>
  <c r="D29" i="56"/>
  <c r="C29" i="56"/>
  <c r="H28" i="56"/>
  <c r="F28" i="56"/>
  <c r="D28" i="56"/>
  <c r="H27" i="56"/>
  <c r="F27" i="56"/>
  <c r="D27" i="56"/>
  <c r="H26" i="56"/>
  <c r="F26" i="56"/>
  <c r="D26" i="56"/>
  <c r="H25" i="56"/>
  <c r="F25" i="56"/>
  <c r="D25" i="56"/>
  <c r="H24" i="56"/>
  <c r="F24" i="56"/>
  <c r="D24" i="56"/>
  <c r="H23" i="56"/>
  <c r="F23" i="56"/>
  <c r="D23" i="56"/>
  <c r="H22" i="56"/>
  <c r="F22" i="56"/>
  <c r="D22" i="56"/>
  <c r="H21" i="56"/>
  <c r="F21" i="56"/>
  <c r="D21" i="56"/>
  <c r="I20" i="56"/>
  <c r="G20" i="56"/>
  <c r="E20" i="56"/>
  <c r="F20" i="56" s="1"/>
  <c r="C20" i="56"/>
  <c r="C30" i="56" s="1"/>
  <c r="C40" i="56" s="1"/>
  <c r="H19" i="56"/>
  <c r="F19" i="56"/>
  <c r="D19" i="56"/>
  <c r="H18" i="56"/>
  <c r="F18" i="56"/>
  <c r="D18" i="56"/>
  <c r="H17" i="56"/>
  <c r="F17" i="56"/>
  <c r="D17" i="56"/>
  <c r="H16" i="56"/>
  <c r="F16" i="56"/>
  <c r="D16" i="56"/>
  <c r="H15" i="56"/>
  <c r="F15" i="56"/>
  <c r="D15" i="56"/>
  <c r="H14" i="56"/>
  <c r="F14" i="56"/>
  <c r="D14" i="56"/>
  <c r="H13" i="56"/>
  <c r="F13" i="56"/>
  <c r="D13" i="56"/>
  <c r="H12" i="56"/>
  <c r="F12" i="56"/>
  <c r="D12" i="56"/>
  <c r="H11" i="56"/>
  <c r="F11" i="56"/>
  <c r="D11" i="56"/>
  <c r="H10" i="56"/>
  <c r="F10" i="56"/>
  <c r="D10" i="56"/>
  <c r="H9" i="56"/>
  <c r="F9" i="56"/>
  <c r="D9" i="56"/>
  <c r="H8" i="56"/>
  <c r="F8" i="56"/>
  <c r="D8" i="56"/>
  <c r="H7" i="56"/>
  <c r="F7" i="56"/>
  <c r="D7" i="56"/>
  <c r="H6" i="56"/>
  <c r="F6" i="56"/>
  <c r="D6" i="56"/>
  <c r="H5" i="56"/>
  <c r="F5" i="56"/>
  <c r="D5" i="56"/>
  <c r="H4" i="56"/>
  <c r="F4" i="56"/>
  <c r="D4" i="56"/>
  <c r="I38" i="55"/>
  <c r="G38" i="55"/>
  <c r="H38" i="55" s="1"/>
  <c r="E38" i="55"/>
  <c r="C38" i="55"/>
  <c r="D38" i="55" s="1"/>
  <c r="H37" i="55"/>
  <c r="F37" i="55"/>
  <c r="D37" i="55"/>
  <c r="H36" i="55"/>
  <c r="F36" i="55"/>
  <c r="D36" i="55"/>
  <c r="I35" i="55"/>
  <c r="I39" i="55" s="1"/>
  <c r="G35" i="55"/>
  <c r="F35" i="55" s="1"/>
  <c r="E35" i="55"/>
  <c r="E39" i="55" s="1"/>
  <c r="C35" i="55"/>
  <c r="H34" i="55"/>
  <c r="F34" i="55"/>
  <c r="D34" i="55"/>
  <c r="H33" i="55"/>
  <c r="F33" i="55"/>
  <c r="D33" i="55"/>
  <c r="H32" i="55"/>
  <c r="F32" i="55"/>
  <c r="D32" i="55"/>
  <c r="I29" i="55"/>
  <c r="I30" i="55" s="1"/>
  <c r="I40" i="55" s="1"/>
  <c r="G29" i="55"/>
  <c r="F29" i="55" s="1"/>
  <c r="E29" i="55"/>
  <c r="E30" i="55" s="1"/>
  <c r="E40" i="55" s="1"/>
  <c r="C29" i="55"/>
  <c r="H28" i="55"/>
  <c r="F28" i="55"/>
  <c r="D28" i="55"/>
  <c r="H27" i="55"/>
  <c r="F27" i="55"/>
  <c r="D27" i="55"/>
  <c r="H26" i="55"/>
  <c r="F26" i="55"/>
  <c r="D26" i="55"/>
  <c r="H25" i="55"/>
  <c r="F25" i="55"/>
  <c r="D25" i="55"/>
  <c r="H24" i="55"/>
  <c r="F24" i="55"/>
  <c r="D24" i="55"/>
  <c r="H23" i="55"/>
  <c r="F23" i="55"/>
  <c r="D23" i="55"/>
  <c r="H22" i="55"/>
  <c r="F22" i="55"/>
  <c r="D22" i="55"/>
  <c r="H21" i="55"/>
  <c r="F21" i="55"/>
  <c r="D21" i="55"/>
  <c r="I20" i="55"/>
  <c r="G20" i="55"/>
  <c r="H20" i="55" s="1"/>
  <c r="E20" i="55"/>
  <c r="E42" i="55" s="1"/>
  <c r="C20" i="55"/>
  <c r="H19" i="55"/>
  <c r="F19" i="55"/>
  <c r="D19" i="55"/>
  <c r="H18" i="55"/>
  <c r="F18" i="55"/>
  <c r="D18" i="55"/>
  <c r="H17" i="55"/>
  <c r="F17" i="55"/>
  <c r="D17" i="55"/>
  <c r="H16" i="55"/>
  <c r="F16" i="55"/>
  <c r="D16" i="55"/>
  <c r="H15" i="55"/>
  <c r="F15" i="55"/>
  <c r="D15" i="55"/>
  <c r="H14" i="55"/>
  <c r="F14" i="55"/>
  <c r="D14" i="55"/>
  <c r="H13" i="55"/>
  <c r="F13" i="55"/>
  <c r="D13" i="55"/>
  <c r="H12" i="55"/>
  <c r="F12" i="55"/>
  <c r="D12" i="55"/>
  <c r="H11" i="55"/>
  <c r="F11" i="55"/>
  <c r="D11" i="55"/>
  <c r="H10" i="55"/>
  <c r="F10" i="55"/>
  <c r="D10" i="55"/>
  <c r="H9" i="55"/>
  <c r="F9" i="55"/>
  <c r="D9" i="55"/>
  <c r="H8" i="55"/>
  <c r="F8" i="55"/>
  <c r="D8" i="55"/>
  <c r="H7" i="55"/>
  <c r="F7" i="55"/>
  <c r="D7" i="55"/>
  <c r="H6" i="55"/>
  <c r="F6" i="55"/>
  <c r="D6" i="55"/>
  <c r="H5" i="55"/>
  <c r="F5" i="55"/>
  <c r="D5" i="55"/>
  <c r="H4" i="55"/>
  <c r="F4" i="55"/>
  <c r="D4" i="55"/>
  <c r="I38" i="54"/>
  <c r="G38" i="54"/>
  <c r="E38" i="54"/>
  <c r="C38" i="54"/>
  <c r="D38" i="54" s="1"/>
  <c r="H37" i="54"/>
  <c r="F37" i="54"/>
  <c r="D37" i="54"/>
  <c r="H36" i="54"/>
  <c r="F36" i="54"/>
  <c r="D36" i="54"/>
  <c r="I35" i="54"/>
  <c r="I42" i="54" s="1"/>
  <c r="G35" i="54"/>
  <c r="F35" i="54" s="1"/>
  <c r="E35" i="54"/>
  <c r="C35" i="54"/>
  <c r="H34" i="54"/>
  <c r="F34" i="54"/>
  <c r="D34" i="54"/>
  <c r="H33" i="54"/>
  <c r="F33" i="54"/>
  <c r="D33" i="54"/>
  <c r="H32" i="54"/>
  <c r="F32" i="54"/>
  <c r="D32" i="54"/>
  <c r="I29" i="54"/>
  <c r="G29" i="54"/>
  <c r="E29" i="54"/>
  <c r="C29" i="54"/>
  <c r="C30" i="54" s="1"/>
  <c r="C40" i="54" s="1"/>
  <c r="H28" i="54"/>
  <c r="F28" i="54"/>
  <c r="D28" i="54"/>
  <c r="H27" i="54"/>
  <c r="F27" i="54"/>
  <c r="D27" i="54"/>
  <c r="H26" i="54"/>
  <c r="F26" i="54"/>
  <c r="D26" i="54"/>
  <c r="H25" i="54"/>
  <c r="F25" i="54"/>
  <c r="D25" i="54"/>
  <c r="H24" i="54"/>
  <c r="F24" i="54"/>
  <c r="D24" i="54"/>
  <c r="H23" i="54"/>
  <c r="F23" i="54"/>
  <c r="D23" i="54"/>
  <c r="H22" i="54"/>
  <c r="F22" i="54"/>
  <c r="D22" i="54"/>
  <c r="H21" i="54"/>
  <c r="F21" i="54"/>
  <c r="D21" i="54"/>
  <c r="I20" i="54"/>
  <c r="G20" i="54"/>
  <c r="E20" i="54"/>
  <c r="F20" i="54" s="1"/>
  <c r="C20" i="54"/>
  <c r="H19" i="54"/>
  <c r="F19" i="54"/>
  <c r="D19" i="54"/>
  <c r="H18" i="54"/>
  <c r="F18" i="54"/>
  <c r="D18" i="54"/>
  <c r="H17" i="54"/>
  <c r="F17" i="54"/>
  <c r="D17" i="54"/>
  <c r="H16" i="54"/>
  <c r="F16" i="54"/>
  <c r="D16" i="54"/>
  <c r="H15" i="54"/>
  <c r="F15" i="54"/>
  <c r="D15" i="54"/>
  <c r="H14" i="54"/>
  <c r="F14" i="54"/>
  <c r="D14" i="54"/>
  <c r="H13" i="54"/>
  <c r="F13" i="54"/>
  <c r="D13" i="54"/>
  <c r="H12" i="54"/>
  <c r="F12" i="54"/>
  <c r="D12" i="54"/>
  <c r="H11" i="54"/>
  <c r="F11" i="54"/>
  <c r="D11" i="54"/>
  <c r="H10" i="54"/>
  <c r="F10" i="54"/>
  <c r="D10" i="54"/>
  <c r="H9" i="54"/>
  <c r="F9" i="54"/>
  <c r="D9" i="54"/>
  <c r="H8" i="54"/>
  <c r="F8" i="54"/>
  <c r="D8" i="54"/>
  <c r="H7" i="54"/>
  <c r="F7" i="54"/>
  <c r="D7" i="54"/>
  <c r="H6" i="54"/>
  <c r="F6" i="54"/>
  <c r="D6" i="54"/>
  <c r="H5" i="54"/>
  <c r="F5" i="54"/>
  <c r="D5" i="54"/>
  <c r="H4" i="54"/>
  <c r="F4" i="54"/>
  <c r="D4" i="54"/>
  <c r="E42" i="53"/>
  <c r="I38" i="53"/>
  <c r="G38" i="53"/>
  <c r="H38" i="53" s="1"/>
  <c r="E38" i="53"/>
  <c r="C38" i="53"/>
  <c r="D38" i="53" s="1"/>
  <c r="H37" i="53"/>
  <c r="F37" i="53"/>
  <c r="D37" i="53"/>
  <c r="H36" i="53"/>
  <c r="F36" i="53"/>
  <c r="D36" i="53"/>
  <c r="I35" i="53"/>
  <c r="I39" i="53" s="1"/>
  <c r="G35" i="53"/>
  <c r="F35" i="53" s="1"/>
  <c r="E35" i="53"/>
  <c r="E39" i="53" s="1"/>
  <c r="C35" i="53"/>
  <c r="H34" i="53"/>
  <c r="F34" i="53"/>
  <c r="D34" i="53"/>
  <c r="H33" i="53"/>
  <c r="F33" i="53"/>
  <c r="D33" i="53"/>
  <c r="H32" i="53"/>
  <c r="F32" i="53"/>
  <c r="D32" i="53"/>
  <c r="I29" i="53"/>
  <c r="I30" i="53" s="1"/>
  <c r="I40" i="53" s="1"/>
  <c r="G29" i="53"/>
  <c r="F29" i="53" s="1"/>
  <c r="E29" i="53"/>
  <c r="E30" i="53" s="1"/>
  <c r="E40" i="53" s="1"/>
  <c r="C29" i="53"/>
  <c r="H28" i="53"/>
  <c r="F28" i="53"/>
  <c r="D28" i="53"/>
  <c r="H27" i="53"/>
  <c r="F27" i="53"/>
  <c r="D27" i="53"/>
  <c r="H26" i="53"/>
  <c r="F26" i="53"/>
  <c r="D26" i="53"/>
  <c r="H25" i="53"/>
  <c r="F25" i="53"/>
  <c r="D25" i="53"/>
  <c r="H24" i="53"/>
  <c r="F24" i="53"/>
  <c r="D24" i="53"/>
  <c r="H23" i="53"/>
  <c r="F23" i="53"/>
  <c r="D23" i="53"/>
  <c r="H22" i="53"/>
  <c r="F22" i="53"/>
  <c r="D22" i="53"/>
  <c r="H21" i="53"/>
  <c r="F21" i="53"/>
  <c r="D21" i="53"/>
  <c r="I20" i="53"/>
  <c r="G20" i="53"/>
  <c r="H20" i="53" s="1"/>
  <c r="F20" i="53"/>
  <c r="D20" i="53"/>
  <c r="C20" i="53"/>
  <c r="H19" i="53"/>
  <c r="F19" i="53"/>
  <c r="D19" i="53"/>
  <c r="H18" i="53"/>
  <c r="F18" i="53"/>
  <c r="D18" i="53"/>
  <c r="H17" i="53"/>
  <c r="F17" i="53"/>
  <c r="D17" i="53"/>
  <c r="H16" i="53"/>
  <c r="F16" i="53"/>
  <c r="D16" i="53"/>
  <c r="H15" i="53"/>
  <c r="F15" i="53"/>
  <c r="D15" i="53"/>
  <c r="H14" i="53"/>
  <c r="F14" i="53"/>
  <c r="D14" i="53"/>
  <c r="H13" i="53"/>
  <c r="F13" i="53"/>
  <c r="D13" i="53"/>
  <c r="H12" i="53"/>
  <c r="F12" i="53"/>
  <c r="D12" i="53"/>
  <c r="H11" i="53"/>
  <c r="F11" i="53"/>
  <c r="D11" i="53"/>
  <c r="H10" i="53"/>
  <c r="F10" i="53"/>
  <c r="D10" i="53"/>
  <c r="H9" i="53"/>
  <c r="F9" i="53"/>
  <c r="D9" i="53"/>
  <c r="H8" i="53"/>
  <c r="F8" i="53"/>
  <c r="D8" i="53"/>
  <c r="H7" i="53"/>
  <c r="F7" i="53"/>
  <c r="D7" i="53"/>
  <c r="H6" i="53"/>
  <c r="F6" i="53"/>
  <c r="D6" i="53"/>
  <c r="H5" i="53"/>
  <c r="F5" i="53"/>
  <c r="D5" i="53"/>
  <c r="H4" i="53"/>
  <c r="F4" i="53"/>
  <c r="D4" i="53"/>
  <c r="I38" i="51"/>
  <c r="G38" i="51"/>
  <c r="E38" i="51"/>
  <c r="C38" i="51"/>
  <c r="D38" i="51" s="1"/>
  <c r="H37" i="51"/>
  <c r="F37" i="51"/>
  <c r="D37" i="51"/>
  <c r="H36" i="51"/>
  <c r="F36" i="51"/>
  <c r="D36" i="51"/>
  <c r="I35" i="51"/>
  <c r="I42" i="51" s="1"/>
  <c r="G35" i="51"/>
  <c r="F35" i="51" s="1"/>
  <c r="E35" i="51"/>
  <c r="C35" i="51"/>
  <c r="H34" i="51"/>
  <c r="F34" i="51"/>
  <c r="D34" i="51"/>
  <c r="H33" i="51"/>
  <c r="F33" i="51"/>
  <c r="D33" i="51"/>
  <c r="H32" i="51"/>
  <c r="F32" i="51"/>
  <c r="D32" i="51"/>
  <c r="I29" i="51"/>
  <c r="G29" i="51"/>
  <c r="E29" i="51"/>
  <c r="C29" i="51"/>
  <c r="C30" i="51" s="1"/>
  <c r="C40" i="51" s="1"/>
  <c r="H28" i="51"/>
  <c r="F28" i="51"/>
  <c r="D28" i="51"/>
  <c r="H27" i="51"/>
  <c r="F27" i="51"/>
  <c r="D27" i="51"/>
  <c r="H26" i="51"/>
  <c r="F26" i="51"/>
  <c r="D26" i="51"/>
  <c r="H25" i="51"/>
  <c r="F25" i="51"/>
  <c r="D25" i="51"/>
  <c r="H24" i="51"/>
  <c r="F24" i="51"/>
  <c r="D24" i="51"/>
  <c r="H23" i="51"/>
  <c r="F23" i="51"/>
  <c r="D23" i="51"/>
  <c r="H22" i="51"/>
  <c r="F22" i="51"/>
  <c r="D22" i="51"/>
  <c r="H21" i="51"/>
  <c r="F21" i="51"/>
  <c r="D21" i="51"/>
  <c r="I20" i="51"/>
  <c r="G20" i="51"/>
  <c r="E20" i="51"/>
  <c r="F20" i="51" s="1"/>
  <c r="C20" i="51"/>
  <c r="H19" i="51"/>
  <c r="F19" i="51"/>
  <c r="D19" i="51"/>
  <c r="H18" i="51"/>
  <c r="F18" i="51"/>
  <c r="D18" i="51"/>
  <c r="H17" i="51"/>
  <c r="F17" i="51"/>
  <c r="D17" i="51"/>
  <c r="H16" i="51"/>
  <c r="F16" i="51"/>
  <c r="D16" i="51"/>
  <c r="H15" i="51"/>
  <c r="F15" i="51"/>
  <c r="D15" i="51"/>
  <c r="H14" i="51"/>
  <c r="F14" i="51"/>
  <c r="D14" i="51"/>
  <c r="H13" i="51"/>
  <c r="F13" i="51"/>
  <c r="D13" i="51"/>
  <c r="H12" i="51"/>
  <c r="F12" i="51"/>
  <c r="D12" i="51"/>
  <c r="H11" i="51"/>
  <c r="F11" i="51"/>
  <c r="D11" i="51"/>
  <c r="H10" i="51"/>
  <c r="F10" i="51"/>
  <c r="D10" i="51"/>
  <c r="H9" i="51"/>
  <c r="F9" i="51"/>
  <c r="D9" i="51"/>
  <c r="H8" i="51"/>
  <c r="F8" i="51"/>
  <c r="D8" i="51"/>
  <c r="H7" i="51"/>
  <c r="F7" i="51"/>
  <c r="D7" i="51"/>
  <c r="H6" i="51"/>
  <c r="F6" i="51"/>
  <c r="D6" i="51"/>
  <c r="H5" i="51"/>
  <c r="F5" i="51"/>
  <c r="D5" i="51"/>
  <c r="H4" i="51"/>
  <c r="F4" i="51"/>
  <c r="D4" i="51"/>
  <c r="I38" i="50"/>
  <c r="G38" i="50"/>
  <c r="F38" i="50"/>
  <c r="E38" i="50"/>
  <c r="C38" i="50"/>
  <c r="D38" i="50" s="1"/>
  <c r="H37" i="50"/>
  <c r="F37" i="50"/>
  <c r="D37" i="50"/>
  <c r="H36" i="50"/>
  <c r="F36" i="50"/>
  <c r="D36" i="50"/>
  <c r="I35" i="50"/>
  <c r="G35" i="50"/>
  <c r="E35" i="50"/>
  <c r="E39" i="50" s="1"/>
  <c r="C35" i="50"/>
  <c r="C42" i="50" s="1"/>
  <c r="H34" i="50"/>
  <c r="F34" i="50"/>
  <c r="D34" i="50"/>
  <c r="H33" i="50"/>
  <c r="F33" i="50"/>
  <c r="D33" i="50"/>
  <c r="H32" i="50"/>
  <c r="F32" i="50"/>
  <c r="D32" i="50"/>
  <c r="I29" i="50"/>
  <c r="G29" i="50"/>
  <c r="E29" i="50"/>
  <c r="C29" i="50"/>
  <c r="H28" i="50"/>
  <c r="F28" i="50"/>
  <c r="D28" i="50"/>
  <c r="H27" i="50"/>
  <c r="F27" i="50"/>
  <c r="D27" i="50"/>
  <c r="H26" i="50"/>
  <c r="F26" i="50"/>
  <c r="D26" i="50"/>
  <c r="H25" i="50"/>
  <c r="F25" i="50"/>
  <c r="D25" i="50"/>
  <c r="H24" i="50"/>
  <c r="F24" i="50"/>
  <c r="D24" i="50"/>
  <c r="H23" i="50"/>
  <c r="F23" i="50"/>
  <c r="D23" i="50"/>
  <c r="H22" i="50"/>
  <c r="F22" i="50"/>
  <c r="D22" i="50"/>
  <c r="H21" i="50"/>
  <c r="F21" i="50"/>
  <c r="D21" i="50"/>
  <c r="I20" i="50"/>
  <c r="I42" i="50" s="1"/>
  <c r="G20" i="50"/>
  <c r="E20" i="50"/>
  <c r="F20" i="50" s="1"/>
  <c r="C20" i="50"/>
  <c r="H19" i="50"/>
  <c r="F19" i="50"/>
  <c r="D19" i="50"/>
  <c r="H18" i="50"/>
  <c r="F18" i="50"/>
  <c r="D18" i="50"/>
  <c r="H17" i="50"/>
  <c r="F17" i="50"/>
  <c r="D17" i="50"/>
  <c r="H16" i="50"/>
  <c r="F16" i="50"/>
  <c r="D16" i="50"/>
  <c r="H15" i="50"/>
  <c r="F15" i="50"/>
  <c r="D15" i="50"/>
  <c r="H14" i="50"/>
  <c r="F14" i="50"/>
  <c r="D14" i="50"/>
  <c r="H13" i="50"/>
  <c r="F13" i="50"/>
  <c r="D13" i="50"/>
  <c r="H12" i="50"/>
  <c r="F12" i="50"/>
  <c r="D12" i="50"/>
  <c r="H11" i="50"/>
  <c r="F11" i="50"/>
  <c r="D11" i="50"/>
  <c r="H10" i="50"/>
  <c r="F10" i="50"/>
  <c r="D10" i="50"/>
  <c r="H9" i="50"/>
  <c r="F9" i="50"/>
  <c r="D9" i="50"/>
  <c r="H8" i="50"/>
  <c r="F8" i="50"/>
  <c r="D8" i="50"/>
  <c r="H7" i="50"/>
  <c r="F7" i="50"/>
  <c r="D7" i="50"/>
  <c r="H6" i="50"/>
  <c r="F6" i="50"/>
  <c r="D6" i="50"/>
  <c r="H5" i="50"/>
  <c r="F5" i="50"/>
  <c r="D5" i="50"/>
  <c r="H4" i="50"/>
  <c r="F4" i="50"/>
  <c r="D4" i="50"/>
  <c r="I38" i="49"/>
  <c r="G38" i="49"/>
  <c r="E38" i="49"/>
  <c r="F38" i="49" s="1"/>
  <c r="C38" i="49"/>
  <c r="D38" i="49" s="1"/>
  <c r="H37" i="49"/>
  <c r="F37" i="49"/>
  <c r="D37" i="49"/>
  <c r="H36" i="49"/>
  <c r="F36" i="49"/>
  <c r="D36" i="49"/>
  <c r="I35" i="49"/>
  <c r="I42" i="49" s="1"/>
  <c r="G35" i="49"/>
  <c r="G39" i="49" s="1"/>
  <c r="E35" i="49"/>
  <c r="E42" i="49" s="1"/>
  <c r="D35" i="49"/>
  <c r="C35" i="49"/>
  <c r="H34" i="49"/>
  <c r="F34" i="49"/>
  <c r="D34" i="49"/>
  <c r="H33" i="49"/>
  <c r="F33" i="49"/>
  <c r="D33" i="49"/>
  <c r="H32" i="49"/>
  <c r="F32" i="49"/>
  <c r="D32" i="49"/>
  <c r="I29" i="49"/>
  <c r="G29" i="49"/>
  <c r="H29" i="49" s="1"/>
  <c r="E29" i="49"/>
  <c r="C29" i="49"/>
  <c r="D29" i="49" s="1"/>
  <c r="H28" i="49"/>
  <c r="F28" i="49"/>
  <c r="D28" i="49"/>
  <c r="H27" i="49"/>
  <c r="F27" i="49"/>
  <c r="D27" i="49"/>
  <c r="H26" i="49"/>
  <c r="F26" i="49"/>
  <c r="D26" i="49"/>
  <c r="H25" i="49"/>
  <c r="F25" i="49"/>
  <c r="D25" i="49"/>
  <c r="H24" i="49"/>
  <c r="F24" i="49"/>
  <c r="D24" i="49"/>
  <c r="H23" i="49"/>
  <c r="F23" i="49"/>
  <c r="D23" i="49"/>
  <c r="H22" i="49"/>
  <c r="F22" i="49"/>
  <c r="D22" i="49"/>
  <c r="H21" i="49"/>
  <c r="F21" i="49"/>
  <c r="D21" i="49"/>
  <c r="I20" i="49"/>
  <c r="G20" i="49"/>
  <c r="E20" i="49"/>
  <c r="F20" i="49" s="1"/>
  <c r="C20" i="49"/>
  <c r="H19" i="49"/>
  <c r="F19" i="49"/>
  <c r="D19" i="49"/>
  <c r="H18" i="49"/>
  <c r="F18" i="49"/>
  <c r="D18" i="49"/>
  <c r="H17" i="49"/>
  <c r="F17" i="49"/>
  <c r="D17" i="49"/>
  <c r="H16" i="49"/>
  <c r="F16" i="49"/>
  <c r="D16" i="49"/>
  <c r="H15" i="49"/>
  <c r="F15" i="49"/>
  <c r="D15" i="49"/>
  <c r="H14" i="49"/>
  <c r="F14" i="49"/>
  <c r="D14" i="49"/>
  <c r="H13" i="49"/>
  <c r="F13" i="49"/>
  <c r="D13" i="49"/>
  <c r="H12" i="49"/>
  <c r="F12" i="49"/>
  <c r="D12" i="49"/>
  <c r="H11" i="49"/>
  <c r="F11" i="49"/>
  <c r="D11" i="49"/>
  <c r="H10" i="49"/>
  <c r="F10" i="49"/>
  <c r="D10" i="49"/>
  <c r="H9" i="49"/>
  <c r="F9" i="49"/>
  <c r="D9" i="49"/>
  <c r="H8" i="49"/>
  <c r="F8" i="49"/>
  <c r="D8" i="49"/>
  <c r="H7" i="49"/>
  <c r="F7" i="49"/>
  <c r="D7" i="49"/>
  <c r="H6" i="49"/>
  <c r="F6" i="49"/>
  <c r="D6" i="49"/>
  <c r="H5" i="49"/>
  <c r="F5" i="49"/>
  <c r="D5" i="49"/>
  <c r="H4" i="49"/>
  <c r="F4" i="49"/>
  <c r="D4" i="49"/>
  <c r="I38" i="48"/>
  <c r="G38" i="48"/>
  <c r="E38" i="48"/>
  <c r="C38" i="48"/>
  <c r="D38" i="48" s="1"/>
  <c r="H37" i="48"/>
  <c r="F37" i="48"/>
  <c r="D37" i="48"/>
  <c r="H36" i="48"/>
  <c r="F36" i="48"/>
  <c r="D36" i="48"/>
  <c r="I35" i="48"/>
  <c r="G35" i="48"/>
  <c r="E35" i="48"/>
  <c r="C35" i="48"/>
  <c r="H34" i="48"/>
  <c r="F34" i="48"/>
  <c r="D34" i="48"/>
  <c r="H33" i="48"/>
  <c r="F33" i="48"/>
  <c r="D33" i="48"/>
  <c r="H32" i="48"/>
  <c r="F32" i="48"/>
  <c r="D32" i="48"/>
  <c r="I29" i="48"/>
  <c r="I30" i="48" s="1"/>
  <c r="I40" i="48" s="1"/>
  <c r="G29" i="48"/>
  <c r="E29" i="48"/>
  <c r="F29" i="48" s="1"/>
  <c r="C29" i="48"/>
  <c r="D29" i="48" s="1"/>
  <c r="H28" i="48"/>
  <c r="F28" i="48"/>
  <c r="D28" i="48"/>
  <c r="H27" i="48"/>
  <c r="F27" i="48"/>
  <c r="D27" i="48"/>
  <c r="H26" i="48"/>
  <c r="F26" i="48"/>
  <c r="D26" i="48"/>
  <c r="H25" i="48"/>
  <c r="F25" i="48"/>
  <c r="D25" i="48"/>
  <c r="H24" i="48"/>
  <c r="F24" i="48"/>
  <c r="D24" i="48"/>
  <c r="H23" i="48"/>
  <c r="F23" i="48"/>
  <c r="D23" i="48"/>
  <c r="H22" i="48"/>
  <c r="F22" i="48"/>
  <c r="D22" i="48"/>
  <c r="H21" i="48"/>
  <c r="F21" i="48"/>
  <c r="D21" i="48"/>
  <c r="I20" i="48"/>
  <c r="G20" i="48"/>
  <c r="H20" i="48" s="1"/>
  <c r="E20" i="48"/>
  <c r="C20" i="48"/>
  <c r="H19" i="48"/>
  <c r="F19" i="48"/>
  <c r="D19" i="48"/>
  <c r="H18" i="48"/>
  <c r="F18" i="48"/>
  <c r="D18" i="48"/>
  <c r="H17" i="48"/>
  <c r="F17" i="48"/>
  <c r="D17" i="48"/>
  <c r="H16" i="48"/>
  <c r="F16" i="48"/>
  <c r="D16" i="48"/>
  <c r="H15" i="48"/>
  <c r="F15" i="48"/>
  <c r="D15" i="48"/>
  <c r="H14" i="48"/>
  <c r="F14" i="48"/>
  <c r="D14" i="48"/>
  <c r="H13" i="48"/>
  <c r="F13" i="48"/>
  <c r="D13" i="48"/>
  <c r="H12" i="48"/>
  <c r="F12" i="48"/>
  <c r="D12" i="48"/>
  <c r="H11" i="48"/>
  <c r="F11" i="48"/>
  <c r="D11" i="48"/>
  <c r="H10" i="48"/>
  <c r="F10" i="48"/>
  <c r="D10" i="48"/>
  <c r="H9" i="48"/>
  <c r="F9" i="48"/>
  <c r="D9" i="48"/>
  <c r="H8" i="48"/>
  <c r="F8" i="48"/>
  <c r="D8" i="48"/>
  <c r="H7" i="48"/>
  <c r="F7" i="48"/>
  <c r="D7" i="48"/>
  <c r="H6" i="48"/>
  <c r="F6" i="48"/>
  <c r="D6" i="48"/>
  <c r="H5" i="48"/>
  <c r="F5" i="48"/>
  <c r="D5" i="48"/>
  <c r="H4" i="48"/>
  <c r="F4" i="48"/>
  <c r="D4" i="48"/>
  <c r="I38" i="47"/>
  <c r="I39" i="47" s="1"/>
  <c r="G38" i="47"/>
  <c r="H38" i="47" s="1"/>
  <c r="E38" i="47"/>
  <c r="C38" i="47"/>
  <c r="H37" i="47"/>
  <c r="F37" i="47"/>
  <c r="D37" i="47"/>
  <c r="H36" i="47"/>
  <c r="F36" i="47"/>
  <c r="D36" i="47"/>
  <c r="G35" i="47"/>
  <c r="H35" i="47" s="1"/>
  <c r="E35" i="47"/>
  <c r="C35" i="47"/>
  <c r="H34" i="47"/>
  <c r="F34" i="47"/>
  <c r="D34" i="47"/>
  <c r="H33" i="47"/>
  <c r="F33" i="47"/>
  <c r="D33" i="47"/>
  <c r="H32" i="47"/>
  <c r="F32" i="47"/>
  <c r="D32" i="47"/>
  <c r="I29" i="47"/>
  <c r="I30" i="47" s="1"/>
  <c r="I40" i="47" s="1"/>
  <c r="G29" i="47"/>
  <c r="E29" i="47"/>
  <c r="C29" i="47"/>
  <c r="D29" i="47" s="1"/>
  <c r="H28" i="47"/>
  <c r="F28" i="47"/>
  <c r="D28" i="47"/>
  <c r="H27" i="47"/>
  <c r="F27" i="47"/>
  <c r="D27" i="47"/>
  <c r="H26" i="47"/>
  <c r="F26" i="47"/>
  <c r="D26" i="47"/>
  <c r="H25" i="47"/>
  <c r="F25" i="47"/>
  <c r="D25" i="47"/>
  <c r="H24" i="47"/>
  <c r="F24" i="47"/>
  <c r="D24" i="47"/>
  <c r="H23" i="47"/>
  <c r="F23" i="47"/>
  <c r="D23" i="47"/>
  <c r="H22" i="47"/>
  <c r="F22" i="47"/>
  <c r="D22" i="47"/>
  <c r="H21" i="47"/>
  <c r="F21" i="47"/>
  <c r="D21" i="47"/>
  <c r="I20" i="47"/>
  <c r="I42" i="47" s="1"/>
  <c r="G20" i="47"/>
  <c r="E20" i="47"/>
  <c r="C20" i="47"/>
  <c r="H19" i="47"/>
  <c r="F19" i="47"/>
  <c r="D19" i="47"/>
  <c r="H18" i="47"/>
  <c r="F18" i="47"/>
  <c r="D18" i="47"/>
  <c r="H17" i="47"/>
  <c r="F17" i="47"/>
  <c r="D17" i="47"/>
  <c r="H16" i="47"/>
  <c r="F16" i="47"/>
  <c r="D16" i="47"/>
  <c r="H15" i="47"/>
  <c r="F15" i="47"/>
  <c r="D15" i="47"/>
  <c r="H14" i="47"/>
  <c r="F14" i="47"/>
  <c r="D14" i="47"/>
  <c r="H13" i="47"/>
  <c r="F13" i="47"/>
  <c r="D13" i="47"/>
  <c r="H12" i="47"/>
  <c r="F12" i="47"/>
  <c r="D12" i="47"/>
  <c r="H11" i="47"/>
  <c r="F11" i="47"/>
  <c r="D11" i="47"/>
  <c r="H10" i="47"/>
  <c r="F10" i="47"/>
  <c r="D10" i="47"/>
  <c r="H9" i="47"/>
  <c r="F9" i="47"/>
  <c r="D9" i="47"/>
  <c r="H8" i="47"/>
  <c r="F8" i="47"/>
  <c r="D8" i="47"/>
  <c r="H7" i="47"/>
  <c r="F7" i="47"/>
  <c r="D7" i="47"/>
  <c r="H6" i="47"/>
  <c r="F6" i="47"/>
  <c r="D6" i="47"/>
  <c r="H5" i="47"/>
  <c r="F5" i="47"/>
  <c r="D5" i="47"/>
  <c r="H4" i="47"/>
  <c r="F4" i="47"/>
  <c r="D4" i="47"/>
  <c r="I38" i="45"/>
  <c r="G38" i="45"/>
  <c r="H38" i="45" s="1"/>
  <c r="E38" i="45"/>
  <c r="C38" i="45"/>
  <c r="D38" i="45" s="1"/>
  <c r="H37" i="45"/>
  <c r="F37" i="45"/>
  <c r="D37" i="45"/>
  <c r="H36" i="45"/>
  <c r="F36" i="45"/>
  <c r="D36" i="45"/>
  <c r="I35" i="45"/>
  <c r="H35" i="45"/>
  <c r="G35" i="45"/>
  <c r="E35" i="45"/>
  <c r="C35" i="45"/>
  <c r="H34" i="45"/>
  <c r="F34" i="45"/>
  <c r="D34" i="45"/>
  <c r="H33" i="45"/>
  <c r="F33" i="45"/>
  <c r="D33" i="45"/>
  <c r="H32" i="45"/>
  <c r="F32" i="45"/>
  <c r="D32" i="45"/>
  <c r="I29" i="45"/>
  <c r="G29" i="45"/>
  <c r="E29" i="45"/>
  <c r="C29" i="45"/>
  <c r="D29" i="45" s="1"/>
  <c r="H28" i="45"/>
  <c r="F28" i="45"/>
  <c r="D28" i="45"/>
  <c r="H27" i="45"/>
  <c r="F27" i="45"/>
  <c r="D27" i="45"/>
  <c r="H26" i="45"/>
  <c r="F26" i="45"/>
  <c r="D26" i="45"/>
  <c r="H25" i="45"/>
  <c r="F25" i="45"/>
  <c r="D25" i="45"/>
  <c r="H24" i="45"/>
  <c r="F24" i="45"/>
  <c r="D24" i="45"/>
  <c r="H23" i="45"/>
  <c r="F23" i="45"/>
  <c r="D23" i="45"/>
  <c r="H22" i="45"/>
  <c r="F22" i="45"/>
  <c r="D22" i="45"/>
  <c r="H21" i="45"/>
  <c r="F21" i="45"/>
  <c r="D21" i="45"/>
  <c r="I20" i="45"/>
  <c r="G20" i="45"/>
  <c r="G42" i="45" s="1"/>
  <c r="E20" i="45"/>
  <c r="C20" i="45"/>
  <c r="H19" i="45"/>
  <c r="F19" i="45"/>
  <c r="D19" i="45"/>
  <c r="H18" i="45"/>
  <c r="F18" i="45"/>
  <c r="D18" i="45"/>
  <c r="H17" i="45"/>
  <c r="F17" i="45"/>
  <c r="D17" i="45"/>
  <c r="H16" i="45"/>
  <c r="F16" i="45"/>
  <c r="D16" i="45"/>
  <c r="H15" i="45"/>
  <c r="F15" i="45"/>
  <c r="D15" i="45"/>
  <c r="H14" i="45"/>
  <c r="F14" i="45"/>
  <c r="D14" i="45"/>
  <c r="H13" i="45"/>
  <c r="F13" i="45"/>
  <c r="D13" i="45"/>
  <c r="H12" i="45"/>
  <c r="F12" i="45"/>
  <c r="D12" i="45"/>
  <c r="H11" i="45"/>
  <c r="F11" i="45"/>
  <c r="D11" i="45"/>
  <c r="H10" i="45"/>
  <c r="F10" i="45"/>
  <c r="D10" i="45"/>
  <c r="H9" i="45"/>
  <c r="F9" i="45"/>
  <c r="D9" i="45"/>
  <c r="H8" i="45"/>
  <c r="F8" i="45"/>
  <c r="D8" i="45"/>
  <c r="H7" i="45"/>
  <c r="F7" i="45"/>
  <c r="D7" i="45"/>
  <c r="H6" i="45"/>
  <c r="F6" i="45"/>
  <c r="D6" i="45"/>
  <c r="H5" i="45"/>
  <c r="F5" i="45"/>
  <c r="D5" i="45"/>
  <c r="H4" i="45"/>
  <c r="F4" i="45"/>
  <c r="D4" i="45"/>
  <c r="G39" i="34"/>
  <c r="I38" i="34"/>
  <c r="G38" i="34"/>
  <c r="F38" i="34"/>
  <c r="E38" i="34"/>
  <c r="H37" i="34"/>
  <c r="F37" i="34"/>
  <c r="C37" i="34"/>
  <c r="D37" i="34" s="1"/>
  <c r="H36" i="34"/>
  <c r="F36" i="34"/>
  <c r="D36" i="34"/>
  <c r="I35" i="34"/>
  <c r="G35" i="34"/>
  <c r="H35" i="34" s="1"/>
  <c r="E35" i="34"/>
  <c r="C35" i="34"/>
  <c r="D35" i="34" s="1"/>
  <c r="H34" i="34"/>
  <c r="F34" i="34"/>
  <c r="D34" i="34"/>
  <c r="H33" i="34"/>
  <c r="F33" i="34"/>
  <c r="D33" i="34"/>
  <c r="H32" i="34"/>
  <c r="F32" i="34"/>
  <c r="D32" i="34"/>
  <c r="I29" i="34"/>
  <c r="I30" i="34" s="1"/>
  <c r="I40" i="34" s="1"/>
  <c r="G29" i="34"/>
  <c r="H29" i="34" s="1"/>
  <c r="E29" i="34"/>
  <c r="E30" i="34" s="1"/>
  <c r="E40" i="34" s="1"/>
  <c r="C29" i="34"/>
  <c r="H28" i="34"/>
  <c r="F28" i="34"/>
  <c r="D28" i="34"/>
  <c r="H27" i="34"/>
  <c r="D27" i="34"/>
  <c r="H26" i="34"/>
  <c r="F26" i="34"/>
  <c r="D26" i="34"/>
  <c r="H25" i="34"/>
  <c r="F25" i="34"/>
  <c r="D25" i="34"/>
  <c r="H24" i="34"/>
  <c r="F24" i="34"/>
  <c r="D24" i="34"/>
  <c r="H23" i="34"/>
  <c r="F23" i="34"/>
  <c r="D23" i="34"/>
  <c r="H22" i="34"/>
  <c r="F22" i="34"/>
  <c r="D22" i="34"/>
  <c r="H21" i="34"/>
  <c r="F21" i="34"/>
  <c r="D21" i="34"/>
  <c r="I20" i="34"/>
  <c r="G20" i="34"/>
  <c r="H20" i="34" s="1"/>
  <c r="E20" i="34"/>
  <c r="F20" i="34" s="1"/>
  <c r="C20" i="34"/>
  <c r="D20" i="34" s="1"/>
  <c r="H19" i="34"/>
  <c r="F19" i="34"/>
  <c r="D19" i="34"/>
  <c r="H18" i="34"/>
  <c r="F18" i="34"/>
  <c r="D18" i="34"/>
  <c r="H17" i="34"/>
  <c r="F17" i="34"/>
  <c r="D17" i="34"/>
  <c r="H16" i="34"/>
  <c r="F16" i="34"/>
  <c r="D16" i="34"/>
  <c r="H15" i="34"/>
  <c r="F15" i="34"/>
  <c r="D15" i="34"/>
  <c r="H14" i="34"/>
  <c r="F14" i="34"/>
  <c r="D14" i="34"/>
  <c r="H13" i="34"/>
  <c r="F13" i="34"/>
  <c r="D13" i="34"/>
  <c r="H12" i="34"/>
  <c r="F12" i="34"/>
  <c r="D12" i="34"/>
  <c r="H11" i="34"/>
  <c r="F11" i="34"/>
  <c r="D11" i="34"/>
  <c r="H10" i="34"/>
  <c r="F10" i="34"/>
  <c r="D10" i="34"/>
  <c r="H9" i="34"/>
  <c r="F9" i="34"/>
  <c r="D9" i="34"/>
  <c r="H8" i="34"/>
  <c r="F8" i="34"/>
  <c r="D8" i="34"/>
  <c r="H7" i="34"/>
  <c r="F7" i="34"/>
  <c r="D7" i="34"/>
  <c r="H6" i="34"/>
  <c r="F6" i="34"/>
  <c r="D6" i="34"/>
  <c r="H5" i="34"/>
  <c r="F5" i="34"/>
  <c r="D5" i="34"/>
  <c r="H4" i="34"/>
  <c r="F4" i="34"/>
  <c r="D4" i="34"/>
  <c r="D38" i="47" l="1"/>
  <c r="C39" i="47"/>
  <c r="C30" i="57"/>
  <c r="C40" i="57" s="1"/>
  <c r="E42" i="47"/>
  <c r="C30" i="48"/>
  <c r="C40" i="48" s="1"/>
  <c r="C43" i="48" s="1"/>
  <c r="F20" i="55"/>
  <c r="E42" i="34"/>
  <c r="F20" i="48"/>
  <c r="H35" i="49"/>
  <c r="H38" i="49"/>
  <c r="D20" i="50"/>
  <c r="F29" i="50"/>
  <c r="C42" i="53"/>
  <c r="D42" i="53" s="1"/>
  <c r="C42" i="55"/>
  <c r="D42" i="55" s="1"/>
  <c r="H35" i="56"/>
  <c r="I42" i="53"/>
  <c r="I42" i="55"/>
  <c r="I42" i="56"/>
  <c r="F29" i="57"/>
  <c r="C39" i="48"/>
  <c r="C30" i="34"/>
  <c r="C40" i="34" s="1"/>
  <c r="H38" i="34"/>
  <c r="H20" i="50"/>
  <c r="F38" i="53"/>
  <c r="F38" i="55"/>
  <c r="G30" i="34"/>
  <c r="G40" i="34" s="1"/>
  <c r="D29" i="34"/>
  <c r="I42" i="34"/>
  <c r="C30" i="45"/>
  <c r="C40" i="45" s="1"/>
  <c r="C43" i="45" s="1"/>
  <c r="H29" i="45"/>
  <c r="H38" i="48"/>
  <c r="C30" i="49"/>
  <c r="C40" i="49" s="1"/>
  <c r="F29" i="49"/>
  <c r="F29" i="56"/>
  <c r="H38" i="50"/>
  <c r="G42" i="56"/>
  <c r="F42" i="56" s="1"/>
  <c r="G42" i="49"/>
  <c r="H42" i="49" s="1"/>
  <c r="G39" i="45"/>
  <c r="F38" i="45"/>
  <c r="F29" i="47"/>
  <c r="I30" i="49"/>
  <c r="I40" i="49" s="1"/>
  <c r="C39" i="49"/>
  <c r="H20" i="51"/>
  <c r="F38" i="51"/>
  <c r="C30" i="53"/>
  <c r="C40" i="53" s="1"/>
  <c r="H20" i="54"/>
  <c r="F38" i="54"/>
  <c r="C30" i="55"/>
  <c r="C40" i="55" s="1"/>
  <c r="C41" i="55" s="1"/>
  <c r="D41" i="55" s="1"/>
  <c r="I30" i="56"/>
  <c r="I40" i="56" s="1"/>
  <c r="C39" i="56"/>
  <c r="C41" i="56" s="1"/>
  <c r="D20" i="55"/>
  <c r="D35" i="56"/>
  <c r="E30" i="54"/>
  <c r="E40" i="54" s="1"/>
  <c r="F29" i="54"/>
  <c r="C39" i="54"/>
  <c r="C43" i="54" s="1"/>
  <c r="D20" i="54"/>
  <c r="I30" i="54"/>
  <c r="I40" i="54" s="1"/>
  <c r="E42" i="54"/>
  <c r="H38" i="54"/>
  <c r="D20" i="51"/>
  <c r="I30" i="51"/>
  <c r="I40" i="51" s="1"/>
  <c r="E42" i="51"/>
  <c r="H38" i="51"/>
  <c r="E30" i="51"/>
  <c r="E40" i="51" s="1"/>
  <c r="D40" i="51" s="1"/>
  <c r="F29" i="51"/>
  <c r="C42" i="51"/>
  <c r="I39" i="50"/>
  <c r="I30" i="50"/>
  <c r="I40" i="50" s="1"/>
  <c r="E42" i="50"/>
  <c r="D42" i="50" s="1"/>
  <c r="C30" i="50"/>
  <c r="C40" i="50" s="1"/>
  <c r="E30" i="50"/>
  <c r="E40" i="50" s="1"/>
  <c r="E43" i="50" s="1"/>
  <c r="F35" i="50"/>
  <c r="E42" i="48"/>
  <c r="G39" i="48"/>
  <c r="H29" i="48"/>
  <c r="D35" i="48"/>
  <c r="I42" i="48"/>
  <c r="F38" i="48"/>
  <c r="H35" i="48"/>
  <c r="F35" i="47"/>
  <c r="D20" i="47"/>
  <c r="C30" i="47"/>
  <c r="C40" i="47" s="1"/>
  <c r="C41" i="47" s="1"/>
  <c r="G30" i="47"/>
  <c r="G40" i="47" s="1"/>
  <c r="D35" i="47"/>
  <c r="F38" i="47"/>
  <c r="G39" i="47"/>
  <c r="C39" i="45"/>
  <c r="D35" i="45"/>
  <c r="I42" i="45"/>
  <c r="H42" i="45" s="1"/>
  <c r="F20" i="45"/>
  <c r="I30" i="45"/>
  <c r="I40" i="45" s="1"/>
  <c r="E42" i="45"/>
  <c r="F42" i="45" s="1"/>
  <c r="F29" i="45"/>
  <c r="I43" i="57"/>
  <c r="I41" i="57"/>
  <c r="C41" i="57"/>
  <c r="D40" i="57"/>
  <c r="E43" i="57"/>
  <c r="E41" i="57"/>
  <c r="G39" i="57"/>
  <c r="H39" i="57" s="1"/>
  <c r="D29" i="57"/>
  <c r="H29" i="57"/>
  <c r="C42" i="57"/>
  <c r="D42" i="57" s="1"/>
  <c r="C39" i="57"/>
  <c r="D39" i="57" s="1"/>
  <c r="G30" i="57"/>
  <c r="G40" i="57" s="1"/>
  <c r="H35" i="57"/>
  <c r="G42" i="57"/>
  <c r="H42" i="57" s="1"/>
  <c r="D40" i="56"/>
  <c r="I43" i="56"/>
  <c r="I41" i="56"/>
  <c r="H42" i="56"/>
  <c r="C42" i="56"/>
  <c r="D42" i="56" s="1"/>
  <c r="D20" i="56"/>
  <c r="H20" i="56"/>
  <c r="I39" i="56"/>
  <c r="H39" i="56" s="1"/>
  <c r="E30" i="56"/>
  <c r="E40" i="56" s="1"/>
  <c r="G30" i="56"/>
  <c r="G40" i="56" s="1"/>
  <c r="E39" i="56"/>
  <c r="F39" i="56" s="1"/>
  <c r="F35" i="56"/>
  <c r="I43" i="55"/>
  <c r="I41" i="55"/>
  <c r="D40" i="55"/>
  <c r="E43" i="55"/>
  <c r="E41" i="55"/>
  <c r="C39" i="55"/>
  <c r="D39" i="55" s="1"/>
  <c r="D29" i="55"/>
  <c r="H29" i="55"/>
  <c r="G30" i="55"/>
  <c r="G40" i="55" s="1"/>
  <c r="F40" i="55" s="1"/>
  <c r="D35" i="55"/>
  <c r="H35" i="55"/>
  <c r="G39" i="55"/>
  <c r="H39" i="55" s="1"/>
  <c r="G42" i="55"/>
  <c r="H42" i="55" s="1"/>
  <c r="D40" i="54"/>
  <c r="C41" i="54"/>
  <c r="G39" i="54"/>
  <c r="D29" i="54"/>
  <c r="D35" i="54"/>
  <c r="H35" i="54"/>
  <c r="C42" i="54"/>
  <c r="E39" i="54"/>
  <c r="F39" i="54" s="1"/>
  <c r="I39" i="54"/>
  <c r="I43" i="54" s="1"/>
  <c r="H29" i="54"/>
  <c r="G30" i="54"/>
  <c r="G40" i="54" s="1"/>
  <c r="G42" i="54"/>
  <c r="H42" i="54" s="1"/>
  <c r="I43" i="53"/>
  <c r="I41" i="53"/>
  <c r="C43" i="53"/>
  <c r="D40" i="53"/>
  <c r="E41" i="53"/>
  <c r="E43" i="53"/>
  <c r="C39" i="53"/>
  <c r="D39" i="53" s="1"/>
  <c r="H29" i="53"/>
  <c r="G30" i="53"/>
  <c r="G40" i="53" s="1"/>
  <c r="D35" i="53"/>
  <c r="H35" i="53"/>
  <c r="G42" i="53"/>
  <c r="G39" i="53"/>
  <c r="H39" i="53" s="1"/>
  <c r="D29" i="53"/>
  <c r="C39" i="51"/>
  <c r="C41" i="51" s="1"/>
  <c r="H29" i="51"/>
  <c r="D35" i="51"/>
  <c r="H35" i="51"/>
  <c r="G42" i="51"/>
  <c r="H42" i="51" s="1"/>
  <c r="E39" i="51"/>
  <c r="I39" i="51"/>
  <c r="I43" i="51" s="1"/>
  <c r="G39" i="51"/>
  <c r="D29" i="51"/>
  <c r="G30" i="51"/>
  <c r="G40" i="51" s="1"/>
  <c r="I43" i="50"/>
  <c r="I41" i="50"/>
  <c r="F42" i="50"/>
  <c r="F40" i="50"/>
  <c r="C39" i="50"/>
  <c r="D39" i="50" s="1"/>
  <c r="D29" i="50"/>
  <c r="H29" i="50"/>
  <c r="G30" i="50"/>
  <c r="G40" i="50" s="1"/>
  <c r="D35" i="50"/>
  <c r="H35" i="50"/>
  <c r="G42" i="50"/>
  <c r="H42" i="50" s="1"/>
  <c r="G39" i="50"/>
  <c r="C41" i="49"/>
  <c r="C43" i="49"/>
  <c r="I43" i="49"/>
  <c r="F42" i="49"/>
  <c r="G30" i="49"/>
  <c r="G40" i="49" s="1"/>
  <c r="C42" i="49"/>
  <c r="D42" i="49" s="1"/>
  <c r="H20" i="49"/>
  <c r="E39" i="49"/>
  <c r="F39" i="49" s="1"/>
  <c r="E30" i="49"/>
  <c r="E40" i="49" s="1"/>
  <c r="D20" i="49"/>
  <c r="I39" i="49"/>
  <c r="I41" i="49" s="1"/>
  <c r="F35" i="49"/>
  <c r="I43" i="48"/>
  <c r="G30" i="48"/>
  <c r="G40" i="48" s="1"/>
  <c r="C42" i="48"/>
  <c r="G42" i="48"/>
  <c r="H42" i="48" s="1"/>
  <c r="D20" i="48"/>
  <c r="E39" i="48"/>
  <c r="F39" i="48" s="1"/>
  <c r="E30" i="48"/>
  <c r="E40" i="48" s="1"/>
  <c r="I39" i="48"/>
  <c r="I41" i="48" s="1"/>
  <c r="F35" i="48"/>
  <c r="G43" i="47"/>
  <c r="H40" i="47"/>
  <c r="I43" i="47"/>
  <c r="I41" i="47"/>
  <c r="C43" i="47"/>
  <c r="E30" i="47"/>
  <c r="E40" i="47" s="1"/>
  <c r="C42" i="47"/>
  <c r="D42" i="47" s="1"/>
  <c r="G42" i="47"/>
  <c r="H42" i="47" s="1"/>
  <c r="H29" i="47"/>
  <c r="E39" i="47"/>
  <c r="F20" i="47"/>
  <c r="H20" i="47"/>
  <c r="G30" i="45"/>
  <c r="G40" i="45" s="1"/>
  <c r="C42" i="45"/>
  <c r="D42" i="45" s="1"/>
  <c r="H20" i="45"/>
  <c r="E39" i="45"/>
  <c r="F39" i="45" s="1"/>
  <c r="E30" i="45"/>
  <c r="E40" i="45" s="1"/>
  <c r="D20" i="45"/>
  <c r="I39" i="45"/>
  <c r="I41" i="45" s="1"/>
  <c r="F35" i="45"/>
  <c r="F40" i="34"/>
  <c r="G43" i="34"/>
  <c r="G41" i="34"/>
  <c r="H40" i="34"/>
  <c r="D40" i="34"/>
  <c r="C38" i="34"/>
  <c r="C42" i="34"/>
  <c r="D42" i="34" s="1"/>
  <c r="G42" i="34"/>
  <c r="H42" i="34" s="1"/>
  <c r="F29" i="34"/>
  <c r="F35" i="34"/>
  <c r="E39" i="34"/>
  <c r="F39" i="34" s="1"/>
  <c r="I39" i="34"/>
  <c r="I43" i="34" s="1"/>
  <c r="C41" i="48" l="1"/>
  <c r="E41" i="34"/>
  <c r="F41" i="34" s="1"/>
  <c r="D41" i="57"/>
  <c r="C41" i="45"/>
  <c r="G41" i="47"/>
  <c r="H41" i="47" s="1"/>
  <c r="D42" i="51"/>
  <c r="E43" i="34"/>
  <c r="F42" i="57"/>
  <c r="D39" i="45"/>
  <c r="C43" i="51"/>
  <c r="D42" i="54"/>
  <c r="F42" i="55"/>
  <c r="C43" i="56"/>
  <c r="H39" i="34"/>
  <c r="H39" i="49"/>
  <c r="F42" i="34"/>
  <c r="F40" i="51"/>
  <c r="F42" i="51"/>
  <c r="D40" i="50"/>
  <c r="H39" i="50"/>
  <c r="E41" i="50"/>
  <c r="F39" i="50"/>
  <c r="D39" i="48"/>
  <c r="D42" i="48"/>
  <c r="H39" i="47"/>
  <c r="F39" i="47"/>
  <c r="F42" i="47"/>
  <c r="H39" i="45"/>
  <c r="I43" i="45"/>
  <c r="G43" i="57"/>
  <c r="G41" i="57"/>
  <c r="H41" i="57" s="1"/>
  <c r="H40" i="57"/>
  <c r="F40" i="57"/>
  <c r="F39" i="57"/>
  <c r="C43" i="57"/>
  <c r="D39" i="56"/>
  <c r="H40" i="56"/>
  <c r="G43" i="56"/>
  <c r="G41" i="56"/>
  <c r="H41" i="56" s="1"/>
  <c r="F40" i="56"/>
  <c r="E41" i="56"/>
  <c r="E43" i="56"/>
  <c r="F39" i="55"/>
  <c r="H40" i="55"/>
  <c r="G43" i="55"/>
  <c r="G41" i="55"/>
  <c r="H41" i="55" s="1"/>
  <c r="F41" i="55"/>
  <c r="C43" i="55"/>
  <c r="E41" i="54"/>
  <c r="F41" i="54" s="1"/>
  <c r="F42" i="54"/>
  <c r="G43" i="54"/>
  <c r="G41" i="54"/>
  <c r="H40" i="54"/>
  <c r="H39" i="54"/>
  <c r="I41" i="54"/>
  <c r="E43" i="54"/>
  <c r="D41" i="54"/>
  <c r="F40" i="54"/>
  <c r="D39" i="54"/>
  <c r="H40" i="53"/>
  <c r="G43" i="53"/>
  <c r="G41" i="53"/>
  <c r="H41" i="53" s="1"/>
  <c r="F40" i="53"/>
  <c r="H42" i="53"/>
  <c r="F42" i="53"/>
  <c r="F41" i="53"/>
  <c r="F39" i="53"/>
  <c r="C41" i="53"/>
  <c r="D41" i="53" s="1"/>
  <c r="G43" i="51"/>
  <c r="G41" i="51"/>
  <c r="H40" i="51"/>
  <c r="F39" i="51"/>
  <c r="E41" i="51"/>
  <c r="D39" i="51"/>
  <c r="I41" i="51"/>
  <c r="H39" i="51"/>
  <c r="E43" i="51"/>
  <c r="H40" i="50"/>
  <c r="G43" i="50"/>
  <c r="G41" i="50"/>
  <c r="H41" i="50" s="1"/>
  <c r="C41" i="50"/>
  <c r="D41" i="50" s="1"/>
  <c r="C43" i="50"/>
  <c r="E41" i="49"/>
  <c r="F40" i="49"/>
  <c r="E43" i="49"/>
  <c r="H40" i="49"/>
  <c r="G43" i="49"/>
  <c r="G41" i="49"/>
  <c r="H41" i="49" s="1"/>
  <c r="D40" i="49"/>
  <c r="D39" i="49"/>
  <c r="E43" i="48"/>
  <c r="E41" i="48"/>
  <c r="F40" i="48"/>
  <c r="D40" i="48"/>
  <c r="G41" i="48"/>
  <c r="H41" i="48" s="1"/>
  <c r="H40" i="48"/>
  <c r="G43" i="48"/>
  <c r="H39" i="48"/>
  <c r="F42" i="48"/>
  <c r="E41" i="47"/>
  <c r="F41" i="47" s="1"/>
  <c r="F40" i="47"/>
  <c r="E43" i="47"/>
  <c r="D40" i="47"/>
  <c r="D39" i="47"/>
  <c r="E41" i="45"/>
  <c r="F40" i="45"/>
  <c r="E43" i="45"/>
  <c r="H40" i="45"/>
  <c r="G43" i="45"/>
  <c r="G41" i="45"/>
  <c r="H41" i="45" s="1"/>
  <c r="D40" i="45"/>
  <c r="D38" i="34"/>
  <c r="C39" i="34"/>
  <c r="I41" i="34"/>
  <c r="H41" i="34" s="1"/>
  <c r="D41" i="47" l="1"/>
  <c r="H41" i="54"/>
  <c r="H41" i="51"/>
  <c r="F41" i="48"/>
  <c r="F41" i="45"/>
  <c r="F41" i="57"/>
  <c r="F41" i="56"/>
  <c r="D41" i="56"/>
  <c r="F41" i="51"/>
  <c r="D41" i="51"/>
  <c r="F41" i="50"/>
  <c r="F41" i="49"/>
  <c r="D41" i="49"/>
  <c r="D41" i="48"/>
  <c r="D41" i="45"/>
  <c r="D39" i="34"/>
  <c r="C43" i="34"/>
  <c r="C41" i="34"/>
  <c r="D41" i="34" s="1"/>
  <c r="G23" i="36" l="1"/>
  <c r="G22" i="36"/>
  <c r="G181" i="41" l="1"/>
  <c r="F181" i="41"/>
  <c r="F185" i="41" s="1"/>
  <c r="E181" i="41"/>
  <c r="D181" i="41"/>
  <c r="D185" i="41" s="1"/>
  <c r="G180" i="41"/>
  <c r="F180" i="41"/>
  <c r="E180" i="41"/>
  <c r="D180" i="41"/>
  <c r="G177" i="41"/>
  <c r="F177" i="41"/>
  <c r="F157" i="41" s="1"/>
  <c r="E177" i="41"/>
  <c r="D177" i="41"/>
  <c r="D169" i="41" s="1"/>
  <c r="G171" i="41"/>
  <c r="F171" i="41"/>
  <c r="E171" i="41"/>
  <c r="D171" i="41"/>
  <c r="G170" i="41"/>
  <c r="F170" i="41"/>
  <c r="E170" i="41"/>
  <c r="D170" i="41"/>
  <c r="G168" i="41"/>
  <c r="F168" i="41"/>
  <c r="E168" i="41"/>
  <c r="E169" i="41" s="1"/>
  <c r="D168" i="41"/>
  <c r="G163" i="41"/>
  <c r="F163" i="41"/>
  <c r="E163" i="41"/>
  <c r="D163" i="41"/>
  <c r="F162" i="41"/>
  <c r="D162" i="41"/>
  <c r="F161" i="41"/>
  <c r="D161" i="41"/>
  <c r="F160" i="41"/>
  <c r="D160" i="41"/>
  <c r="G156" i="41"/>
  <c r="F156" i="41"/>
  <c r="E156" i="41"/>
  <c r="E157" i="41" s="1"/>
  <c r="D156" i="41"/>
  <c r="G140" i="41"/>
  <c r="F140" i="41"/>
  <c r="E140" i="41"/>
  <c r="D140" i="41"/>
  <c r="G134" i="41"/>
  <c r="G133" i="41" s="1"/>
  <c r="G147" i="41" s="1"/>
  <c r="F134" i="41"/>
  <c r="E134" i="41"/>
  <c r="D134" i="41"/>
  <c r="D133" i="41" s="1"/>
  <c r="D147" i="41" s="1"/>
  <c r="G121" i="41"/>
  <c r="G159" i="41" s="1"/>
  <c r="G161" i="41" s="1"/>
  <c r="F121" i="41"/>
  <c r="F159" i="41" s="1"/>
  <c r="E121" i="41"/>
  <c r="E159" i="41" s="1"/>
  <c r="E161" i="41" s="1"/>
  <c r="D121" i="41"/>
  <c r="D159" i="41" s="1"/>
  <c r="G117" i="41"/>
  <c r="F117" i="41"/>
  <c r="E117" i="41"/>
  <c r="D117" i="41"/>
  <c r="G112" i="41"/>
  <c r="F112" i="41"/>
  <c r="F111" i="41" s="1"/>
  <c r="E112" i="41"/>
  <c r="D112" i="41"/>
  <c r="G106" i="41"/>
  <c r="F106" i="41"/>
  <c r="E106" i="41"/>
  <c r="D106" i="41"/>
  <c r="G95" i="41"/>
  <c r="F95" i="41"/>
  <c r="E95" i="41"/>
  <c r="D95" i="41"/>
  <c r="G76" i="41"/>
  <c r="F76" i="41"/>
  <c r="E76" i="41"/>
  <c r="D76" i="41"/>
  <c r="G55" i="41"/>
  <c r="G166" i="41" s="1"/>
  <c r="F55" i="41"/>
  <c r="F166" i="41" s="1"/>
  <c r="E55" i="41"/>
  <c r="D55" i="41"/>
  <c r="D166" i="41" s="1"/>
  <c r="G36" i="41"/>
  <c r="F36" i="41"/>
  <c r="F79" i="41" s="1"/>
  <c r="E36" i="41"/>
  <c r="E79" i="41" s="1"/>
  <c r="D36" i="41"/>
  <c r="D79" i="41" s="1"/>
  <c r="G21" i="41"/>
  <c r="G78" i="41" s="1"/>
  <c r="G178" i="41" s="1"/>
  <c r="F21" i="41"/>
  <c r="E21" i="41"/>
  <c r="E78" i="41" s="1"/>
  <c r="E178" i="41" s="1"/>
  <c r="D21" i="41"/>
  <c r="D78" i="41" s="1"/>
  <c r="D178" i="41" s="1"/>
  <c r="F165" i="41" l="1"/>
  <c r="F151" i="41"/>
  <c r="F169" i="41"/>
  <c r="G169" i="41"/>
  <c r="F184" i="41"/>
  <c r="F172" i="41" s="1"/>
  <c r="F107" i="41"/>
  <c r="F152" i="41" s="1"/>
  <c r="G111" i="41"/>
  <c r="G167" i="41" s="1"/>
  <c r="E165" i="41"/>
  <c r="D151" i="41"/>
  <c r="D165" i="41"/>
  <c r="G157" i="41"/>
  <c r="D182" i="41"/>
  <c r="D107" i="41"/>
  <c r="D152" i="41" s="1"/>
  <c r="D111" i="41"/>
  <c r="D167" i="41" s="1"/>
  <c r="E111" i="41"/>
  <c r="E131" i="41" s="1"/>
  <c r="E133" i="41"/>
  <c r="E147" i="41" s="1"/>
  <c r="F133" i="41"/>
  <c r="F147" i="41" s="1"/>
  <c r="D157" i="41"/>
  <c r="E107" i="41"/>
  <c r="E184" i="41"/>
  <c r="E172" i="41" s="1"/>
  <c r="E185" i="41"/>
  <c r="G107" i="41"/>
  <c r="G108" i="41" s="1"/>
  <c r="G182" i="41"/>
  <c r="G184" i="41"/>
  <c r="G172" i="41" s="1"/>
  <c r="D179" i="41"/>
  <c r="D164" i="41"/>
  <c r="E166" i="41"/>
  <c r="G179" i="41"/>
  <c r="G164" i="41"/>
  <c r="D108" i="41"/>
  <c r="D153" i="41" s="1"/>
  <c r="D184" i="41"/>
  <c r="D172" i="41" s="1"/>
  <c r="F131" i="41"/>
  <c r="G165" i="41"/>
  <c r="F37" i="41"/>
  <c r="F56" i="41" s="1"/>
  <c r="F77" i="41" s="1"/>
  <c r="F150" i="41" s="1"/>
  <c r="F78" i="41"/>
  <c r="F178" i="41" s="1"/>
  <c r="G37" i="41"/>
  <c r="G56" i="41" s="1"/>
  <c r="G77" i="41" s="1"/>
  <c r="G150" i="41" s="1"/>
  <c r="G79" i="41"/>
  <c r="D37" i="41"/>
  <c r="D56" i="41" s="1"/>
  <c r="D77" i="41" s="1"/>
  <c r="D150" i="41" s="1"/>
  <c r="E164" i="41"/>
  <c r="E179" i="41"/>
  <c r="G185" i="41"/>
  <c r="E37" i="41"/>
  <c r="E56" i="41" s="1"/>
  <c r="E77" i="41" s="1"/>
  <c r="E150" i="41" s="1"/>
  <c r="E151" i="41" s="1"/>
  <c r="F167" i="41"/>
  <c r="E182" i="41"/>
  <c r="F182" i="41"/>
  <c r="F186" i="41" s="1"/>
  <c r="E167" i="41" l="1"/>
  <c r="F158" i="41"/>
  <c r="E186" i="41"/>
  <c r="D158" i="41"/>
  <c r="D186" i="41"/>
  <c r="F108" i="41"/>
  <c r="F153" i="41" s="1"/>
  <c r="G158" i="41"/>
  <c r="G160" i="41" s="1"/>
  <c r="G162" i="41"/>
  <c r="E158" i="41"/>
  <c r="G131" i="41"/>
  <c r="D131" i="41"/>
  <c r="E152" i="41"/>
  <c r="E108" i="41"/>
  <c r="E153" i="41" s="1"/>
  <c r="G186" i="41"/>
  <c r="E154" i="41"/>
  <c r="G154" i="41"/>
  <c r="G155" i="41"/>
  <c r="G152" i="41"/>
  <c r="G151" i="41"/>
  <c r="G153" i="41"/>
  <c r="F179" i="41"/>
  <c r="F164" i="41"/>
  <c r="D155" i="41"/>
  <c r="D154" i="41"/>
  <c r="F154" i="41"/>
  <c r="F155" i="41" l="1"/>
  <c r="E162" i="41"/>
  <c r="E160" i="41"/>
  <c r="E155" i="41"/>
  <c r="F122" i="29" l="1"/>
  <c r="F113" i="29"/>
  <c r="F96" i="29"/>
  <c r="F86" i="29"/>
  <c r="F85" i="29"/>
  <c r="G32" i="29"/>
  <c r="F32" i="29"/>
  <c r="G23" i="29"/>
  <c r="F23" i="29"/>
  <c r="G22" i="29"/>
  <c r="F22" i="29"/>
  <c r="F16" i="29"/>
  <c r="F15" i="29"/>
  <c r="F14" i="29"/>
  <c r="G13" i="29"/>
  <c r="G183" i="29" s="1"/>
  <c r="F13" i="29"/>
  <c r="F183" i="29" s="1"/>
  <c r="G8" i="29"/>
  <c r="F8" i="29"/>
  <c r="F122" i="23" l="1"/>
  <c r="F113" i="23"/>
  <c r="G23" i="23"/>
  <c r="F23" i="23"/>
  <c r="G22" i="23"/>
  <c r="F22" i="23"/>
  <c r="F122" i="25" l="1"/>
  <c r="F113" i="25"/>
  <c r="G104" i="25"/>
  <c r="G99" i="25"/>
  <c r="F99" i="25"/>
  <c r="G23" i="25"/>
  <c r="F23" i="25"/>
  <c r="G22" i="25"/>
  <c r="F22" i="25"/>
  <c r="G13" i="25"/>
  <c r="G183" i="25" s="1"/>
  <c r="F13" i="25"/>
  <c r="F183" i="25" s="1"/>
  <c r="F126" i="17" l="1"/>
  <c r="F122" i="17"/>
  <c r="F113" i="17"/>
  <c r="G23" i="17"/>
  <c r="F23" i="17"/>
  <c r="G22" i="17"/>
  <c r="F22" i="17"/>
  <c r="F115" i="22" l="1"/>
  <c r="F113" i="22"/>
  <c r="F35" i="33" l="1"/>
  <c r="F34" i="33"/>
  <c r="G181" i="26" l="1"/>
  <c r="F181" i="26"/>
  <c r="G180" i="26"/>
  <c r="F180" i="26"/>
  <c r="G177" i="26"/>
  <c r="F177" i="26"/>
  <c r="G171" i="26"/>
  <c r="F171" i="26"/>
  <c r="G170" i="26"/>
  <c r="F170" i="26"/>
  <c r="G168" i="26"/>
  <c r="F168" i="26"/>
  <c r="G163" i="26"/>
  <c r="F163" i="26"/>
  <c r="G156" i="26"/>
  <c r="F156" i="26"/>
  <c r="G140" i="26"/>
  <c r="F140" i="26"/>
  <c r="G134" i="26"/>
  <c r="F134" i="26"/>
  <c r="G121" i="26"/>
  <c r="G159" i="26" s="1"/>
  <c r="G161" i="26" s="1"/>
  <c r="F121" i="26"/>
  <c r="F159" i="26" s="1"/>
  <c r="F161" i="26" s="1"/>
  <c r="G117" i="26"/>
  <c r="F117" i="26"/>
  <c r="G112" i="26"/>
  <c r="F112" i="26"/>
  <c r="G106" i="26"/>
  <c r="F106" i="26"/>
  <c r="G95" i="26"/>
  <c r="F95" i="26"/>
  <c r="G76" i="26"/>
  <c r="F76" i="26"/>
  <c r="G55" i="26"/>
  <c r="G166" i="26" s="1"/>
  <c r="F55" i="26"/>
  <c r="F166" i="26" s="1"/>
  <c r="G36" i="26"/>
  <c r="G79" i="26" s="1"/>
  <c r="F36" i="26"/>
  <c r="F79" i="26" s="1"/>
  <c r="G21" i="26"/>
  <c r="G78" i="26" s="1"/>
  <c r="G178" i="26" s="1"/>
  <c r="F21" i="26"/>
  <c r="F78" i="26" s="1"/>
  <c r="F178" i="26" s="1"/>
  <c r="G181" i="39"/>
  <c r="F181" i="39"/>
  <c r="G180" i="39"/>
  <c r="F180" i="39"/>
  <c r="G177" i="39"/>
  <c r="F177" i="39"/>
  <c r="F151" i="39" s="1"/>
  <c r="G171" i="39"/>
  <c r="F171" i="39"/>
  <c r="G170" i="39"/>
  <c r="F170" i="39"/>
  <c r="G168" i="39"/>
  <c r="F168" i="39"/>
  <c r="G163" i="39"/>
  <c r="F163" i="39"/>
  <c r="F162" i="39"/>
  <c r="F161" i="39"/>
  <c r="F160" i="39"/>
  <c r="F157" i="39"/>
  <c r="G156" i="39"/>
  <c r="F156" i="39"/>
  <c r="G140" i="39"/>
  <c r="F140" i="39"/>
  <c r="G134" i="39"/>
  <c r="F134" i="39"/>
  <c r="G121" i="39"/>
  <c r="G159" i="39" s="1"/>
  <c r="G161" i="39" s="1"/>
  <c r="F121" i="39"/>
  <c r="F159" i="39" s="1"/>
  <c r="G117" i="39"/>
  <c r="F117" i="39"/>
  <c r="G112" i="39"/>
  <c r="F112" i="39"/>
  <c r="G106" i="39"/>
  <c r="F106" i="39"/>
  <c r="G95" i="39"/>
  <c r="F95" i="39"/>
  <c r="G76" i="39"/>
  <c r="F76" i="39"/>
  <c r="G55" i="39"/>
  <c r="G166" i="39" s="1"/>
  <c r="F55" i="39"/>
  <c r="F166" i="39" s="1"/>
  <c r="G36" i="39"/>
  <c r="G79" i="39" s="1"/>
  <c r="F36" i="39"/>
  <c r="F79" i="39" s="1"/>
  <c r="G21" i="39"/>
  <c r="G78" i="39" s="1"/>
  <c r="G178" i="39" s="1"/>
  <c r="F21" i="39"/>
  <c r="F78" i="39" s="1"/>
  <c r="F178" i="39" s="1"/>
  <c r="G181" i="23"/>
  <c r="F181" i="23"/>
  <c r="G180" i="23"/>
  <c r="F180" i="23"/>
  <c r="G177" i="23"/>
  <c r="F177" i="23"/>
  <c r="G171" i="23"/>
  <c r="F171" i="23"/>
  <c r="G170" i="23"/>
  <c r="F170" i="23"/>
  <c r="G168" i="23"/>
  <c r="F168" i="23"/>
  <c r="G163" i="23"/>
  <c r="F163" i="23"/>
  <c r="G156" i="23"/>
  <c r="F156" i="23"/>
  <c r="G140" i="23"/>
  <c r="F140" i="23"/>
  <c r="G134" i="23"/>
  <c r="F134" i="23"/>
  <c r="G121" i="23"/>
  <c r="G159" i="23" s="1"/>
  <c r="G161" i="23" s="1"/>
  <c r="F121" i="23"/>
  <c r="F159" i="23" s="1"/>
  <c r="F161" i="23" s="1"/>
  <c r="G117" i="23"/>
  <c r="F117" i="23"/>
  <c r="G112" i="23"/>
  <c r="F112" i="23"/>
  <c r="G106" i="23"/>
  <c r="F106" i="23"/>
  <c r="G95" i="23"/>
  <c r="F95" i="23"/>
  <c r="G76" i="23"/>
  <c r="F76" i="23"/>
  <c r="G55" i="23"/>
  <c r="G166" i="23" s="1"/>
  <c r="F55" i="23"/>
  <c r="F166" i="23" s="1"/>
  <c r="G36" i="23"/>
  <c r="G79" i="23" s="1"/>
  <c r="F36" i="23"/>
  <c r="F79" i="23" s="1"/>
  <c r="G21" i="23"/>
  <c r="F21" i="23"/>
  <c r="F78" i="23" s="1"/>
  <c r="F178" i="23" s="1"/>
  <c r="G181" i="38"/>
  <c r="F181" i="38"/>
  <c r="G180" i="38"/>
  <c r="F180" i="38"/>
  <c r="G177" i="38"/>
  <c r="F177" i="38"/>
  <c r="F169" i="38" s="1"/>
  <c r="G171" i="38"/>
  <c r="F171" i="38"/>
  <c r="G170" i="38"/>
  <c r="F170" i="38"/>
  <c r="G168" i="38"/>
  <c r="F168" i="38"/>
  <c r="F165" i="38"/>
  <c r="G163" i="38"/>
  <c r="F163" i="38"/>
  <c r="F162" i="38"/>
  <c r="F161" i="38"/>
  <c r="F160" i="38"/>
  <c r="F157" i="38"/>
  <c r="G156" i="38"/>
  <c r="F156" i="38"/>
  <c r="G140" i="38"/>
  <c r="F140" i="38"/>
  <c r="G134" i="38"/>
  <c r="F134" i="38"/>
  <c r="G121" i="38"/>
  <c r="G159" i="38" s="1"/>
  <c r="G161" i="38" s="1"/>
  <c r="F121" i="38"/>
  <c r="F159" i="38" s="1"/>
  <c r="G117" i="38"/>
  <c r="F117" i="38"/>
  <c r="G112" i="38"/>
  <c r="G111" i="38" s="1"/>
  <c r="G167" i="38" s="1"/>
  <c r="F112" i="38"/>
  <c r="G106" i="38"/>
  <c r="F106" i="38"/>
  <c r="G95" i="38"/>
  <c r="F95" i="38"/>
  <c r="G76" i="38"/>
  <c r="F76" i="38"/>
  <c r="G55" i="38"/>
  <c r="G166" i="38" s="1"/>
  <c r="F55" i="38"/>
  <c r="F166" i="38" s="1"/>
  <c r="G36" i="38"/>
  <c r="G79" i="38" s="1"/>
  <c r="F36" i="38"/>
  <c r="F79" i="38" s="1"/>
  <c r="G21" i="38"/>
  <c r="G78" i="38" s="1"/>
  <c r="G178" i="38" s="1"/>
  <c r="F21" i="38"/>
  <c r="F78" i="38" s="1"/>
  <c r="F178" i="38" s="1"/>
  <c r="G181" i="25"/>
  <c r="F181" i="25"/>
  <c r="G180" i="25"/>
  <c r="F180" i="25"/>
  <c r="G177" i="25"/>
  <c r="F177" i="25"/>
  <c r="G171" i="25"/>
  <c r="F171" i="25"/>
  <c r="G170" i="25"/>
  <c r="F170" i="25"/>
  <c r="G168" i="25"/>
  <c r="F168" i="25"/>
  <c r="G163" i="25"/>
  <c r="F163" i="25"/>
  <c r="G156" i="25"/>
  <c r="F156" i="25"/>
  <c r="G140" i="25"/>
  <c r="F140" i="25"/>
  <c r="G134" i="25"/>
  <c r="F134" i="25"/>
  <c r="G121" i="25"/>
  <c r="G159" i="25" s="1"/>
  <c r="G161" i="25" s="1"/>
  <c r="F121" i="25"/>
  <c r="F159" i="25" s="1"/>
  <c r="F161" i="25" s="1"/>
  <c r="G117" i="25"/>
  <c r="F117" i="25"/>
  <c r="G112" i="25"/>
  <c r="F112" i="25"/>
  <c r="G106" i="25"/>
  <c r="F106" i="25"/>
  <c r="G95" i="25"/>
  <c r="F95" i="25"/>
  <c r="G76" i="25"/>
  <c r="F76" i="25"/>
  <c r="G55" i="25"/>
  <c r="G166" i="25" s="1"/>
  <c r="F55" i="25"/>
  <c r="F166" i="25" s="1"/>
  <c r="G36" i="25"/>
  <c r="G79" i="25" s="1"/>
  <c r="F36" i="25"/>
  <c r="F79" i="25" s="1"/>
  <c r="G21" i="25"/>
  <c r="G78" i="25" s="1"/>
  <c r="G178" i="25" s="1"/>
  <c r="F21" i="25"/>
  <c r="F78" i="25" s="1"/>
  <c r="F178" i="25" s="1"/>
  <c r="G181" i="21"/>
  <c r="F181" i="21"/>
  <c r="G180" i="21"/>
  <c r="F180" i="21"/>
  <c r="G177" i="21"/>
  <c r="F177" i="21"/>
  <c r="G171" i="21"/>
  <c r="F171" i="21"/>
  <c r="G170" i="21"/>
  <c r="F170" i="21"/>
  <c r="G168" i="21"/>
  <c r="F168" i="21"/>
  <c r="G163" i="21"/>
  <c r="F163" i="21"/>
  <c r="G156" i="21"/>
  <c r="F156" i="21"/>
  <c r="G140" i="21"/>
  <c r="F140" i="21"/>
  <c r="G134" i="21"/>
  <c r="F134" i="21"/>
  <c r="G121" i="21"/>
  <c r="G159" i="21" s="1"/>
  <c r="G161" i="21" s="1"/>
  <c r="F121" i="21"/>
  <c r="F159" i="21" s="1"/>
  <c r="F161" i="21" s="1"/>
  <c r="G117" i="21"/>
  <c r="F117" i="21"/>
  <c r="G112" i="21"/>
  <c r="F112" i="21"/>
  <c r="G106" i="21"/>
  <c r="F106" i="21"/>
  <c r="G95" i="21"/>
  <c r="F95" i="21"/>
  <c r="G76" i="21"/>
  <c r="F76" i="21"/>
  <c r="G55" i="21"/>
  <c r="G166" i="21" s="1"/>
  <c r="F55" i="21"/>
  <c r="F166" i="21" s="1"/>
  <c r="G36" i="21"/>
  <c r="G79" i="21" s="1"/>
  <c r="F36" i="21"/>
  <c r="F79" i="21" s="1"/>
  <c r="G21" i="21"/>
  <c r="F21" i="21"/>
  <c r="F78" i="21" s="1"/>
  <c r="F178" i="21" s="1"/>
  <c r="G181" i="36"/>
  <c r="F181" i="36"/>
  <c r="G180" i="36"/>
  <c r="F180" i="36"/>
  <c r="G177" i="36"/>
  <c r="G169" i="36" s="1"/>
  <c r="F177" i="36"/>
  <c r="F169" i="36" s="1"/>
  <c r="G171" i="36"/>
  <c r="F171" i="36"/>
  <c r="G170" i="36"/>
  <c r="F170" i="36"/>
  <c r="G168" i="36"/>
  <c r="F168" i="36"/>
  <c r="G163" i="36"/>
  <c r="F163" i="36"/>
  <c r="F162" i="36"/>
  <c r="F161" i="36"/>
  <c r="F160" i="36"/>
  <c r="G156" i="36"/>
  <c r="F156" i="36"/>
  <c r="G140" i="36"/>
  <c r="F140" i="36"/>
  <c r="G134" i="36"/>
  <c r="F134" i="36"/>
  <c r="G121" i="36"/>
  <c r="G159" i="36" s="1"/>
  <c r="G161" i="36" s="1"/>
  <c r="F121" i="36"/>
  <c r="F159" i="36" s="1"/>
  <c r="G117" i="36"/>
  <c r="F117" i="36"/>
  <c r="G112" i="36"/>
  <c r="F112" i="36"/>
  <c r="G106" i="36"/>
  <c r="F106" i="36"/>
  <c r="G95" i="36"/>
  <c r="F95" i="36"/>
  <c r="G76" i="36"/>
  <c r="F76" i="36"/>
  <c r="G55" i="36"/>
  <c r="G166" i="36" s="1"/>
  <c r="F55" i="36"/>
  <c r="F166" i="36" s="1"/>
  <c r="G36" i="36"/>
  <c r="G79" i="36" s="1"/>
  <c r="F36" i="36"/>
  <c r="F79" i="36" s="1"/>
  <c r="G21" i="36"/>
  <c r="G78" i="36" s="1"/>
  <c r="G178" i="36" s="1"/>
  <c r="F21" i="36"/>
  <c r="F78" i="36" s="1"/>
  <c r="F178" i="36" s="1"/>
  <c r="G181" i="17"/>
  <c r="F181" i="17"/>
  <c r="G180" i="17"/>
  <c r="F180" i="17"/>
  <c r="G177" i="17"/>
  <c r="F177" i="17"/>
  <c r="G171" i="17"/>
  <c r="F171" i="17"/>
  <c r="G170" i="17"/>
  <c r="F170" i="17"/>
  <c r="G168" i="17"/>
  <c r="F168" i="17"/>
  <c r="G163" i="17"/>
  <c r="F163" i="17"/>
  <c r="G156" i="17"/>
  <c r="F156" i="17"/>
  <c r="G140" i="17"/>
  <c r="F140" i="17"/>
  <c r="G134" i="17"/>
  <c r="F134" i="17"/>
  <c r="G121" i="17"/>
  <c r="G159" i="17" s="1"/>
  <c r="G161" i="17" s="1"/>
  <c r="F121" i="17"/>
  <c r="F159" i="17" s="1"/>
  <c r="F161" i="17" s="1"/>
  <c r="G117" i="17"/>
  <c r="F117" i="17"/>
  <c r="G112" i="17"/>
  <c r="F112" i="17"/>
  <c r="G106" i="17"/>
  <c r="F106" i="17"/>
  <c r="G95" i="17"/>
  <c r="F95" i="17"/>
  <c r="G76" i="17"/>
  <c r="F76" i="17"/>
  <c r="G55" i="17"/>
  <c r="G166" i="17" s="1"/>
  <c r="F55" i="17"/>
  <c r="F166" i="17" s="1"/>
  <c r="G36" i="17"/>
  <c r="G79" i="17" s="1"/>
  <c r="F36" i="17"/>
  <c r="F79" i="17" s="1"/>
  <c r="G21" i="17"/>
  <c r="G78" i="17" s="1"/>
  <c r="G178" i="17" s="1"/>
  <c r="F21" i="17"/>
  <c r="F78" i="17" s="1"/>
  <c r="F178" i="17" s="1"/>
  <c r="G181" i="32"/>
  <c r="F181" i="32"/>
  <c r="G180" i="32"/>
  <c r="F180" i="32"/>
  <c r="G177" i="32"/>
  <c r="F177" i="32"/>
  <c r="G171" i="32"/>
  <c r="F171" i="32"/>
  <c r="G170" i="32"/>
  <c r="F170" i="32"/>
  <c r="G168" i="32"/>
  <c r="F168" i="32"/>
  <c r="G163" i="32"/>
  <c r="F163" i="32"/>
  <c r="G156" i="32"/>
  <c r="F156" i="32"/>
  <c r="G140" i="32"/>
  <c r="F140" i="32"/>
  <c r="G134" i="32"/>
  <c r="F134" i="32"/>
  <c r="G121" i="32"/>
  <c r="G159" i="32" s="1"/>
  <c r="G161" i="32" s="1"/>
  <c r="F121" i="32"/>
  <c r="F159" i="32" s="1"/>
  <c r="F161" i="32" s="1"/>
  <c r="G117" i="32"/>
  <c r="F117" i="32"/>
  <c r="G112" i="32"/>
  <c r="F112" i="32"/>
  <c r="G106" i="32"/>
  <c r="F106" i="32"/>
  <c r="G95" i="32"/>
  <c r="F95" i="32"/>
  <c r="G76" i="32"/>
  <c r="F76" i="32"/>
  <c r="G55" i="32"/>
  <c r="G166" i="32" s="1"/>
  <c r="F55" i="32"/>
  <c r="F166" i="32" s="1"/>
  <c r="G36" i="32"/>
  <c r="G79" i="32" s="1"/>
  <c r="F36" i="32"/>
  <c r="F79" i="32" s="1"/>
  <c r="G21" i="32"/>
  <c r="G78" i="32" s="1"/>
  <c r="G178" i="32" s="1"/>
  <c r="F21" i="32"/>
  <c r="F78" i="32" s="1"/>
  <c r="F178" i="32" s="1"/>
  <c r="G181" i="24"/>
  <c r="F181" i="24"/>
  <c r="G180" i="24"/>
  <c r="F180" i="24"/>
  <c r="G177" i="24"/>
  <c r="F177" i="24"/>
  <c r="G171" i="24"/>
  <c r="F171" i="24"/>
  <c r="G170" i="24"/>
  <c r="F170" i="24"/>
  <c r="G168" i="24"/>
  <c r="F168" i="24"/>
  <c r="G163" i="24"/>
  <c r="F163" i="24"/>
  <c r="G156" i="24"/>
  <c r="F156" i="24"/>
  <c r="G140" i="24"/>
  <c r="F140" i="24"/>
  <c r="G134" i="24"/>
  <c r="F134" i="24"/>
  <c r="G121" i="24"/>
  <c r="G159" i="24" s="1"/>
  <c r="G161" i="24" s="1"/>
  <c r="F121" i="24"/>
  <c r="F159" i="24" s="1"/>
  <c r="F161" i="24" s="1"/>
  <c r="G117" i="24"/>
  <c r="F117" i="24"/>
  <c r="G112" i="24"/>
  <c r="F112" i="24"/>
  <c r="G106" i="24"/>
  <c r="F106" i="24"/>
  <c r="G95" i="24"/>
  <c r="F95" i="24"/>
  <c r="G76" i="24"/>
  <c r="F76" i="24"/>
  <c r="G55" i="24"/>
  <c r="G166" i="24" s="1"/>
  <c r="F55" i="24"/>
  <c r="F166" i="24" s="1"/>
  <c r="G36" i="24"/>
  <c r="G79" i="24" s="1"/>
  <c r="F36" i="24"/>
  <c r="F79" i="24" s="1"/>
  <c r="G21" i="24"/>
  <c r="F21" i="24"/>
  <c r="F78" i="24" s="1"/>
  <c r="F178" i="24" s="1"/>
  <c r="G183" i="22"/>
  <c r="F183" i="22"/>
  <c r="G181" i="22"/>
  <c r="F181" i="22"/>
  <c r="G180" i="22"/>
  <c r="F180" i="22"/>
  <c r="G177" i="22"/>
  <c r="F177" i="22"/>
  <c r="G171" i="22"/>
  <c r="F171" i="22"/>
  <c r="G170" i="22"/>
  <c r="F170" i="22"/>
  <c r="G168" i="22"/>
  <c r="F168" i="22"/>
  <c r="G163" i="22"/>
  <c r="F163" i="22"/>
  <c r="G156" i="22"/>
  <c r="F156" i="22"/>
  <c r="G140" i="22"/>
  <c r="F140" i="22"/>
  <c r="G134" i="22"/>
  <c r="F134" i="22"/>
  <c r="G121" i="22"/>
  <c r="G159" i="22" s="1"/>
  <c r="G161" i="22" s="1"/>
  <c r="F121" i="22"/>
  <c r="F159" i="22" s="1"/>
  <c r="F161" i="22" s="1"/>
  <c r="G117" i="22"/>
  <c r="F117" i="22"/>
  <c r="G112" i="22"/>
  <c r="F112" i="22"/>
  <c r="G106" i="22"/>
  <c r="F106" i="22"/>
  <c r="G95" i="22"/>
  <c r="F95" i="22"/>
  <c r="G76" i="22"/>
  <c r="F76" i="22"/>
  <c r="G55" i="22"/>
  <c r="G166" i="22" s="1"/>
  <c r="F55" i="22"/>
  <c r="F166" i="22" s="1"/>
  <c r="G36" i="22"/>
  <c r="G79" i="22" s="1"/>
  <c r="F36" i="22"/>
  <c r="F79" i="22" s="1"/>
  <c r="G21" i="22"/>
  <c r="G78" i="22" s="1"/>
  <c r="G178" i="22" s="1"/>
  <c r="F21" i="22"/>
  <c r="F78" i="22" s="1"/>
  <c r="F178" i="22" s="1"/>
  <c r="G181" i="31"/>
  <c r="F181" i="31"/>
  <c r="G180" i="31"/>
  <c r="F180" i="31"/>
  <c r="G177" i="31"/>
  <c r="F177" i="31"/>
  <c r="G171" i="31"/>
  <c r="F171" i="31"/>
  <c r="G170" i="31"/>
  <c r="F170" i="31"/>
  <c r="G168" i="31"/>
  <c r="F168" i="31"/>
  <c r="G163" i="31"/>
  <c r="F163" i="31"/>
  <c r="G156" i="31"/>
  <c r="F156" i="31"/>
  <c r="G140" i="31"/>
  <c r="F140" i="31"/>
  <c r="G134" i="31"/>
  <c r="F134" i="31"/>
  <c r="G121" i="31"/>
  <c r="G159" i="31" s="1"/>
  <c r="G161" i="31" s="1"/>
  <c r="F121" i="31"/>
  <c r="F159" i="31" s="1"/>
  <c r="F161" i="31" s="1"/>
  <c r="G117" i="31"/>
  <c r="F117" i="31"/>
  <c r="G112" i="31"/>
  <c r="F112" i="31"/>
  <c r="G106" i="31"/>
  <c r="F106" i="31"/>
  <c r="G95" i="31"/>
  <c r="F95" i="31"/>
  <c r="G76" i="31"/>
  <c r="F76" i="31"/>
  <c r="G55" i="31"/>
  <c r="G166" i="31" s="1"/>
  <c r="F55" i="31"/>
  <c r="F166" i="31" s="1"/>
  <c r="G36" i="31"/>
  <c r="G79" i="31" s="1"/>
  <c r="F36" i="31"/>
  <c r="F79" i="31" s="1"/>
  <c r="G21" i="31"/>
  <c r="F21" i="31"/>
  <c r="F78" i="31" s="1"/>
  <c r="F178" i="31" s="1"/>
  <c r="G181" i="20"/>
  <c r="F181" i="20"/>
  <c r="G180" i="20"/>
  <c r="F180" i="20"/>
  <c r="G177" i="20"/>
  <c r="F177" i="20"/>
  <c r="G171" i="20"/>
  <c r="F171" i="20"/>
  <c r="G170" i="20"/>
  <c r="F170" i="20"/>
  <c r="G168" i="20"/>
  <c r="F168" i="20"/>
  <c r="G163" i="20"/>
  <c r="F163" i="20"/>
  <c r="G156" i="20"/>
  <c r="F156" i="20"/>
  <c r="G140" i="20"/>
  <c r="F140" i="20"/>
  <c r="G134" i="20"/>
  <c r="F134" i="20"/>
  <c r="G121" i="20"/>
  <c r="G159" i="20" s="1"/>
  <c r="G161" i="20" s="1"/>
  <c r="F121" i="20"/>
  <c r="F159" i="20" s="1"/>
  <c r="F161" i="20" s="1"/>
  <c r="G117" i="20"/>
  <c r="F117" i="20"/>
  <c r="G112" i="20"/>
  <c r="F112" i="20"/>
  <c r="G106" i="20"/>
  <c r="F106" i="20"/>
  <c r="G95" i="20"/>
  <c r="F95" i="20"/>
  <c r="G76" i="20"/>
  <c r="F76" i="20"/>
  <c r="G55" i="20"/>
  <c r="G166" i="20" s="1"/>
  <c r="F55" i="20"/>
  <c r="F166" i="20" s="1"/>
  <c r="G36" i="20"/>
  <c r="G79" i="20" s="1"/>
  <c r="F36" i="20"/>
  <c r="F79" i="20" s="1"/>
  <c r="G21" i="20"/>
  <c r="G78" i="20" s="1"/>
  <c r="G178" i="20" s="1"/>
  <c r="F21" i="20"/>
  <c r="F78" i="20" s="1"/>
  <c r="F178" i="20" s="1"/>
  <c r="G181" i="28"/>
  <c r="F181" i="28"/>
  <c r="G180" i="28"/>
  <c r="F180" i="28"/>
  <c r="G177" i="28"/>
  <c r="F177" i="28"/>
  <c r="G171" i="28"/>
  <c r="F171" i="28"/>
  <c r="G170" i="28"/>
  <c r="F170" i="28"/>
  <c r="G168" i="28"/>
  <c r="F168" i="28"/>
  <c r="G163" i="28"/>
  <c r="F163" i="28"/>
  <c r="G156" i="28"/>
  <c r="F156" i="28"/>
  <c r="G140" i="28"/>
  <c r="F140" i="28"/>
  <c r="G134" i="28"/>
  <c r="F134" i="28"/>
  <c r="G121" i="28"/>
  <c r="F121" i="28"/>
  <c r="G117" i="28"/>
  <c r="F117" i="28"/>
  <c r="G112" i="28"/>
  <c r="F112" i="28"/>
  <c r="G106" i="28"/>
  <c r="F106" i="28"/>
  <c r="G95" i="28"/>
  <c r="F95" i="28"/>
  <c r="G76" i="28"/>
  <c r="F76" i="28"/>
  <c r="G55" i="28"/>
  <c r="F55" i="28"/>
  <c r="G36" i="28"/>
  <c r="F36" i="28"/>
  <c r="G21" i="28"/>
  <c r="F21" i="28"/>
  <c r="G181" i="29"/>
  <c r="F181" i="29"/>
  <c r="G180" i="29"/>
  <c r="F180" i="29"/>
  <c r="G177" i="29"/>
  <c r="F177" i="29"/>
  <c r="G171" i="29"/>
  <c r="F171" i="29"/>
  <c r="G170" i="29"/>
  <c r="F170" i="29"/>
  <c r="G168" i="29"/>
  <c r="F168" i="29"/>
  <c r="G163" i="29"/>
  <c r="F163" i="29"/>
  <c r="G156" i="29"/>
  <c r="F156" i="29"/>
  <c r="G140" i="29"/>
  <c r="F140" i="29"/>
  <c r="G134" i="29"/>
  <c r="G133" i="29" s="1"/>
  <c r="F134" i="29"/>
  <c r="G121" i="29"/>
  <c r="G159" i="29" s="1"/>
  <c r="G161" i="29" s="1"/>
  <c r="F121" i="29"/>
  <c r="F159" i="29" s="1"/>
  <c r="F161" i="29" s="1"/>
  <c r="G117" i="29"/>
  <c r="F117" i="29"/>
  <c r="F111" i="29" s="1"/>
  <c r="G112" i="29"/>
  <c r="F112" i="29"/>
  <c r="G111" i="29"/>
  <c r="G131" i="29" s="1"/>
  <c r="G106" i="29"/>
  <c r="F106" i="29"/>
  <c r="G95" i="29"/>
  <c r="F95" i="29"/>
  <c r="G76" i="29"/>
  <c r="F76" i="29"/>
  <c r="G55" i="29"/>
  <c r="G166" i="29" s="1"/>
  <c r="F55" i="29"/>
  <c r="F166" i="29" s="1"/>
  <c r="G36" i="29"/>
  <c r="G79" i="29" s="1"/>
  <c r="F36" i="29"/>
  <c r="F79" i="29" s="1"/>
  <c r="G21" i="29"/>
  <c r="G78" i="29" s="1"/>
  <c r="G178" i="29" s="1"/>
  <c r="F21" i="29"/>
  <c r="F78" i="29" s="1"/>
  <c r="F178" i="29" s="1"/>
  <c r="G181" i="19"/>
  <c r="F181" i="19"/>
  <c r="G180" i="19"/>
  <c r="F180" i="19"/>
  <c r="G177" i="19"/>
  <c r="F177" i="19"/>
  <c r="G171" i="19"/>
  <c r="F171" i="19"/>
  <c r="G170" i="19"/>
  <c r="F170" i="19"/>
  <c r="G168" i="19"/>
  <c r="F168" i="19"/>
  <c r="G163" i="19"/>
  <c r="F163" i="19"/>
  <c r="G156" i="19"/>
  <c r="F156" i="19"/>
  <c r="G140" i="19"/>
  <c r="F140" i="19"/>
  <c r="G134" i="19"/>
  <c r="G133" i="19" s="1"/>
  <c r="F134" i="19"/>
  <c r="F133" i="19" s="1"/>
  <c r="G121" i="19"/>
  <c r="G159" i="19" s="1"/>
  <c r="G161" i="19" s="1"/>
  <c r="F121" i="19"/>
  <c r="F159" i="19" s="1"/>
  <c r="F161" i="19" s="1"/>
  <c r="G117" i="19"/>
  <c r="F117" i="19"/>
  <c r="G112" i="19"/>
  <c r="F112" i="19"/>
  <c r="G106" i="19"/>
  <c r="F106" i="19"/>
  <c r="G95" i="19"/>
  <c r="F95" i="19"/>
  <c r="G76" i="19"/>
  <c r="F76" i="19"/>
  <c r="G55" i="19"/>
  <c r="G166" i="19" s="1"/>
  <c r="F55" i="19"/>
  <c r="F166" i="19" s="1"/>
  <c r="G36" i="19"/>
  <c r="G79" i="19" s="1"/>
  <c r="F36" i="19"/>
  <c r="F79" i="19" s="1"/>
  <c r="G21" i="19"/>
  <c r="F21" i="19"/>
  <c r="F78" i="19" s="1"/>
  <c r="F178" i="19" s="1"/>
  <c r="G181" i="33"/>
  <c r="F181" i="33"/>
  <c r="G180" i="33"/>
  <c r="F180" i="33"/>
  <c r="G177" i="33"/>
  <c r="F177" i="33"/>
  <c r="G171" i="33"/>
  <c r="F171" i="33"/>
  <c r="G170" i="33"/>
  <c r="F170" i="33"/>
  <c r="G168" i="33"/>
  <c r="F168" i="33"/>
  <c r="G163" i="33"/>
  <c r="F163" i="33"/>
  <c r="G156" i="33"/>
  <c r="F156" i="33"/>
  <c r="G140" i="33"/>
  <c r="F140" i="33"/>
  <c r="G134" i="33"/>
  <c r="F134" i="33"/>
  <c r="F133" i="33" s="1"/>
  <c r="G121" i="33"/>
  <c r="G159" i="33" s="1"/>
  <c r="G161" i="33" s="1"/>
  <c r="F121" i="33"/>
  <c r="F159" i="33" s="1"/>
  <c r="F161" i="33" s="1"/>
  <c r="G117" i="33"/>
  <c r="F117" i="33"/>
  <c r="G112" i="33"/>
  <c r="F112" i="33"/>
  <c r="G106" i="33"/>
  <c r="F106" i="33"/>
  <c r="G95" i="33"/>
  <c r="F95" i="33"/>
  <c r="F107" i="33" s="1"/>
  <c r="G76" i="33"/>
  <c r="F76" i="33"/>
  <c r="G55" i="33"/>
  <c r="G166" i="33" s="1"/>
  <c r="F55" i="33"/>
  <c r="F166" i="33" s="1"/>
  <c r="G36" i="33"/>
  <c r="G79" i="33" s="1"/>
  <c r="F36" i="33"/>
  <c r="F79" i="33" s="1"/>
  <c r="G21" i="33"/>
  <c r="F21" i="33"/>
  <c r="G181" i="35"/>
  <c r="F181" i="35"/>
  <c r="G180" i="35"/>
  <c r="G165" i="35" s="1"/>
  <c r="F180" i="35"/>
  <c r="G177" i="35"/>
  <c r="F177" i="35"/>
  <c r="F169" i="35" s="1"/>
  <c r="G171" i="35"/>
  <c r="F171" i="35"/>
  <c r="G170" i="35"/>
  <c r="F170" i="35"/>
  <c r="G168" i="35"/>
  <c r="F168" i="35"/>
  <c r="G163" i="35"/>
  <c r="F163" i="35"/>
  <c r="F162" i="35"/>
  <c r="F161" i="35"/>
  <c r="F160" i="35"/>
  <c r="G156" i="35"/>
  <c r="F156" i="35"/>
  <c r="G140" i="35"/>
  <c r="F140" i="35"/>
  <c r="G134" i="35"/>
  <c r="G133" i="35" s="1"/>
  <c r="G147" i="35" s="1"/>
  <c r="F134" i="35"/>
  <c r="F133" i="35" s="1"/>
  <c r="F147" i="35" s="1"/>
  <c r="G121" i="35"/>
  <c r="F121" i="35"/>
  <c r="F159" i="35" s="1"/>
  <c r="G117" i="35"/>
  <c r="F117" i="35"/>
  <c r="G112" i="35"/>
  <c r="F112" i="35"/>
  <c r="G106" i="35"/>
  <c r="F106" i="35"/>
  <c r="G95" i="35"/>
  <c r="F95" i="35"/>
  <c r="G76" i="35"/>
  <c r="F76" i="35"/>
  <c r="G55" i="35"/>
  <c r="F55" i="35"/>
  <c r="F166" i="35" s="1"/>
  <c r="G36" i="35"/>
  <c r="F36" i="35"/>
  <c r="F79" i="35" s="1"/>
  <c r="G21" i="35"/>
  <c r="F21" i="35"/>
  <c r="F78" i="35" s="1"/>
  <c r="E181" i="39"/>
  <c r="D181" i="39"/>
  <c r="E180" i="39"/>
  <c r="D180" i="39"/>
  <c r="E177" i="39"/>
  <c r="E169" i="39" s="1"/>
  <c r="D177" i="39"/>
  <c r="D151" i="39" s="1"/>
  <c r="E171" i="39"/>
  <c r="D171" i="39"/>
  <c r="E170" i="39"/>
  <c r="D170" i="39"/>
  <c r="E168" i="39"/>
  <c r="D168" i="39"/>
  <c r="E163" i="39"/>
  <c r="D163" i="39"/>
  <c r="E162" i="39"/>
  <c r="D162" i="39"/>
  <c r="E161" i="39"/>
  <c r="D161" i="39"/>
  <c r="E160" i="39"/>
  <c r="D160" i="39"/>
  <c r="E156" i="39"/>
  <c r="D156" i="39"/>
  <c r="E140" i="39"/>
  <c r="D140" i="39"/>
  <c r="E134" i="39"/>
  <c r="D134" i="39"/>
  <c r="E121" i="39"/>
  <c r="E159" i="39" s="1"/>
  <c r="D121" i="39"/>
  <c r="D159" i="39" s="1"/>
  <c r="E117" i="39"/>
  <c r="D117" i="39"/>
  <c r="E112" i="39"/>
  <c r="E111" i="39" s="1"/>
  <c r="D112" i="39"/>
  <c r="E106" i="39"/>
  <c r="D106" i="39"/>
  <c r="E95" i="39"/>
  <c r="D95" i="39"/>
  <c r="E76" i="39"/>
  <c r="D76" i="39"/>
  <c r="E55" i="39"/>
  <c r="E166" i="39" s="1"/>
  <c r="D55" i="39"/>
  <c r="D166" i="39" s="1"/>
  <c r="E36" i="39"/>
  <c r="D36" i="39"/>
  <c r="D79" i="39" s="1"/>
  <c r="E21" i="39"/>
  <c r="E78" i="39" s="1"/>
  <c r="E178" i="39" s="1"/>
  <c r="D21" i="39"/>
  <c r="D78" i="39" s="1"/>
  <c r="D178" i="39" s="1"/>
  <c r="E181" i="38"/>
  <c r="D181" i="38"/>
  <c r="E180" i="38"/>
  <c r="D180" i="38"/>
  <c r="E177" i="38"/>
  <c r="E169" i="38" s="1"/>
  <c r="D177" i="38"/>
  <c r="E171" i="38"/>
  <c r="D171" i="38"/>
  <c r="E170" i="38"/>
  <c r="D170" i="38"/>
  <c r="E168" i="38"/>
  <c r="D168" i="38"/>
  <c r="E163" i="38"/>
  <c r="D163" i="38"/>
  <c r="E156" i="38"/>
  <c r="D156" i="38"/>
  <c r="E140" i="38"/>
  <c r="D140" i="38"/>
  <c r="E134" i="38"/>
  <c r="D134" i="38"/>
  <c r="E121" i="38"/>
  <c r="E159" i="38" s="1"/>
  <c r="E161" i="38" s="1"/>
  <c r="D121" i="38"/>
  <c r="D159" i="38" s="1"/>
  <c r="D161" i="38" s="1"/>
  <c r="E117" i="38"/>
  <c r="D117" i="38"/>
  <c r="E112" i="38"/>
  <c r="D112" i="38"/>
  <c r="E106" i="38"/>
  <c r="D106" i="38"/>
  <c r="E95" i="38"/>
  <c r="D95" i="38"/>
  <c r="E76" i="38"/>
  <c r="D76" i="38"/>
  <c r="E55" i="38"/>
  <c r="D55" i="38"/>
  <c r="D166" i="38" s="1"/>
  <c r="E36" i="38"/>
  <c r="D36" i="38"/>
  <c r="D79" i="38" s="1"/>
  <c r="E21" i="38"/>
  <c r="E78" i="38" s="1"/>
  <c r="E178" i="38" s="1"/>
  <c r="D21" i="38"/>
  <c r="D78" i="38" s="1"/>
  <c r="D178" i="38" s="1"/>
  <c r="D179" i="38" s="1"/>
  <c r="E181" i="36"/>
  <c r="D181" i="36"/>
  <c r="E180" i="36"/>
  <c r="D180" i="36"/>
  <c r="E177" i="36"/>
  <c r="D177" i="36"/>
  <c r="D165" i="36" s="1"/>
  <c r="E171" i="36"/>
  <c r="D171" i="36"/>
  <c r="E170" i="36"/>
  <c r="D170" i="36"/>
  <c r="E168" i="36"/>
  <c r="D168" i="36"/>
  <c r="E163" i="36"/>
  <c r="D163" i="36"/>
  <c r="E156" i="36"/>
  <c r="D156" i="36"/>
  <c r="E140" i="36"/>
  <c r="D140" i="36"/>
  <c r="E134" i="36"/>
  <c r="E133" i="36" s="1"/>
  <c r="D134" i="36"/>
  <c r="E121" i="36"/>
  <c r="E159" i="36" s="1"/>
  <c r="E161" i="36" s="1"/>
  <c r="D121" i="36"/>
  <c r="D159" i="36" s="1"/>
  <c r="D161" i="36" s="1"/>
  <c r="E117" i="36"/>
  <c r="D117" i="36"/>
  <c r="E112" i="36"/>
  <c r="D112" i="36"/>
  <c r="E106" i="36"/>
  <c r="D106" i="36"/>
  <c r="E95" i="36"/>
  <c r="D95" i="36"/>
  <c r="E76" i="36"/>
  <c r="D76" i="36"/>
  <c r="E55" i="36"/>
  <c r="E166" i="36" s="1"/>
  <c r="D55" i="36"/>
  <c r="E36" i="36"/>
  <c r="E79" i="36" s="1"/>
  <c r="D36" i="36"/>
  <c r="E21" i="36"/>
  <c r="E78" i="36" s="1"/>
  <c r="E178" i="36" s="1"/>
  <c r="D21" i="36"/>
  <c r="D78" i="36" s="1"/>
  <c r="D178" i="36" s="1"/>
  <c r="E181" i="35"/>
  <c r="D181" i="35"/>
  <c r="E180" i="35"/>
  <c r="D180" i="35"/>
  <c r="E177" i="35"/>
  <c r="E165" i="35" s="1"/>
  <c r="D177" i="35"/>
  <c r="D151" i="35" s="1"/>
  <c r="E171" i="35"/>
  <c r="D171" i="35"/>
  <c r="E170" i="35"/>
  <c r="D170" i="35"/>
  <c r="E168" i="35"/>
  <c r="D168" i="35"/>
  <c r="E163" i="35"/>
  <c r="D163" i="35"/>
  <c r="D162" i="35"/>
  <c r="D161" i="35"/>
  <c r="D160" i="35"/>
  <c r="E156" i="35"/>
  <c r="D156" i="35"/>
  <c r="E140" i="35"/>
  <c r="D140" i="35"/>
  <c r="E134" i="35"/>
  <c r="D134" i="35"/>
  <c r="D133" i="35" s="1"/>
  <c r="D147" i="35" s="1"/>
  <c r="E121" i="35"/>
  <c r="D121" i="35"/>
  <c r="E117" i="35"/>
  <c r="D117" i="35"/>
  <c r="E112" i="35"/>
  <c r="E111" i="35" s="1"/>
  <c r="D112" i="35"/>
  <c r="E106" i="35"/>
  <c r="D106" i="35"/>
  <c r="E95" i="35"/>
  <c r="D95" i="35"/>
  <c r="E76" i="35"/>
  <c r="D76" i="35"/>
  <c r="E55" i="35"/>
  <c r="D55" i="35"/>
  <c r="E36" i="35"/>
  <c r="D36" i="35"/>
  <c r="D79" i="35" s="1"/>
  <c r="E21" i="35"/>
  <c r="E78" i="35" s="1"/>
  <c r="E178" i="35" s="1"/>
  <c r="D21" i="35"/>
  <c r="D78" i="35" s="1"/>
  <c r="D178" i="35" s="1"/>
  <c r="F107" i="29" l="1"/>
  <c r="D182" i="35"/>
  <c r="F133" i="29"/>
  <c r="F111" i="36"/>
  <c r="G111" i="20"/>
  <c r="G131" i="20" s="1"/>
  <c r="D165" i="38"/>
  <c r="F151" i="35"/>
  <c r="G133" i="33"/>
  <c r="G133" i="36"/>
  <c r="G147" i="36" s="1"/>
  <c r="D169" i="38"/>
  <c r="F157" i="35"/>
  <c r="D182" i="36"/>
  <c r="F133" i="36"/>
  <c r="F147" i="36" s="1"/>
  <c r="F182" i="36"/>
  <c r="F151" i="38"/>
  <c r="F165" i="39"/>
  <c r="G165" i="32"/>
  <c r="G169" i="32"/>
  <c r="G165" i="25"/>
  <c r="E182" i="38"/>
  <c r="F107" i="38"/>
  <c r="G157" i="38"/>
  <c r="E157" i="39"/>
  <c r="G169" i="39"/>
  <c r="D133" i="39"/>
  <c r="E151" i="39"/>
  <c r="E165" i="39"/>
  <c r="D169" i="39"/>
  <c r="G111" i="39"/>
  <c r="G167" i="39" s="1"/>
  <c r="G107" i="22"/>
  <c r="G111" i="22"/>
  <c r="G167" i="22" s="1"/>
  <c r="E107" i="39"/>
  <c r="E152" i="39" s="1"/>
  <c r="D111" i="39"/>
  <c r="D167" i="39" s="1"/>
  <c r="F133" i="25"/>
  <c r="G107" i="38"/>
  <c r="G108" i="38" s="1"/>
  <c r="F169" i="39"/>
  <c r="E133" i="38"/>
  <c r="E147" i="38" s="1"/>
  <c r="D179" i="39"/>
  <c r="D184" i="39"/>
  <c r="D172" i="39" s="1"/>
  <c r="F107" i="22"/>
  <c r="F108" i="22" s="1"/>
  <c r="F182" i="22"/>
  <c r="F185" i="39"/>
  <c r="D165" i="35"/>
  <c r="G169" i="35"/>
  <c r="G133" i="31"/>
  <c r="F111" i="31"/>
  <c r="E184" i="36"/>
  <c r="E172" i="36" s="1"/>
  <c r="E185" i="36"/>
  <c r="G107" i="36"/>
  <c r="G111" i="36"/>
  <c r="G158" i="36" s="1"/>
  <c r="F165" i="36"/>
  <c r="D133" i="36"/>
  <c r="D147" i="36" s="1"/>
  <c r="F151" i="36"/>
  <c r="G184" i="29"/>
  <c r="G172" i="29" s="1"/>
  <c r="F107" i="21"/>
  <c r="F182" i="21"/>
  <c r="F107" i="20"/>
  <c r="G111" i="17"/>
  <c r="G167" i="17" s="1"/>
  <c r="G133" i="17"/>
  <c r="G147" i="17" s="1"/>
  <c r="G133" i="24"/>
  <c r="G157" i="32"/>
  <c r="G133" i="23"/>
  <c r="G147" i="23" s="1"/>
  <c r="F169" i="23"/>
  <c r="F133" i="20"/>
  <c r="G133" i="20"/>
  <c r="G107" i="20"/>
  <c r="F169" i="20"/>
  <c r="G169" i="20"/>
  <c r="G157" i="20"/>
  <c r="G133" i="32"/>
  <c r="F169" i="32"/>
  <c r="G182" i="32"/>
  <c r="F111" i="32"/>
  <c r="F167" i="32" s="1"/>
  <c r="F184" i="32"/>
  <c r="F172" i="32" s="1"/>
  <c r="G184" i="32"/>
  <c r="G172" i="32" s="1"/>
  <c r="G133" i="28"/>
  <c r="G159" i="28"/>
  <c r="G111" i="28"/>
  <c r="G131" i="28" s="1"/>
  <c r="F133" i="28"/>
  <c r="F159" i="28"/>
  <c r="F107" i="28"/>
  <c r="F108" i="28" s="1"/>
  <c r="G107" i="28"/>
  <c r="G108" i="28" s="1"/>
  <c r="G166" i="28"/>
  <c r="F166" i="28"/>
  <c r="G169" i="28"/>
  <c r="F79" i="28"/>
  <c r="G79" i="28"/>
  <c r="F169" i="28"/>
  <c r="G78" i="28"/>
  <c r="G184" i="28"/>
  <c r="F78" i="28"/>
  <c r="D184" i="36"/>
  <c r="D172" i="36" s="1"/>
  <c r="D111" i="36"/>
  <c r="D167" i="36" s="1"/>
  <c r="F107" i="36"/>
  <c r="F152" i="36" s="1"/>
  <c r="F157" i="36"/>
  <c r="F184" i="36"/>
  <c r="F172" i="36" s="1"/>
  <c r="G182" i="36"/>
  <c r="G157" i="36"/>
  <c r="G165" i="36"/>
  <c r="G184" i="36"/>
  <c r="G172" i="36" s="1"/>
  <c r="G185" i="36"/>
  <c r="G169" i="29"/>
  <c r="G107" i="29"/>
  <c r="G108" i="29" s="1"/>
  <c r="F184" i="29"/>
  <c r="F172" i="29" s="1"/>
  <c r="F169" i="29"/>
  <c r="F169" i="26"/>
  <c r="G107" i="26"/>
  <c r="G108" i="26" s="1"/>
  <c r="F182" i="26"/>
  <c r="E131" i="39"/>
  <c r="E167" i="39"/>
  <c r="E179" i="39"/>
  <c r="E164" i="39"/>
  <c r="F111" i="39"/>
  <c r="F167" i="39" s="1"/>
  <c r="F133" i="39"/>
  <c r="F184" i="39"/>
  <c r="F172" i="39" s="1"/>
  <c r="D157" i="39"/>
  <c r="D165" i="39"/>
  <c r="F107" i="39"/>
  <c r="F152" i="39" s="1"/>
  <c r="G133" i="39"/>
  <c r="G158" i="39" s="1"/>
  <c r="G184" i="39"/>
  <c r="G172" i="39" s="1"/>
  <c r="E37" i="39"/>
  <c r="E56" i="39"/>
  <c r="E77" i="39" s="1"/>
  <c r="E150" i="39" s="1"/>
  <c r="D182" i="39"/>
  <c r="D186" i="39" s="1"/>
  <c r="E184" i="39"/>
  <c r="E172" i="39" s="1"/>
  <c r="G182" i="39"/>
  <c r="G107" i="39"/>
  <c r="G108" i="39" s="1"/>
  <c r="G157" i="39"/>
  <c r="G165" i="39"/>
  <c r="F133" i="23"/>
  <c r="F147" i="23" s="1"/>
  <c r="G107" i="23"/>
  <c r="G108" i="23" s="1"/>
  <c r="G133" i="38"/>
  <c r="G147" i="38" s="1"/>
  <c r="G184" i="38"/>
  <c r="G172" i="38" s="1"/>
  <c r="E107" i="38"/>
  <c r="E108" i="38" s="1"/>
  <c r="D111" i="38"/>
  <c r="D131" i="38" s="1"/>
  <c r="F182" i="38"/>
  <c r="E111" i="38"/>
  <c r="F111" i="38"/>
  <c r="F131" i="38" s="1"/>
  <c r="F133" i="38"/>
  <c r="F184" i="38"/>
  <c r="F172" i="38" s="1"/>
  <c r="G182" i="38"/>
  <c r="G169" i="38"/>
  <c r="G165" i="38"/>
  <c r="F111" i="25"/>
  <c r="F131" i="25" s="1"/>
  <c r="F169" i="25"/>
  <c r="G169" i="25"/>
  <c r="G111" i="21"/>
  <c r="G167" i="21" s="1"/>
  <c r="F133" i="21"/>
  <c r="F147" i="21" s="1"/>
  <c r="F111" i="21"/>
  <c r="F167" i="21" s="1"/>
  <c r="F184" i="21"/>
  <c r="F172" i="21" s="1"/>
  <c r="F169" i="21"/>
  <c r="G165" i="21"/>
  <c r="F169" i="17"/>
  <c r="G169" i="17"/>
  <c r="G37" i="24"/>
  <c r="G56" i="24" s="1"/>
  <c r="F107" i="24"/>
  <c r="F111" i="24"/>
  <c r="F167" i="24" s="1"/>
  <c r="F169" i="24"/>
  <c r="G111" i="24"/>
  <c r="G131" i="24" s="1"/>
  <c r="F182" i="24"/>
  <c r="F165" i="24"/>
  <c r="G133" i="22"/>
  <c r="G147" i="22" s="1"/>
  <c r="G107" i="31"/>
  <c r="G108" i="31" s="1"/>
  <c r="G111" i="31"/>
  <c r="F133" i="31"/>
  <c r="F147" i="31" s="1"/>
  <c r="F158" i="31"/>
  <c r="F182" i="31"/>
  <c r="F169" i="31"/>
  <c r="G37" i="31"/>
  <c r="G56" i="31" s="1"/>
  <c r="G77" i="31" s="1"/>
  <c r="G150" i="31" s="1"/>
  <c r="G184" i="31"/>
  <c r="G172" i="31" s="1"/>
  <c r="G185" i="31"/>
  <c r="G111" i="19"/>
  <c r="G158" i="19" s="1"/>
  <c r="F182" i="19"/>
  <c r="F169" i="19"/>
  <c r="G184" i="19"/>
  <c r="G172" i="19" s="1"/>
  <c r="G185" i="19"/>
  <c r="G111" i="33"/>
  <c r="G131" i="33" s="1"/>
  <c r="F111" i="33"/>
  <c r="F158" i="33" s="1"/>
  <c r="G182" i="33"/>
  <c r="G107" i="33"/>
  <c r="G157" i="33"/>
  <c r="F169" i="33"/>
  <c r="G37" i="33"/>
  <c r="G56" i="33" s="1"/>
  <c r="G77" i="33" s="1"/>
  <c r="G150" i="33" s="1"/>
  <c r="G151" i="33" s="1"/>
  <c r="G169" i="33"/>
  <c r="G165" i="33"/>
  <c r="F165" i="33"/>
  <c r="G184" i="33"/>
  <c r="G172" i="33" s="1"/>
  <c r="G185" i="33"/>
  <c r="E184" i="35"/>
  <c r="E172" i="35" s="1"/>
  <c r="F107" i="35"/>
  <c r="F111" i="35"/>
  <c r="F131" i="35" s="1"/>
  <c r="F182" i="35"/>
  <c r="G157" i="35"/>
  <c r="G185" i="35"/>
  <c r="E79" i="35"/>
  <c r="E37" i="35"/>
  <c r="E107" i="35"/>
  <c r="E167" i="35"/>
  <c r="D111" i="35"/>
  <c r="D158" i="35" s="1"/>
  <c r="E166" i="35"/>
  <c r="D159" i="35"/>
  <c r="E133" i="35"/>
  <c r="F165" i="35"/>
  <c r="F184" i="35"/>
  <c r="F172" i="35" s="1"/>
  <c r="E159" i="35"/>
  <c r="G184" i="35"/>
  <c r="G172" i="35" s="1"/>
  <c r="F133" i="26"/>
  <c r="F147" i="26" s="1"/>
  <c r="G133" i="26"/>
  <c r="G111" i="26"/>
  <c r="G167" i="26" s="1"/>
  <c r="F111" i="26"/>
  <c r="F167" i="26" s="1"/>
  <c r="F107" i="26"/>
  <c r="F108" i="26" s="1"/>
  <c r="F184" i="26"/>
  <c r="F172" i="26" s="1"/>
  <c r="G184" i="26"/>
  <c r="G172" i="26" s="1"/>
  <c r="F165" i="26"/>
  <c r="F157" i="26"/>
  <c r="G185" i="26"/>
  <c r="G182" i="26"/>
  <c r="G157" i="26"/>
  <c r="G169" i="26"/>
  <c r="G165" i="26"/>
  <c r="G131" i="26"/>
  <c r="G147" i="26"/>
  <c r="F164" i="26"/>
  <c r="F179" i="26"/>
  <c r="G179" i="26"/>
  <c r="G164" i="26"/>
  <c r="G37" i="26"/>
  <c r="G56" i="26" s="1"/>
  <c r="G77" i="26" s="1"/>
  <c r="G150" i="26" s="1"/>
  <c r="F185" i="26"/>
  <c r="F37" i="26"/>
  <c r="F56" i="26" s="1"/>
  <c r="F77" i="26" s="1"/>
  <c r="F150" i="26" s="1"/>
  <c r="G186" i="39"/>
  <c r="F164" i="39"/>
  <c r="F179" i="39"/>
  <c r="G164" i="39"/>
  <c r="G179" i="39"/>
  <c r="F147" i="39"/>
  <c r="G185" i="39"/>
  <c r="F37" i="39"/>
  <c r="F56" i="39" s="1"/>
  <c r="F77" i="39" s="1"/>
  <c r="F150" i="39" s="1"/>
  <c r="F182" i="39"/>
  <c r="G37" i="39"/>
  <c r="G56" i="39" s="1"/>
  <c r="G77" i="39" s="1"/>
  <c r="G150" i="39" s="1"/>
  <c r="F111" i="23"/>
  <c r="F167" i="23" s="1"/>
  <c r="G111" i="23"/>
  <c r="G158" i="23" s="1"/>
  <c r="G160" i="23" s="1"/>
  <c r="F182" i="23"/>
  <c r="F107" i="23"/>
  <c r="F108" i="23" s="1"/>
  <c r="G182" i="23"/>
  <c r="F184" i="23"/>
  <c r="F172" i="23" s="1"/>
  <c r="F157" i="23"/>
  <c r="F165" i="23"/>
  <c r="G37" i="23"/>
  <c r="G56" i="23" s="1"/>
  <c r="G77" i="23" s="1"/>
  <c r="G150" i="23" s="1"/>
  <c r="G151" i="23" s="1"/>
  <c r="G157" i="23"/>
  <c r="G169" i="23"/>
  <c r="G165" i="23"/>
  <c r="G184" i="23"/>
  <c r="G172" i="23" s="1"/>
  <c r="G185" i="23"/>
  <c r="F164" i="23"/>
  <c r="F179" i="23"/>
  <c r="F185" i="23"/>
  <c r="G78" i="23"/>
  <c r="G178" i="23" s="1"/>
  <c r="F37" i="23"/>
  <c r="F56" i="23" s="1"/>
  <c r="F77" i="23" s="1"/>
  <c r="F150" i="23" s="1"/>
  <c r="F179" i="38"/>
  <c r="F164" i="38"/>
  <c r="G164" i="38"/>
  <c r="G179" i="38"/>
  <c r="F152" i="38"/>
  <c r="F108" i="38"/>
  <c r="F153" i="38" s="1"/>
  <c r="F185" i="38"/>
  <c r="G131" i="38"/>
  <c r="G185" i="38"/>
  <c r="F37" i="38"/>
  <c r="F56" i="38" s="1"/>
  <c r="F77" i="38" s="1"/>
  <c r="F150" i="38" s="1"/>
  <c r="G37" i="38"/>
  <c r="G56" i="38" s="1"/>
  <c r="G77" i="38" s="1"/>
  <c r="G150" i="38" s="1"/>
  <c r="G151" i="38" s="1"/>
  <c r="G133" i="25"/>
  <c r="G147" i="25" s="1"/>
  <c r="G111" i="25"/>
  <c r="G167" i="25" s="1"/>
  <c r="F107" i="25"/>
  <c r="F108" i="25" s="1"/>
  <c r="F182" i="25"/>
  <c r="G107" i="25"/>
  <c r="G182" i="25"/>
  <c r="F184" i="25"/>
  <c r="F172" i="25" s="1"/>
  <c r="G184" i="25"/>
  <c r="G172" i="25" s="1"/>
  <c r="F157" i="25"/>
  <c r="G157" i="25"/>
  <c r="G164" i="25"/>
  <c r="G179" i="25"/>
  <c r="F147" i="25"/>
  <c r="G108" i="25"/>
  <c r="F179" i="25"/>
  <c r="F164" i="25"/>
  <c r="F165" i="25"/>
  <c r="F185" i="25"/>
  <c r="G185" i="25"/>
  <c r="F37" i="25"/>
  <c r="F56" i="25" s="1"/>
  <c r="F77" i="25" s="1"/>
  <c r="F150" i="25" s="1"/>
  <c r="G37" i="25"/>
  <c r="G56" i="25" s="1"/>
  <c r="G77" i="25" s="1"/>
  <c r="G150" i="25" s="1"/>
  <c r="G133" i="21"/>
  <c r="G158" i="21" s="1"/>
  <c r="G162" i="21" s="1"/>
  <c r="G107" i="21"/>
  <c r="G108" i="21" s="1"/>
  <c r="F157" i="21"/>
  <c r="G37" i="21"/>
  <c r="G56" i="21" s="1"/>
  <c r="G77" i="21" s="1"/>
  <c r="G150" i="21" s="1"/>
  <c r="G169" i="21"/>
  <c r="F165" i="21"/>
  <c r="G157" i="21"/>
  <c r="G182" i="21"/>
  <c r="G184" i="21"/>
  <c r="G172" i="21" s="1"/>
  <c r="G185" i="21"/>
  <c r="F108" i="21"/>
  <c r="F164" i="21"/>
  <c r="F179" i="21"/>
  <c r="G131" i="21"/>
  <c r="F185" i="21"/>
  <c r="G78" i="21"/>
  <c r="G178" i="21" s="1"/>
  <c r="F37" i="21"/>
  <c r="F56" i="21" s="1"/>
  <c r="F77" i="21" s="1"/>
  <c r="F150" i="21" s="1"/>
  <c r="F164" i="36"/>
  <c r="F179" i="36"/>
  <c r="G164" i="36"/>
  <c r="G179" i="36"/>
  <c r="G108" i="36"/>
  <c r="G153" i="36" s="1"/>
  <c r="F158" i="36"/>
  <c r="F131" i="36"/>
  <c r="F167" i="36"/>
  <c r="F37" i="36"/>
  <c r="F56" i="36" s="1"/>
  <c r="F77" i="36" s="1"/>
  <c r="F150" i="36" s="1"/>
  <c r="F185" i="36"/>
  <c r="G37" i="36"/>
  <c r="G56" i="36" s="1"/>
  <c r="G77" i="36" s="1"/>
  <c r="G150" i="36" s="1"/>
  <c r="G151" i="36" s="1"/>
  <c r="G167" i="36"/>
  <c r="F133" i="17"/>
  <c r="F147" i="17" s="1"/>
  <c r="F111" i="17"/>
  <c r="F167" i="17" s="1"/>
  <c r="F107" i="17"/>
  <c r="F108" i="17" s="1"/>
  <c r="F182" i="17"/>
  <c r="G107" i="17"/>
  <c r="G108" i="17" s="1"/>
  <c r="G182" i="17"/>
  <c r="F184" i="17"/>
  <c r="F172" i="17" s="1"/>
  <c r="G184" i="17"/>
  <c r="G172" i="17" s="1"/>
  <c r="G165" i="17"/>
  <c r="G157" i="17"/>
  <c r="F157" i="17"/>
  <c r="F165" i="17"/>
  <c r="F131" i="17"/>
  <c r="G158" i="17"/>
  <c r="F179" i="17"/>
  <c r="F164" i="17"/>
  <c r="G164" i="17"/>
  <c r="G179" i="17"/>
  <c r="F185" i="17"/>
  <c r="F37" i="17"/>
  <c r="F56" i="17" s="1"/>
  <c r="F77" i="17" s="1"/>
  <c r="F150" i="17" s="1"/>
  <c r="G185" i="17"/>
  <c r="G37" i="17"/>
  <c r="G56" i="17" s="1"/>
  <c r="G77" i="17" s="1"/>
  <c r="G150" i="17" s="1"/>
  <c r="G131" i="17"/>
  <c r="F133" i="32"/>
  <c r="F147" i="32" s="1"/>
  <c r="G111" i="32"/>
  <c r="G131" i="32" s="1"/>
  <c r="F107" i="32"/>
  <c r="F108" i="32" s="1"/>
  <c r="G107" i="32"/>
  <c r="F185" i="32"/>
  <c r="F157" i="32"/>
  <c r="F165" i="32"/>
  <c r="G147" i="32"/>
  <c r="F164" i="32"/>
  <c r="F179" i="32"/>
  <c r="G164" i="32"/>
  <c r="G179" i="32"/>
  <c r="G185" i="32"/>
  <c r="F37" i="32"/>
  <c r="F56" i="32" s="1"/>
  <c r="F77" i="32" s="1"/>
  <c r="F182" i="32"/>
  <c r="G37" i="32"/>
  <c r="G56" i="32" s="1"/>
  <c r="G77" i="32" s="1"/>
  <c r="F133" i="24"/>
  <c r="F158" i="24" s="1"/>
  <c r="G107" i="24"/>
  <c r="G108" i="24" s="1"/>
  <c r="F184" i="24"/>
  <c r="F172" i="24" s="1"/>
  <c r="G77" i="24"/>
  <c r="G150" i="24" s="1"/>
  <c r="G151" i="24" s="1"/>
  <c r="F157" i="24"/>
  <c r="G184" i="24"/>
  <c r="G172" i="24" s="1"/>
  <c r="G185" i="24"/>
  <c r="G169" i="24"/>
  <c r="G182" i="24"/>
  <c r="G157" i="24"/>
  <c r="G165" i="24"/>
  <c r="F164" i="24"/>
  <c r="F179" i="24"/>
  <c r="G167" i="24"/>
  <c r="F108" i="24"/>
  <c r="G158" i="24"/>
  <c r="F131" i="24"/>
  <c r="F185" i="24"/>
  <c r="G78" i="24"/>
  <c r="G178" i="24" s="1"/>
  <c r="G147" i="24"/>
  <c r="F37" i="24"/>
  <c r="F56" i="24" s="1"/>
  <c r="F77" i="24" s="1"/>
  <c r="F150" i="24" s="1"/>
  <c r="F133" i="22"/>
  <c r="F111" i="22"/>
  <c r="F167" i="22" s="1"/>
  <c r="F184" i="22"/>
  <c r="F172" i="22" s="1"/>
  <c r="G184" i="22"/>
  <c r="G172" i="22" s="1"/>
  <c r="F169" i="22"/>
  <c r="F157" i="22"/>
  <c r="G169" i="22"/>
  <c r="G185" i="22"/>
  <c r="G157" i="22"/>
  <c r="F165" i="22"/>
  <c r="G165" i="22"/>
  <c r="G179" i="22"/>
  <c r="G164" i="22"/>
  <c r="F164" i="22"/>
  <c r="F179" i="22"/>
  <c r="G108" i="22"/>
  <c r="G37" i="22"/>
  <c r="G56" i="22" s="1"/>
  <c r="G77" i="22" s="1"/>
  <c r="G150" i="22" s="1"/>
  <c r="G182" i="22"/>
  <c r="F185" i="22"/>
  <c r="G131" i="22"/>
  <c r="F37" i="22"/>
  <c r="F56" i="22" s="1"/>
  <c r="F77" i="22" s="1"/>
  <c r="F150" i="22" s="1"/>
  <c r="F107" i="31"/>
  <c r="F108" i="31" s="1"/>
  <c r="F184" i="31"/>
  <c r="F172" i="31" s="1"/>
  <c r="F157" i="31"/>
  <c r="G169" i="31"/>
  <c r="G182" i="31"/>
  <c r="F165" i="31"/>
  <c r="G165" i="31"/>
  <c r="G157" i="31"/>
  <c r="F164" i="31"/>
  <c r="F179" i="31"/>
  <c r="G158" i="31"/>
  <c r="F167" i="31"/>
  <c r="F131" i="31"/>
  <c r="G167" i="31"/>
  <c r="G131" i="31"/>
  <c r="F185" i="31"/>
  <c r="G78" i="31"/>
  <c r="G178" i="31" s="1"/>
  <c r="G147" i="31"/>
  <c r="F37" i="31"/>
  <c r="F56" i="31" s="1"/>
  <c r="F77" i="31" s="1"/>
  <c r="F150" i="31" s="1"/>
  <c r="F151" i="31" s="1"/>
  <c r="F111" i="20"/>
  <c r="F131" i="20" s="1"/>
  <c r="F182" i="20"/>
  <c r="G182" i="20"/>
  <c r="F184" i="20"/>
  <c r="F172" i="20" s="1"/>
  <c r="G184" i="20"/>
  <c r="G172" i="20" s="1"/>
  <c r="G165" i="20"/>
  <c r="F157" i="20"/>
  <c r="G164" i="20"/>
  <c r="G179" i="20"/>
  <c r="F108" i="20"/>
  <c r="F147" i="20"/>
  <c r="G108" i="20"/>
  <c r="G158" i="20"/>
  <c r="G147" i="20"/>
  <c r="F179" i="20"/>
  <c r="F164" i="20"/>
  <c r="F165" i="20"/>
  <c r="F185" i="20"/>
  <c r="G167" i="20"/>
  <c r="G185" i="20"/>
  <c r="F37" i="20"/>
  <c r="F56" i="20" s="1"/>
  <c r="F77" i="20" s="1"/>
  <c r="G37" i="20"/>
  <c r="G56" i="20" s="1"/>
  <c r="G77" i="20" s="1"/>
  <c r="F111" i="28"/>
  <c r="F131" i="28" s="1"/>
  <c r="G182" i="28"/>
  <c r="F184" i="28"/>
  <c r="F157" i="28"/>
  <c r="G157" i="28"/>
  <c r="F165" i="28"/>
  <c r="G165" i="28"/>
  <c r="F185" i="28"/>
  <c r="F147" i="28"/>
  <c r="G158" i="28"/>
  <c r="G185" i="28"/>
  <c r="F37" i="28"/>
  <c r="F56" i="28" s="1"/>
  <c r="F77" i="28" s="1"/>
  <c r="F182" i="28"/>
  <c r="G37" i="28"/>
  <c r="G56" i="28" s="1"/>
  <c r="G77" i="28" s="1"/>
  <c r="F182" i="33"/>
  <c r="F157" i="33"/>
  <c r="G182" i="29"/>
  <c r="G186" i="29" s="1"/>
  <c r="G165" i="29"/>
  <c r="F157" i="29"/>
  <c r="G157" i="29"/>
  <c r="F165" i="29"/>
  <c r="F185" i="29"/>
  <c r="F108" i="29"/>
  <c r="G158" i="29"/>
  <c r="G147" i="29"/>
  <c r="F164" i="29"/>
  <c r="F179" i="29"/>
  <c r="G164" i="29"/>
  <c r="G179" i="29"/>
  <c r="F167" i="29"/>
  <c r="F131" i="29"/>
  <c r="F158" i="29"/>
  <c r="F147" i="29"/>
  <c r="G167" i="29"/>
  <c r="G185" i="29"/>
  <c r="F37" i="29"/>
  <c r="F56" i="29" s="1"/>
  <c r="F77" i="29" s="1"/>
  <c r="F150" i="29" s="1"/>
  <c r="F151" i="29" s="1"/>
  <c r="F182" i="29"/>
  <c r="G37" i="29"/>
  <c r="G56" i="29" s="1"/>
  <c r="G77" i="29" s="1"/>
  <c r="G150" i="29" s="1"/>
  <c r="F111" i="19"/>
  <c r="F167" i="19" s="1"/>
  <c r="G107" i="19"/>
  <c r="G108" i="19" s="1"/>
  <c r="F184" i="19"/>
  <c r="F172" i="19" s="1"/>
  <c r="F157" i="19"/>
  <c r="F165" i="19"/>
  <c r="G37" i="19"/>
  <c r="G56" i="19" s="1"/>
  <c r="G77" i="19" s="1"/>
  <c r="G150" i="19" s="1"/>
  <c r="G169" i="19"/>
  <c r="G182" i="19"/>
  <c r="G157" i="19"/>
  <c r="G165" i="19"/>
  <c r="F147" i="19"/>
  <c r="F164" i="19"/>
  <c r="F179" i="19"/>
  <c r="F107" i="19"/>
  <c r="F185" i="19"/>
  <c r="G78" i="19"/>
  <c r="G178" i="19" s="1"/>
  <c r="G147" i="19"/>
  <c r="F37" i="19"/>
  <c r="F56" i="19" s="1"/>
  <c r="F77" i="19" s="1"/>
  <c r="F150" i="19" s="1"/>
  <c r="F152" i="33"/>
  <c r="F108" i="33"/>
  <c r="G108" i="33"/>
  <c r="G167" i="33"/>
  <c r="F78" i="33"/>
  <c r="F178" i="33" s="1"/>
  <c r="F147" i="33"/>
  <c r="F185" i="33"/>
  <c r="G78" i="33"/>
  <c r="G178" i="33" s="1"/>
  <c r="G147" i="33"/>
  <c r="F37" i="33"/>
  <c r="F56" i="33" s="1"/>
  <c r="F77" i="33" s="1"/>
  <c r="F150" i="33" s="1"/>
  <c r="F151" i="33" s="1"/>
  <c r="F184" i="33"/>
  <c r="F172" i="33" s="1"/>
  <c r="F152" i="35"/>
  <c r="F108" i="35"/>
  <c r="F178" i="35"/>
  <c r="G78" i="35"/>
  <c r="G107" i="35"/>
  <c r="G111" i="35"/>
  <c r="G166" i="35"/>
  <c r="G182" i="35"/>
  <c r="F37" i="35"/>
  <c r="F56" i="35" s="1"/>
  <c r="F77" i="35" s="1"/>
  <c r="F185" i="35"/>
  <c r="G37" i="35"/>
  <c r="G56" i="35" s="1"/>
  <c r="G77" i="35" s="1"/>
  <c r="G79" i="35"/>
  <c r="G159" i="35"/>
  <c r="G161" i="35" s="1"/>
  <c r="D37" i="39"/>
  <c r="D56" i="39" s="1"/>
  <c r="D77" i="39" s="1"/>
  <c r="D150" i="39" s="1"/>
  <c r="D147" i="39"/>
  <c r="E79" i="39"/>
  <c r="D107" i="39"/>
  <c r="D131" i="39"/>
  <c r="E133" i="39"/>
  <c r="E182" i="39"/>
  <c r="E186" i="39" s="1"/>
  <c r="D164" i="39"/>
  <c r="D185" i="39"/>
  <c r="E185" i="39"/>
  <c r="D133" i="38"/>
  <c r="D182" i="38"/>
  <c r="D107" i="38"/>
  <c r="D108" i="38" s="1"/>
  <c r="E184" i="38"/>
  <c r="E172" i="38" s="1"/>
  <c r="D157" i="38"/>
  <c r="D184" i="38"/>
  <c r="D172" i="38" s="1"/>
  <c r="D185" i="38"/>
  <c r="D37" i="38"/>
  <c r="D56" i="38" s="1"/>
  <c r="D77" i="38" s="1"/>
  <c r="D150" i="38" s="1"/>
  <c r="E167" i="38"/>
  <c r="E131" i="38"/>
  <c r="E166" i="38"/>
  <c r="E164" i="38"/>
  <c r="E179" i="38"/>
  <c r="E157" i="38"/>
  <c r="E165" i="38"/>
  <c r="E37" i="38"/>
  <c r="E56" i="38" s="1"/>
  <c r="E77" i="38" s="1"/>
  <c r="E150" i="38" s="1"/>
  <c r="E79" i="38"/>
  <c r="E158" i="38"/>
  <c r="D164" i="38"/>
  <c r="E185" i="38"/>
  <c r="E111" i="36"/>
  <c r="E131" i="36" s="1"/>
  <c r="D107" i="36"/>
  <c r="D108" i="36" s="1"/>
  <c r="E165" i="36"/>
  <c r="E182" i="36"/>
  <c r="E186" i="36" s="1"/>
  <c r="D157" i="36"/>
  <c r="D169" i="36"/>
  <c r="E157" i="36"/>
  <c r="E169" i="36"/>
  <c r="E147" i="36"/>
  <c r="D186" i="36"/>
  <c r="E37" i="36"/>
  <c r="E56" i="36" s="1"/>
  <c r="E77" i="36" s="1"/>
  <c r="E150" i="36" s="1"/>
  <c r="D166" i="36"/>
  <c r="D164" i="36"/>
  <c r="D179" i="36"/>
  <c r="D158" i="36"/>
  <c r="E164" i="36"/>
  <c r="E179" i="36"/>
  <c r="D37" i="36"/>
  <c r="D56" i="36" s="1"/>
  <c r="D77" i="36" s="1"/>
  <c r="D150" i="36" s="1"/>
  <c r="D79" i="36"/>
  <c r="E107" i="36"/>
  <c r="D185" i="36"/>
  <c r="E182" i="35"/>
  <c r="D107" i="35"/>
  <c r="D157" i="35"/>
  <c r="D169" i="35"/>
  <c r="D185" i="35"/>
  <c r="E157" i="35"/>
  <c r="E169" i="35"/>
  <c r="D37" i="35"/>
  <c r="D56" i="35" s="1"/>
  <c r="D77" i="35" s="1"/>
  <c r="D150" i="35" s="1"/>
  <c r="D179" i="35"/>
  <c r="D164" i="35"/>
  <c r="D152" i="35"/>
  <c r="E108" i="35"/>
  <c r="D166" i="35"/>
  <c r="E185" i="35"/>
  <c r="E164" i="35"/>
  <c r="E179" i="35"/>
  <c r="E131" i="35"/>
  <c r="E158" i="35"/>
  <c r="E151" i="35"/>
  <c r="D184" i="35"/>
  <c r="D172" i="35" s="1"/>
  <c r="F158" i="38" l="1"/>
  <c r="G167" i="23"/>
  <c r="G186" i="26"/>
  <c r="G158" i="33"/>
  <c r="F186" i="19"/>
  <c r="D158" i="39"/>
  <c r="F158" i="39"/>
  <c r="F131" i="22"/>
  <c r="E186" i="35"/>
  <c r="F186" i="35"/>
  <c r="F186" i="36"/>
  <c r="F186" i="29"/>
  <c r="F186" i="32"/>
  <c r="F131" i="32"/>
  <c r="G158" i="32"/>
  <c r="G162" i="32" s="1"/>
  <c r="F186" i="38"/>
  <c r="G131" i="39"/>
  <c r="E154" i="39"/>
  <c r="E108" i="39"/>
  <c r="E153" i="39" s="1"/>
  <c r="F186" i="39"/>
  <c r="G158" i="22"/>
  <c r="G162" i="39"/>
  <c r="G160" i="39"/>
  <c r="G147" i="39"/>
  <c r="G158" i="38"/>
  <c r="F147" i="38"/>
  <c r="F108" i="39"/>
  <c r="F153" i="39" s="1"/>
  <c r="G153" i="38"/>
  <c r="D167" i="38"/>
  <c r="F167" i="38"/>
  <c r="D131" i="35"/>
  <c r="F158" i="35"/>
  <c r="F153" i="31"/>
  <c r="G162" i="36"/>
  <c r="G160" i="36"/>
  <c r="F108" i="36"/>
  <c r="F153" i="36" s="1"/>
  <c r="D131" i="36"/>
  <c r="G131" i="36"/>
  <c r="F131" i="33"/>
  <c r="G131" i="19"/>
  <c r="G186" i="19"/>
  <c r="F131" i="19"/>
  <c r="G167" i="19"/>
  <c r="F152" i="29"/>
  <c r="F162" i="29"/>
  <c r="F160" i="29"/>
  <c r="F131" i="21"/>
  <c r="G147" i="21"/>
  <c r="G160" i="21"/>
  <c r="G153" i="21"/>
  <c r="G147" i="28"/>
  <c r="F167" i="28"/>
  <c r="F152" i="17"/>
  <c r="G131" i="23"/>
  <c r="F186" i="23"/>
  <c r="G162" i="23"/>
  <c r="G167" i="32"/>
  <c r="F167" i="20"/>
  <c r="F150" i="20"/>
  <c r="F155" i="20" s="1"/>
  <c r="G150" i="20"/>
  <c r="G154" i="20" s="1"/>
  <c r="F158" i="32"/>
  <c r="F162" i="32" s="1"/>
  <c r="G108" i="32"/>
  <c r="G186" i="32"/>
  <c r="G150" i="32"/>
  <c r="G154" i="32" s="1"/>
  <c r="F150" i="32"/>
  <c r="F154" i="32" s="1"/>
  <c r="G161" i="28"/>
  <c r="F158" i="28"/>
  <c r="F161" i="28"/>
  <c r="G167" i="28"/>
  <c r="G186" i="28"/>
  <c r="F186" i="28"/>
  <c r="G172" i="28"/>
  <c r="G178" i="28"/>
  <c r="G150" i="28"/>
  <c r="F172" i="28"/>
  <c r="F150" i="28"/>
  <c r="F178" i="28"/>
  <c r="G152" i="36"/>
  <c r="G186" i="36"/>
  <c r="F153" i="29"/>
  <c r="G158" i="26"/>
  <c r="F158" i="26"/>
  <c r="F162" i="26" s="1"/>
  <c r="F186" i="26"/>
  <c r="G151" i="39"/>
  <c r="G152" i="39"/>
  <c r="F131" i="39"/>
  <c r="G153" i="39"/>
  <c r="G152" i="23"/>
  <c r="G154" i="23"/>
  <c r="G186" i="38"/>
  <c r="G152" i="38"/>
  <c r="D158" i="38"/>
  <c r="G131" i="25"/>
  <c r="G158" i="25"/>
  <c r="G162" i="25" s="1"/>
  <c r="F167" i="25"/>
  <c r="F158" i="25"/>
  <c r="F162" i="25" s="1"/>
  <c r="F186" i="25"/>
  <c r="G154" i="21"/>
  <c r="F158" i="21"/>
  <c r="F160" i="21" s="1"/>
  <c r="F186" i="21"/>
  <c r="G151" i="21"/>
  <c r="F158" i="17"/>
  <c r="F160" i="17" s="1"/>
  <c r="G153" i="24"/>
  <c r="F147" i="24"/>
  <c r="G152" i="24"/>
  <c r="F186" i="24"/>
  <c r="G186" i="22"/>
  <c r="F186" i="22"/>
  <c r="G154" i="31"/>
  <c r="G152" i="31"/>
  <c r="F162" i="31"/>
  <c r="F160" i="31"/>
  <c r="G186" i="31"/>
  <c r="F152" i="31"/>
  <c r="F186" i="31"/>
  <c r="G151" i="31"/>
  <c r="G160" i="19"/>
  <c r="G162" i="19"/>
  <c r="G154" i="19"/>
  <c r="G151" i="19"/>
  <c r="G186" i="33"/>
  <c r="F153" i="33"/>
  <c r="F162" i="33"/>
  <c r="F160" i="33"/>
  <c r="G153" i="33"/>
  <c r="G154" i="33"/>
  <c r="G152" i="33"/>
  <c r="F167" i="33"/>
  <c r="F167" i="35"/>
  <c r="D167" i="35"/>
  <c r="E56" i="35"/>
  <c r="E147" i="35"/>
  <c r="D108" i="35"/>
  <c r="E161" i="35"/>
  <c r="F131" i="26"/>
  <c r="G153" i="26"/>
  <c r="F154" i="26"/>
  <c r="F151" i="26"/>
  <c r="F155" i="26"/>
  <c r="F152" i="26"/>
  <c r="G155" i="26"/>
  <c r="G151" i="26"/>
  <c r="G154" i="26"/>
  <c r="G162" i="26"/>
  <c r="G160" i="26"/>
  <c r="G152" i="26"/>
  <c r="F153" i="26"/>
  <c r="G154" i="39"/>
  <c r="G155" i="39"/>
  <c r="F154" i="39"/>
  <c r="F131" i="23"/>
  <c r="F158" i="23"/>
  <c r="F162" i="23" s="1"/>
  <c r="G186" i="23"/>
  <c r="G153" i="23"/>
  <c r="F154" i="23"/>
  <c r="F155" i="23"/>
  <c r="F151" i="23"/>
  <c r="F152" i="23"/>
  <c r="F153" i="23"/>
  <c r="G164" i="23"/>
  <c r="G179" i="23"/>
  <c r="G155" i="23"/>
  <c r="F155" i="38"/>
  <c r="F154" i="38"/>
  <c r="G154" i="38"/>
  <c r="G155" i="38"/>
  <c r="F152" i="25"/>
  <c r="G186" i="25"/>
  <c r="G153" i="25"/>
  <c r="G154" i="25"/>
  <c r="G155" i="25"/>
  <c r="G151" i="25"/>
  <c r="F151" i="25"/>
  <c r="F154" i="25"/>
  <c r="F155" i="25"/>
  <c r="G152" i="25"/>
  <c r="F153" i="25"/>
  <c r="G152" i="21"/>
  <c r="G186" i="21"/>
  <c r="F154" i="21"/>
  <c r="F155" i="21"/>
  <c r="F151" i="21"/>
  <c r="F152" i="21"/>
  <c r="G164" i="21"/>
  <c r="G179" i="21"/>
  <c r="G155" i="21"/>
  <c r="F153" i="21"/>
  <c r="G154" i="36"/>
  <c r="G155" i="36"/>
  <c r="F154" i="36"/>
  <c r="G186" i="17"/>
  <c r="F186" i="17"/>
  <c r="G154" i="17"/>
  <c r="G155" i="17"/>
  <c r="G151" i="17"/>
  <c r="G162" i="17"/>
  <c r="G160" i="17"/>
  <c r="G153" i="17"/>
  <c r="F154" i="17"/>
  <c r="F155" i="17"/>
  <c r="F151" i="17"/>
  <c r="F153" i="17"/>
  <c r="G152" i="17"/>
  <c r="G154" i="24"/>
  <c r="G186" i="24"/>
  <c r="F154" i="24"/>
  <c r="F155" i="24"/>
  <c r="F151" i="24"/>
  <c r="F153" i="24"/>
  <c r="G164" i="24"/>
  <c r="G179" i="24"/>
  <c r="G162" i="24"/>
  <c r="G160" i="24"/>
  <c r="F162" i="24"/>
  <c r="F160" i="24"/>
  <c r="G155" i="24"/>
  <c r="F152" i="24"/>
  <c r="F147" i="22"/>
  <c r="F158" i="22"/>
  <c r="F160" i="22" s="1"/>
  <c r="F154" i="22"/>
  <c r="F155" i="22"/>
  <c r="F151" i="22"/>
  <c r="F152" i="22"/>
  <c r="G162" i="22"/>
  <c r="G160" i="22"/>
  <c r="F153" i="22"/>
  <c r="G155" i="22"/>
  <c r="G151" i="22"/>
  <c r="G154" i="22"/>
  <c r="G153" i="22"/>
  <c r="G152" i="22"/>
  <c r="G153" i="31"/>
  <c r="G164" i="31"/>
  <c r="G179" i="31"/>
  <c r="G162" i="31"/>
  <c r="G160" i="31"/>
  <c r="F154" i="31"/>
  <c r="F155" i="31"/>
  <c r="G155" i="31"/>
  <c r="F158" i="20"/>
  <c r="F162" i="20" s="1"/>
  <c r="G186" i="20"/>
  <c r="F186" i="20"/>
  <c r="F154" i="20"/>
  <c r="G162" i="20"/>
  <c r="G160" i="20"/>
  <c r="F154" i="28"/>
  <c r="F162" i="28"/>
  <c r="F153" i="28"/>
  <c r="G162" i="28"/>
  <c r="G160" i="28"/>
  <c r="F154" i="29"/>
  <c r="F155" i="29"/>
  <c r="G154" i="29"/>
  <c r="G155" i="29"/>
  <c r="G151" i="29"/>
  <c r="G152" i="29"/>
  <c r="G153" i="29"/>
  <c r="G162" i="29"/>
  <c r="G160" i="29"/>
  <c r="F158" i="19"/>
  <c r="F162" i="19" s="1"/>
  <c r="G152" i="19"/>
  <c r="G155" i="19"/>
  <c r="G153" i="19"/>
  <c r="F154" i="19"/>
  <c r="F151" i="19"/>
  <c r="G164" i="19"/>
  <c r="G179" i="19"/>
  <c r="F152" i="19"/>
  <c r="F108" i="19"/>
  <c r="F153" i="19" s="1"/>
  <c r="F164" i="33"/>
  <c r="F179" i="33"/>
  <c r="F186" i="33"/>
  <c r="F154" i="33"/>
  <c r="F155" i="33"/>
  <c r="G164" i="33"/>
  <c r="G179" i="33"/>
  <c r="G155" i="33"/>
  <c r="F164" i="35"/>
  <c r="F179" i="35"/>
  <c r="F150" i="35"/>
  <c r="G167" i="35"/>
  <c r="G158" i="35"/>
  <c r="G160" i="35" s="1"/>
  <c r="G131" i="35"/>
  <c r="G150" i="35"/>
  <c r="G151" i="35" s="1"/>
  <c r="G108" i="35"/>
  <c r="F153" i="35"/>
  <c r="G186" i="35"/>
  <c r="G178" i="35"/>
  <c r="E158" i="39"/>
  <c r="E147" i="39"/>
  <c r="D154" i="39"/>
  <c r="D152" i="39"/>
  <c r="D108" i="39"/>
  <c r="D153" i="39" s="1"/>
  <c r="D147" i="38"/>
  <c r="D153" i="38"/>
  <c r="E186" i="38"/>
  <c r="D154" i="38"/>
  <c r="D155" i="38"/>
  <c r="D186" i="38"/>
  <c r="D151" i="38"/>
  <c r="D152" i="38"/>
  <c r="E154" i="38"/>
  <c r="E151" i="38"/>
  <c r="E155" i="38"/>
  <c r="E152" i="38"/>
  <c r="E162" i="38"/>
  <c r="E160" i="38"/>
  <c r="E153" i="38"/>
  <c r="D162" i="38"/>
  <c r="D160" i="38"/>
  <c r="E167" i="36"/>
  <c r="E158" i="36"/>
  <c r="D154" i="36"/>
  <c r="D151" i="36"/>
  <c r="D155" i="36"/>
  <c r="E151" i="36"/>
  <c r="E154" i="36"/>
  <c r="D152" i="36"/>
  <c r="D162" i="36"/>
  <c r="D160" i="36"/>
  <c r="E108" i="36"/>
  <c r="E153" i="36" s="1"/>
  <c r="E152" i="36"/>
  <c r="E162" i="36"/>
  <c r="D153" i="36"/>
  <c r="D155" i="35"/>
  <c r="D186" i="35"/>
  <c r="D154" i="35"/>
  <c r="E152" i="35"/>
  <c r="E160" i="35"/>
  <c r="E162" i="35"/>
  <c r="E153" i="35"/>
  <c r="G160" i="33" l="1"/>
  <c r="G162" i="33"/>
  <c r="F152" i="32"/>
  <c r="G160" i="32"/>
  <c r="F160" i="25"/>
  <c r="G160" i="25"/>
  <c r="F155" i="39"/>
  <c r="E155" i="39"/>
  <c r="G162" i="38"/>
  <c r="G160" i="38"/>
  <c r="E155" i="36"/>
  <c r="F155" i="36"/>
  <c r="F160" i="26"/>
  <c r="G153" i="20"/>
  <c r="F151" i="20"/>
  <c r="F162" i="17"/>
  <c r="G152" i="32"/>
  <c r="F160" i="32"/>
  <c r="G153" i="32"/>
  <c r="G152" i="20"/>
  <c r="F160" i="20"/>
  <c r="G151" i="20"/>
  <c r="F153" i="20"/>
  <c r="F152" i="20"/>
  <c r="G155" i="20"/>
  <c r="F153" i="32"/>
  <c r="F151" i="32"/>
  <c r="G151" i="32"/>
  <c r="G155" i="32"/>
  <c r="F155" i="32"/>
  <c r="G153" i="28"/>
  <c r="G152" i="28"/>
  <c r="F152" i="28"/>
  <c r="F160" i="28"/>
  <c r="G154" i="28"/>
  <c r="F151" i="28"/>
  <c r="G155" i="28"/>
  <c r="G151" i="28"/>
  <c r="G164" i="28"/>
  <c r="G179" i="28"/>
  <c r="F164" i="28"/>
  <c r="F179" i="28"/>
  <c r="F155" i="28"/>
  <c r="F160" i="23"/>
  <c r="F162" i="21"/>
  <c r="F162" i="22"/>
  <c r="G162" i="35"/>
  <c r="G152" i="35"/>
  <c r="E77" i="35"/>
  <c r="E150" i="35" s="1"/>
  <c r="D153" i="35"/>
  <c r="E160" i="36"/>
  <c r="F160" i="19"/>
  <c r="F155" i="19"/>
  <c r="G153" i="35"/>
  <c r="F154" i="35"/>
  <c r="F155" i="35"/>
  <c r="G179" i="35"/>
  <c r="G164" i="35"/>
  <c r="G155" i="35"/>
  <c r="G154" i="35"/>
  <c r="D155" i="39"/>
  <c r="E155" i="35" l="1"/>
  <c r="E154" i="35"/>
  <c r="D21" i="26" l="1"/>
  <c r="E21" i="26"/>
  <c r="D162" i="33" l="1"/>
  <c r="D162" i="29"/>
  <c r="D162" i="31"/>
  <c r="D183" i="33"/>
  <c r="D183" i="29"/>
  <c r="E183" i="22"/>
  <c r="D183" i="22"/>
  <c r="E36" i="28" l="1"/>
  <c r="D36" i="28"/>
  <c r="E181" i="26" l="1"/>
  <c r="D181" i="26"/>
  <c r="E180" i="26"/>
  <c r="D180" i="26"/>
  <c r="E177" i="26"/>
  <c r="D177" i="26"/>
  <c r="E78" i="26"/>
  <c r="E178" i="26" s="1"/>
  <c r="D78" i="26"/>
  <c r="D178" i="26" s="1"/>
  <c r="E76" i="26"/>
  <c r="D76" i="26"/>
  <c r="E181" i="23"/>
  <c r="D181" i="23"/>
  <c r="E180" i="23"/>
  <c r="D180" i="23"/>
  <c r="E177" i="23"/>
  <c r="D177" i="23"/>
  <c r="E76" i="23"/>
  <c r="D76" i="23"/>
  <c r="E181" i="25"/>
  <c r="D181" i="25"/>
  <c r="E180" i="25"/>
  <c r="D180" i="25"/>
  <c r="E177" i="25"/>
  <c r="D177" i="25"/>
  <c r="E76" i="25"/>
  <c r="D76" i="25"/>
  <c r="E181" i="21"/>
  <c r="E185" i="21" s="1"/>
  <c r="D181" i="21"/>
  <c r="E180" i="21"/>
  <c r="D180" i="21"/>
  <c r="E177" i="21"/>
  <c r="D177" i="21"/>
  <c r="E76" i="21"/>
  <c r="D76" i="21"/>
  <c r="E181" i="17"/>
  <c r="D181" i="17"/>
  <c r="E180" i="17"/>
  <c r="D180" i="17"/>
  <c r="E177" i="17"/>
  <c r="D177" i="17"/>
  <c r="E76" i="17"/>
  <c r="D76" i="17"/>
  <c r="E181" i="32"/>
  <c r="D181" i="32"/>
  <c r="E180" i="32"/>
  <c r="D180" i="32"/>
  <c r="E177" i="32"/>
  <c r="D177" i="32"/>
  <c r="E76" i="32"/>
  <c r="D76" i="32"/>
  <c r="E181" i="24"/>
  <c r="D181" i="24"/>
  <c r="E180" i="24"/>
  <c r="D180" i="24"/>
  <c r="E177" i="24"/>
  <c r="D177" i="24"/>
  <c r="E76" i="24"/>
  <c r="D76" i="24"/>
  <c r="E181" i="22"/>
  <c r="E185" i="22" s="1"/>
  <c r="D181" i="22"/>
  <c r="D185" i="22" s="1"/>
  <c r="E180" i="22"/>
  <c r="D180" i="22"/>
  <c r="E177" i="22"/>
  <c r="D177" i="22"/>
  <c r="E76" i="22"/>
  <c r="D76" i="22"/>
  <c r="E181" i="31"/>
  <c r="D181" i="31"/>
  <c r="D185" i="31" s="1"/>
  <c r="E180" i="31"/>
  <c r="D180" i="31"/>
  <c r="E177" i="31"/>
  <c r="D177" i="31"/>
  <c r="E76" i="31"/>
  <c r="D76" i="31"/>
  <c r="E181" i="20"/>
  <c r="E185" i="20" s="1"/>
  <c r="D181" i="20"/>
  <c r="E180" i="20"/>
  <c r="D180" i="20"/>
  <c r="E177" i="20"/>
  <c r="D177" i="20"/>
  <c r="E76" i="20"/>
  <c r="D76" i="20"/>
  <c r="E181" i="28"/>
  <c r="E185" i="28" s="1"/>
  <c r="D181" i="28"/>
  <c r="D185" i="28" s="1"/>
  <c r="E180" i="28"/>
  <c r="D180" i="28"/>
  <c r="E177" i="28"/>
  <c r="D177" i="28"/>
  <c r="E76" i="28"/>
  <c r="D76" i="28"/>
  <c r="E76" i="29"/>
  <c r="D76" i="29"/>
  <c r="E76" i="19"/>
  <c r="D76" i="19"/>
  <c r="E76" i="33"/>
  <c r="D76" i="33"/>
  <c r="D185" i="20" l="1"/>
  <c r="D185" i="23"/>
  <c r="E185" i="31"/>
  <c r="D185" i="26"/>
  <c r="E185" i="26"/>
  <c r="E185" i="23"/>
  <c r="D185" i="25"/>
  <c r="E185" i="25"/>
  <c r="D185" i="21"/>
  <c r="D185" i="17"/>
  <c r="E185" i="17"/>
  <c r="D185" i="32"/>
  <c r="E185" i="32"/>
  <c r="D185" i="24"/>
  <c r="E185" i="24"/>
  <c r="E36" i="33"/>
  <c r="D36" i="33"/>
  <c r="E21" i="33"/>
  <c r="D21" i="33"/>
  <c r="E36" i="19"/>
  <c r="D36" i="19"/>
  <c r="E21" i="19"/>
  <c r="E78" i="19" s="1"/>
  <c r="D21" i="19"/>
  <c r="D78" i="19" s="1"/>
  <c r="E36" i="29"/>
  <c r="D36" i="29"/>
  <c r="E21" i="29"/>
  <c r="E78" i="29" s="1"/>
  <c r="E178" i="29" s="1"/>
  <c r="D21" i="29"/>
  <c r="D78" i="29" s="1"/>
  <c r="D178" i="29" s="1"/>
  <c r="E21" i="28"/>
  <c r="E78" i="28" s="1"/>
  <c r="E178" i="28" s="1"/>
  <c r="D21" i="28"/>
  <c r="D78" i="28" s="1"/>
  <c r="D178" i="28" s="1"/>
  <c r="E36" i="20"/>
  <c r="D36" i="20"/>
  <c r="E21" i="20"/>
  <c r="E78" i="20" s="1"/>
  <c r="E178" i="20" s="1"/>
  <c r="D21" i="20"/>
  <c r="D78" i="20" s="1"/>
  <c r="D178" i="20" s="1"/>
  <c r="E36" i="31"/>
  <c r="D36" i="31"/>
  <c r="E21" i="31"/>
  <c r="E78" i="31" s="1"/>
  <c r="E178" i="31" s="1"/>
  <c r="D21" i="31"/>
  <c r="D78" i="31" s="1"/>
  <c r="D178" i="31" s="1"/>
  <c r="E36" i="22"/>
  <c r="D36" i="22"/>
  <c r="E21" i="22"/>
  <c r="E78" i="22" s="1"/>
  <c r="E178" i="22" s="1"/>
  <c r="D21" i="22"/>
  <c r="D78" i="22" s="1"/>
  <c r="D178" i="22" s="1"/>
  <c r="E36" i="24"/>
  <c r="D36" i="24"/>
  <c r="E21" i="24"/>
  <c r="E78" i="24" s="1"/>
  <c r="E178" i="24" s="1"/>
  <c r="D21" i="24"/>
  <c r="D78" i="24" s="1"/>
  <c r="D178" i="24" s="1"/>
  <c r="E36" i="32"/>
  <c r="D36" i="32"/>
  <c r="E21" i="32"/>
  <c r="E78" i="32" s="1"/>
  <c r="E178" i="32" s="1"/>
  <c r="D21" i="32"/>
  <c r="D78" i="32" s="1"/>
  <c r="D178" i="32" s="1"/>
  <c r="E36" i="17"/>
  <c r="D36" i="17"/>
  <c r="E21" i="17"/>
  <c r="E78" i="17" s="1"/>
  <c r="E178" i="17" s="1"/>
  <c r="D21" i="17"/>
  <c r="D78" i="17" s="1"/>
  <c r="D178" i="17" s="1"/>
  <c r="E36" i="21"/>
  <c r="D36" i="21"/>
  <c r="E21" i="21"/>
  <c r="E78" i="21" s="1"/>
  <c r="E178" i="21" s="1"/>
  <c r="D21" i="21"/>
  <c r="D78" i="21" s="1"/>
  <c r="D178" i="21" s="1"/>
  <c r="E36" i="25"/>
  <c r="D36" i="25"/>
  <c r="E21" i="25"/>
  <c r="E78" i="25" s="1"/>
  <c r="E178" i="25" s="1"/>
  <c r="D21" i="25"/>
  <c r="D78" i="25" s="1"/>
  <c r="D178" i="25" s="1"/>
  <c r="E36" i="23"/>
  <c r="D36" i="23"/>
  <c r="E21" i="23"/>
  <c r="E78" i="23" s="1"/>
  <c r="E178" i="23" s="1"/>
  <c r="D21" i="23"/>
  <c r="D78" i="23" s="1"/>
  <c r="D178" i="23" s="1"/>
  <c r="E36" i="26"/>
  <c r="D36" i="26"/>
  <c r="E78" i="33" l="1"/>
  <c r="D78" i="33"/>
  <c r="E79" i="33" l="1"/>
  <c r="D79" i="33"/>
  <c r="E79" i="19"/>
  <c r="D79" i="19"/>
  <c r="E79" i="29"/>
  <c r="D79" i="29"/>
  <c r="E79" i="20"/>
  <c r="D79" i="20"/>
  <c r="E79" i="31"/>
  <c r="D79" i="31"/>
  <c r="E79" i="22"/>
  <c r="D79" i="22"/>
  <c r="E79" i="24"/>
  <c r="D79" i="24"/>
  <c r="E79" i="32"/>
  <c r="D79" i="32"/>
  <c r="E79" i="17"/>
  <c r="D79" i="17"/>
  <c r="E79" i="21"/>
  <c r="D79" i="21"/>
  <c r="E79" i="25"/>
  <c r="D79" i="25"/>
  <c r="E79" i="23"/>
  <c r="D79" i="23"/>
  <c r="E79" i="26"/>
  <c r="D79" i="26"/>
  <c r="E177" i="33"/>
  <c r="D177" i="33"/>
  <c r="E177" i="19"/>
  <c r="D177" i="19"/>
  <c r="E177" i="29"/>
  <c r="D177" i="29"/>
  <c r="E180" i="29" l="1"/>
  <c r="D180" i="29"/>
  <c r="E180" i="19"/>
  <c r="D180" i="19"/>
  <c r="E180" i="33"/>
  <c r="D180" i="33"/>
  <c r="D113" i="17" l="1"/>
  <c r="D37" i="17" l="1"/>
  <c r="D37" i="23"/>
  <c r="E37" i="17" l="1"/>
  <c r="E121" i="19"/>
  <c r="E159" i="19" s="1"/>
  <c r="E161" i="19" s="1"/>
  <c r="D121" i="19"/>
  <c r="D159" i="19" s="1"/>
  <c r="D161" i="19" s="1"/>
  <c r="E121" i="29"/>
  <c r="E159" i="29" s="1"/>
  <c r="E161" i="29" s="1"/>
  <c r="D121" i="29"/>
  <c r="D159" i="29" s="1"/>
  <c r="D161" i="29" s="1"/>
  <c r="E121" i="28"/>
  <c r="E159" i="28" s="1"/>
  <c r="E161" i="28" s="1"/>
  <c r="D121" i="28"/>
  <c r="D159" i="28" s="1"/>
  <c r="D161" i="28" s="1"/>
  <c r="E121" i="20"/>
  <c r="E159" i="20" s="1"/>
  <c r="E161" i="20" s="1"/>
  <c r="D121" i="20"/>
  <c r="D159" i="20" s="1"/>
  <c r="D161" i="20" s="1"/>
  <c r="E121" i="31"/>
  <c r="E159" i="31" s="1"/>
  <c r="E161" i="31" s="1"/>
  <c r="D121" i="31"/>
  <c r="D159" i="31" s="1"/>
  <c r="E121" i="22"/>
  <c r="E159" i="22" s="1"/>
  <c r="E161" i="22" s="1"/>
  <c r="D121" i="22"/>
  <c r="D159" i="22" s="1"/>
  <c r="D161" i="22" s="1"/>
  <c r="E121" i="24"/>
  <c r="E159" i="24" s="1"/>
  <c r="E161" i="24" s="1"/>
  <c r="D121" i="24"/>
  <c r="D159" i="24" s="1"/>
  <c r="D161" i="24" s="1"/>
  <c r="E121" i="32"/>
  <c r="E159" i="32" s="1"/>
  <c r="E161" i="32" s="1"/>
  <c r="D121" i="32"/>
  <c r="D159" i="32" s="1"/>
  <c r="D161" i="32" s="1"/>
  <c r="E121" i="17"/>
  <c r="E159" i="17" s="1"/>
  <c r="E161" i="17" s="1"/>
  <c r="D121" i="17"/>
  <c r="E121" i="21"/>
  <c r="E159" i="21" s="1"/>
  <c r="E161" i="21" s="1"/>
  <c r="D121" i="21"/>
  <c r="D159" i="21" s="1"/>
  <c r="D161" i="21" s="1"/>
  <c r="E121" i="25"/>
  <c r="E159" i="25" s="1"/>
  <c r="E161" i="25" s="1"/>
  <c r="D121" i="25"/>
  <c r="D159" i="25" s="1"/>
  <c r="D161" i="25" s="1"/>
  <c r="E121" i="23"/>
  <c r="E159" i="23" s="1"/>
  <c r="E161" i="23" s="1"/>
  <c r="D121" i="23"/>
  <c r="D159" i="23" s="1"/>
  <c r="D161" i="23" s="1"/>
  <c r="E121" i="26"/>
  <c r="E159" i="26" s="1"/>
  <c r="E161" i="26" s="1"/>
  <c r="D121" i="26"/>
  <c r="D159" i="26" s="1"/>
  <c r="D161" i="26" s="1"/>
  <c r="E121" i="33"/>
  <c r="D121" i="33"/>
  <c r="E106" i="19"/>
  <c r="D106" i="19"/>
  <c r="E106" i="29"/>
  <c r="D106" i="29"/>
  <c r="E106" i="28"/>
  <c r="D106" i="28"/>
  <c r="E106" i="20"/>
  <c r="D106" i="20"/>
  <c r="E106" i="31"/>
  <c r="D106" i="31"/>
  <c r="E106" i="22"/>
  <c r="D106" i="22"/>
  <c r="E106" i="24"/>
  <c r="D106" i="24"/>
  <c r="E106" i="32"/>
  <c r="D106" i="32"/>
  <c r="E106" i="17"/>
  <c r="D106" i="17"/>
  <c r="E106" i="21"/>
  <c r="D106" i="21"/>
  <c r="E106" i="25"/>
  <c r="D106" i="25"/>
  <c r="E106" i="26"/>
  <c r="D106" i="26"/>
  <c r="E106" i="33"/>
  <c r="D106" i="33"/>
  <c r="E95" i="19"/>
  <c r="D95" i="19"/>
  <c r="E95" i="29"/>
  <c r="D95" i="29"/>
  <c r="E95" i="28"/>
  <c r="E107" i="28" s="1"/>
  <c r="D95" i="28"/>
  <c r="E95" i="20"/>
  <c r="D95" i="20"/>
  <c r="E95" i="31"/>
  <c r="D95" i="31"/>
  <c r="E95" i="22"/>
  <c r="D95" i="22"/>
  <c r="E95" i="24"/>
  <c r="D95" i="24"/>
  <c r="D107" i="24" s="1"/>
  <c r="E95" i="32"/>
  <c r="D95" i="32"/>
  <c r="E95" i="17"/>
  <c r="D95" i="17"/>
  <c r="E95" i="21"/>
  <c r="D95" i="21"/>
  <c r="D107" i="21" s="1"/>
  <c r="E95" i="25"/>
  <c r="D95" i="25"/>
  <c r="D107" i="25" s="1"/>
  <c r="E95" i="23"/>
  <c r="D95" i="23"/>
  <c r="E95" i="26"/>
  <c r="D95" i="26"/>
  <c r="E95" i="33"/>
  <c r="D95" i="33"/>
  <c r="E55" i="19"/>
  <c r="D55" i="19"/>
  <c r="E55" i="29"/>
  <c r="D55" i="29"/>
  <c r="E55" i="28"/>
  <c r="D55" i="28"/>
  <c r="E55" i="20"/>
  <c r="D55" i="20"/>
  <c r="E55" i="31"/>
  <c r="D55" i="31"/>
  <c r="E55" i="22"/>
  <c r="D55" i="22"/>
  <c r="E55" i="24"/>
  <c r="D55" i="24"/>
  <c r="E55" i="32"/>
  <c r="D55" i="32"/>
  <c r="E55" i="17"/>
  <c r="D55" i="17"/>
  <c r="E55" i="21"/>
  <c r="D55" i="21"/>
  <c r="E55" i="25"/>
  <c r="D55" i="25"/>
  <c r="E55" i="23"/>
  <c r="D55" i="23"/>
  <c r="E55" i="26"/>
  <c r="D55" i="26"/>
  <c r="E55" i="33"/>
  <c r="D55" i="33"/>
  <c r="E79" i="28"/>
  <c r="D79" i="28"/>
  <c r="E163" i="33"/>
  <c r="D163" i="33"/>
  <c r="E163" i="19"/>
  <c r="D163" i="19"/>
  <c r="E163" i="29"/>
  <c r="D163" i="29"/>
  <c r="E163" i="28"/>
  <c r="D163" i="28"/>
  <c r="E163" i="20"/>
  <c r="D163" i="20"/>
  <c r="E163" i="31"/>
  <c r="D163" i="31"/>
  <c r="E163" i="22"/>
  <c r="D163" i="22"/>
  <c r="E163" i="24"/>
  <c r="D163" i="24"/>
  <c r="E163" i="32"/>
  <c r="D163" i="32"/>
  <c r="E163" i="17"/>
  <c r="D163" i="17"/>
  <c r="E163" i="21"/>
  <c r="D163" i="21"/>
  <c r="E163" i="25"/>
  <c r="D163" i="25"/>
  <c r="E163" i="23"/>
  <c r="D163" i="23"/>
  <c r="E163" i="26"/>
  <c r="D163" i="26"/>
  <c r="D160" i="33"/>
  <c r="D160" i="31"/>
  <c r="D161" i="33"/>
  <c r="D161" i="31"/>
  <c r="E168" i="33"/>
  <c r="D168" i="33"/>
  <c r="E168" i="19"/>
  <c r="D168" i="19"/>
  <c r="E168" i="29"/>
  <c r="D168" i="29"/>
  <c r="E168" i="28"/>
  <c r="D168" i="28"/>
  <c r="E168" i="20"/>
  <c r="D168" i="20"/>
  <c r="E168" i="31"/>
  <c r="D168" i="31"/>
  <c r="E168" i="22"/>
  <c r="D168" i="22"/>
  <c r="E168" i="24"/>
  <c r="D168" i="24"/>
  <c r="E168" i="32"/>
  <c r="D168" i="32"/>
  <c r="E168" i="17"/>
  <c r="D168" i="17"/>
  <c r="E168" i="21"/>
  <c r="D168" i="21"/>
  <c r="E168" i="25"/>
  <c r="D168" i="25"/>
  <c r="E168" i="23"/>
  <c r="D168" i="23"/>
  <c r="E168" i="26"/>
  <c r="D168" i="26"/>
  <c r="E156" i="33"/>
  <c r="D156" i="33"/>
  <c r="E156" i="19"/>
  <c r="D156" i="19"/>
  <c r="E156" i="29"/>
  <c r="D156" i="29"/>
  <c r="E156" i="28"/>
  <c r="D156" i="28"/>
  <c r="E156" i="20"/>
  <c r="D156" i="20"/>
  <c r="E156" i="31"/>
  <c r="D156" i="31"/>
  <c r="E156" i="22"/>
  <c r="D156" i="22"/>
  <c r="E156" i="24"/>
  <c r="D156" i="24"/>
  <c r="D157" i="24" s="1"/>
  <c r="E156" i="32"/>
  <c r="D156" i="32"/>
  <c r="E156" i="17"/>
  <c r="D156" i="17"/>
  <c r="E156" i="21"/>
  <c r="D156" i="21"/>
  <c r="E156" i="25"/>
  <c r="D156" i="25"/>
  <c r="E156" i="23"/>
  <c r="D156" i="23"/>
  <c r="E156" i="26"/>
  <c r="D156" i="26"/>
  <c r="D151" i="33"/>
  <c r="D169" i="29"/>
  <c r="D169" i="31"/>
  <c r="E181" i="33"/>
  <c r="D181" i="33"/>
  <c r="E181" i="19"/>
  <c r="D181" i="19"/>
  <c r="E181" i="29"/>
  <c r="D181" i="29"/>
  <c r="E170" i="33"/>
  <c r="D170" i="33"/>
  <c r="E170" i="19"/>
  <c r="D170" i="19"/>
  <c r="E170" i="29"/>
  <c r="D170" i="29"/>
  <c r="E170" i="28"/>
  <c r="D170" i="28"/>
  <c r="E170" i="20"/>
  <c r="D170" i="20"/>
  <c r="E170" i="31"/>
  <c r="D170" i="31"/>
  <c r="E170" i="22"/>
  <c r="D170" i="22"/>
  <c r="E170" i="24"/>
  <c r="D170" i="24"/>
  <c r="E170" i="32"/>
  <c r="D170" i="32"/>
  <c r="E170" i="17"/>
  <c r="D170" i="17"/>
  <c r="E170" i="21"/>
  <c r="D170" i="21"/>
  <c r="E170" i="25"/>
  <c r="D170" i="25"/>
  <c r="E170" i="23"/>
  <c r="D170" i="23"/>
  <c r="E170" i="26"/>
  <c r="D170" i="26"/>
  <c r="E171" i="33"/>
  <c r="D171" i="33"/>
  <c r="E171" i="19"/>
  <c r="D171" i="19"/>
  <c r="E171" i="29"/>
  <c r="D171" i="29"/>
  <c r="E171" i="28"/>
  <c r="E182" i="28" s="1"/>
  <c r="D171" i="28"/>
  <c r="D182" i="28" s="1"/>
  <c r="E171" i="20"/>
  <c r="E182" i="20" s="1"/>
  <c r="D171" i="20"/>
  <c r="D182" i="20" s="1"/>
  <c r="E171" i="31"/>
  <c r="E182" i="31" s="1"/>
  <c r="D171" i="31"/>
  <c r="D182" i="31" s="1"/>
  <c r="E171" i="22"/>
  <c r="E182" i="22" s="1"/>
  <c r="D171" i="22"/>
  <c r="D182" i="22" s="1"/>
  <c r="E171" i="24"/>
  <c r="E182" i="24" s="1"/>
  <c r="D171" i="24"/>
  <c r="D182" i="24" s="1"/>
  <c r="E171" i="32"/>
  <c r="E182" i="32" s="1"/>
  <c r="D171" i="32"/>
  <c r="D182" i="32" s="1"/>
  <c r="E171" i="17"/>
  <c r="D171" i="17"/>
  <c r="E171" i="21"/>
  <c r="E182" i="21" s="1"/>
  <c r="D171" i="21"/>
  <c r="D182" i="21" s="1"/>
  <c r="E171" i="25"/>
  <c r="E182" i="25" s="1"/>
  <c r="D171" i="25"/>
  <c r="D182" i="25" s="1"/>
  <c r="E171" i="23"/>
  <c r="E182" i="23" s="1"/>
  <c r="D171" i="23"/>
  <c r="D182" i="23" s="1"/>
  <c r="E171" i="26"/>
  <c r="E182" i="26" s="1"/>
  <c r="D171" i="26"/>
  <c r="D182" i="26" s="1"/>
  <c r="D107" i="22" l="1"/>
  <c r="D107" i="31"/>
  <c r="D107" i="29"/>
  <c r="E107" i="26"/>
  <c r="D107" i="32"/>
  <c r="E184" i="20"/>
  <c r="E186" i="20" s="1"/>
  <c r="E179" i="20"/>
  <c r="D184" i="20"/>
  <c r="D186" i="20" s="1"/>
  <c r="D179" i="20"/>
  <c r="E184" i="26"/>
  <c r="E186" i="26" s="1"/>
  <c r="E179" i="26"/>
  <c r="D184" i="26"/>
  <c r="D186" i="26" s="1"/>
  <c r="D179" i="26"/>
  <c r="D184" i="23"/>
  <c r="D186" i="23" s="1"/>
  <c r="D179" i="23"/>
  <c r="E184" i="23"/>
  <c r="E186" i="23" s="1"/>
  <c r="E179" i="23"/>
  <c r="E184" i="25"/>
  <c r="E186" i="25" s="1"/>
  <c r="E179" i="25"/>
  <c r="D184" i="25"/>
  <c r="D186" i="25" s="1"/>
  <c r="D179" i="25"/>
  <c r="E184" i="21"/>
  <c r="E186" i="21" s="1"/>
  <c r="E179" i="21"/>
  <c r="D184" i="21"/>
  <c r="D186" i="21" s="1"/>
  <c r="D179" i="21"/>
  <c r="D184" i="24"/>
  <c r="D186" i="24" s="1"/>
  <c r="D179" i="24"/>
  <c r="E184" i="24"/>
  <c r="E186" i="24" s="1"/>
  <c r="E179" i="24"/>
  <c r="D184" i="22"/>
  <c r="D186" i="22" s="1"/>
  <c r="D179" i="22"/>
  <c r="E184" i="22"/>
  <c r="E186" i="22" s="1"/>
  <c r="E179" i="22"/>
  <c r="D184" i="31"/>
  <c r="D179" i="31"/>
  <c r="D186" i="31"/>
  <c r="D159" i="33"/>
  <c r="E159" i="33"/>
  <c r="D107" i="26"/>
  <c r="D107" i="28"/>
  <c r="E184" i="28"/>
  <c r="E186" i="28" s="1"/>
  <c r="E179" i="28"/>
  <c r="D179" i="28"/>
  <c r="D184" i="28"/>
  <c r="D186" i="28" s="1"/>
  <c r="D107" i="20"/>
  <c r="D108" i="20" s="1"/>
  <c r="E179" i="31"/>
  <c r="E184" i="31"/>
  <c r="E186" i="31" s="1"/>
  <c r="D179" i="32"/>
  <c r="D184" i="32"/>
  <c r="D172" i="32" s="1"/>
  <c r="E184" i="32"/>
  <c r="E186" i="32" s="1"/>
  <c r="E179" i="32"/>
  <c r="D107" i="19"/>
  <c r="D159" i="17"/>
  <c r="E179" i="17"/>
  <c r="E184" i="17"/>
  <c r="E172" i="17" s="1"/>
  <c r="E107" i="17"/>
  <c r="E108" i="17" s="1"/>
  <c r="E182" i="17"/>
  <c r="D182" i="17"/>
  <c r="D184" i="17"/>
  <c r="D179" i="17"/>
  <c r="D107" i="17"/>
  <c r="E107" i="25"/>
  <c r="E107" i="21"/>
  <c r="E107" i="32"/>
  <c r="E107" i="24"/>
  <c r="E107" i="22"/>
  <c r="E107" i="31"/>
  <c r="E107" i="20"/>
  <c r="E108" i="20" s="1"/>
  <c r="E107" i="29"/>
  <c r="E107" i="19"/>
  <c r="D107" i="33"/>
  <c r="E107" i="33"/>
  <c r="D169" i="19"/>
  <c r="D165" i="17"/>
  <c r="D165" i="32"/>
  <c r="D165" i="28"/>
  <c r="E157" i="28"/>
  <c r="E157" i="33"/>
  <c r="E182" i="29"/>
  <c r="E157" i="31"/>
  <c r="D157" i="22"/>
  <c r="E157" i="22"/>
  <c r="D165" i="22"/>
  <c r="D165" i="24"/>
  <c r="D157" i="17"/>
  <c r="E157" i="17"/>
  <c r="E182" i="19"/>
  <c r="D157" i="32"/>
  <c r="E157" i="21"/>
  <c r="E157" i="25"/>
  <c r="E157" i="26"/>
  <c r="E157" i="23"/>
  <c r="E157" i="32"/>
  <c r="E157" i="24"/>
  <c r="E157" i="20"/>
  <c r="D169" i="23"/>
  <c r="D169" i="25"/>
  <c r="D169" i="21"/>
  <c r="E165" i="17"/>
  <c r="E169" i="19"/>
  <c r="D182" i="29"/>
  <c r="D182" i="19"/>
  <c r="D182" i="33"/>
  <c r="D151" i="31"/>
  <c r="D157" i="31"/>
  <c r="D165" i="31"/>
  <c r="D169" i="28"/>
  <c r="D169" i="26"/>
  <c r="D165" i="26"/>
  <c r="D157" i="26"/>
  <c r="D157" i="25"/>
  <c r="D165" i="23"/>
  <c r="D165" i="25"/>
  <c r="D165" i="21"/>
  <c r="D184" i="19"/>
  <c r="D172" i="19" s="1"/>
  <c r="D157" i="23"/>
  <c r="D157" i="21"/>
  <c r="E172" i="26"/>
  <c r="E172" i="24"/>
  <c r="E184" i="19"/>
  <c r="E172" i="19" s="1"/>
  <c r="E184" i="33"/>
  <c r="E185" i="33"/>
  <c r="E169" i="26"/>
  <c r="E165" i="26"/>
  <c r="E165" i="23"/>
  <c r="E169" i="23"/>
  <c r="E169" i="25"/>
  <c r="E165" i="21"/>
  <c r="E169" i="21"/>
  <c r="E169" i="17"/>
  <c r="E165" i="32"/>
  <c r="E169" i="32"/>
  <c r="E169" i="24"/>
  <c r="E165" i="24"/>
  <c r="E165" i="22"/>
  <c r="E169" i="22"/>
  <c r="E165" i="31"/>
  <c r="E169" i="31"/>
  <c r="E169" i="20"/>
  <c r="E165" i="20"/>
  <c r="E169" i="28"/>
  <c r="E157" i="29"/>
  <c r="E165" i="19"/>
  <c r="E157" i="19"/>
  <c r="E169" i="33"/>
  <c r="E165" i="25"/>
  <c r="E185" i="19"/>
  <c r="E169" i="29"/>
  <c r="D157" i="19"/>
  <c r="D165" i="19"/>
  <c r="D169" i="17"/>
  <c r="D169" i="32"/>
  <c r="D169" i="24"/>
  <c r="D169" i="22"/>
  <c r="D169" i="20"/>
  <c r="D157" i="28"/>
  <c r="E172" i="21"/>
  <c r="D165" i="20"/>
  <c r="D157" i="20"/>
  <c r="E165" i="28"/>
  <c r="D165" i="29"/>
  <c r="D157" i="29"/>
  <c r="D185" i="29"/>
  <c r="E182" i="33"/>
  <c r="E165" i="33"/>
  <c r="D157" i="33"/>
  <c r="D165" i="33"/>
  <c r="D169" i="33"/>
  <c r="D185" i="33"/>
  <c r="D172" i="26"/>
  <c r="D184" i="33"/>
  <c r="D172" i="20"/>
  <c r="D184" i="29"/>
  <c r="D172" i="29" s="1"/>
  <c r="D185" i="19"/>
  <c r="D172" i="22" l="1"/>
  <c r="D172" i="25"/>
  <c r="D186" i="32"/>
  <c r="E161" i="33"/>
  <c r="E172" i="33"/>
  <c r="E172" i="31"/>
  <c r="D161" i="17"/>
  <c r="E186" i="17"/>
  <c r="D186" i="17"/>
  <c r="D172" i="17"/>
  <c r="D108" i="17"/>
  <c r="E186" i="33"/>
  <c r="D186" i="19"/>
  <c r="E186" i="19"/>
  <c r="E172" i="25"/>
  <c r="D172" i="21"/>
  <c r="E172" i="32"/>
  <c r="E172" i="23"/>
  <c r="E172" i="20"/>
  <c r="E172" i="28"/>
  <c r="D186" i="29"/>
  <c r="D172" i="33"/>
  <c r="D172" i="24"/>
  <c r="D186" i="33"/>
  <c r="D172" i="28"/>
  <c r="D172" i="31"/>
  <c r="D172" i="23"/>
  <c r="E108" i="19"/>
  <c r="E108" i="31"/>
  <c r="E108" i="26"/>
  <c r="E108" i="29"/>
  <c r="E108" i="22"/>
  <c r="E108" i="21"/>
  <c r="E108" i="28"/>
  <c r="E108" i="24"/>
  <c r="E108" i="25"/>
  <c r="E108" i="33"/>
  <c r="E108" i="32"/>
  <c r="D108" i="21"/>
  <c r="D108" i="32"/>
  <c r="D108" i="19"/>
  <c r="D108" i="31"/>
  <c r="D108" i="26"/>
  <c r="D108" i="29"/>
  <c r="D108" i="22"/>
  <c r="D108" i="28"/>
  <c r="D108" i="24"/>
  <c r="D108" i="25"/>
  <c r="D108" i="33"/>
  <c r="E140" i="19" l="1"/>
  <c r="D140" i="19"/>
  <c r="E140" i="29"/>
  <c r="D140" i="29"/>
  <c r="E140" i="28"/>
  <c r="D140" i="28"/>
  <c r="E140" i="20"/>
  <c r="D140" i="20"/>
  <c r="E140" i="31"/>
  <c r="D140" i="31"/>
  <c r="E140" i="22"/>
  <c r="D140" i="22"/>
  <c r="E140" i="24"/>
  <c r="D140" i="24"/>
  <c r="E140" i="32"/>
  <c r="D140" i="32"/>
  <c r="E140" i="17"/>
  <c r="D140" i="17"/>
  <c r="E140" i="21"/>
  <c r="D140" i="21"/>
  <c r="E140" i="25"/>
  <c r="D140" i="25"/>
  <c r="E140" i="23"/>
  <c r="D140" i="23"/>
  <c r="E140" i="26"/>
  <c r="D140" i="26"/>
  <c r="E140" i="33"/>
  <c r="D140" i="33"/>
  <c r="E134" i="19"/>
  <c r="D134" i="19"/>
  <c r="E134" i="29"/>
  <c r="D134" i="29"/>
  <c r="E134" i="28"/>
  <c r="D134" i="28"/>
  <c r="E134" i="20"/>
  <c r="D134" i="20"/>
  <c r="E134" i="31"/>
  <c r="D134" i="31"/>
  <c r="E134" i="22"/>
  <c r="D134" i="22"/>
  <c r="E134" i="24"/>
  <c r="D134" i="24"/>
  <c r="E134" i="32"/>
  <c r="D134" i="32"/>
  <c r="E134" i="17"/>
  <c r="D134" i="17"/>
  <c r="E134" i="21"/>
  <c r="D134" i="21"/>
  <c r="E134" i="25"/>
  <c r="D134" i="25"/>
  <c r="E134" i="23"/>
  <c r="D134" i="23"/>
  <c r="E134" i="26"/>
  <c r="D134" i="26"/>
  <c r="E134" i="33"/>
  <c r="D134" i="33"/>
  <c r="E117" i="19"/>
  <c r="D117" i="19"/>
  <c r="E117" i="29"/>
  <c r="D117" i="29"/>
  <c r="E117" i="28"/>
  <c r="D117" i="28"/>
  <c r="E117" i="20"/>
  <c r="D117" i="20"/>
  <c r="E117" i="31"/>
  <c r="D117" i="31"/>
  <c r="E117" i="22"/>
  <c r="D117" i="22"/>
  <c r="E117" i="24"/>
  <c r="D117" i="24"/>
  <c r="E117" i="32"/>
  <c r="D117" i="32"/>
  <c r="E117" i="17"/>
  <c r="D117" i="17"/>
  <c r="E117" i="21"/>
  <c r="D117" i="21"/>
  <c r="E117" i="25"/>
  <c r="D117" i="25"/>
  <c r="E117" i="23"/>
  <c r="D117" i="23"/>
  <c r="E117" i="26"/>
  <c r="D117" i="26"/>
  <c r="E117" i="33"/>
  <c r="D117" i="33"/>
  <c r="E112" i="19"/>
  <c r="E111" i="19" s="1"/>
  <c r="E167" i="19" s="1"/>
  <c r="D112" i="19"/>
  <c r="E112" i="29"/>
  <c r="E111" i="29" s="1"/>
  <c r="E167" i="29" s="1"/>
  <c r="D112" i="29"/>
  <c r="D111" i="29" s="1"/>
  <c r="E112" i="28"/>
  <c r="E111" i="28" s="1"/>
  <c r="E167" i="28" s="1"/>
  <c r="D112" i="28"/>
  <c r="E112" i="20"/>
  <c r="D112" i="20"/>
  <c r="E112" i="31"/>
  <c r="D112" i="31"/>
  <c r="E112" i="22"/>
  <c r="D112" i="22"/>
  <c r="E112" i="24"/>
  <c r="E111" i="24" s="1"/>
  <c r="E167" i="24" s="1"/>
  <c r="D112" i="24"/>
  <c r="D111" i="24" s="1"/>
  <c r="E112" i="32"/>
  <c r="D112" i="32"/>
  <c r="E112" i="17"/>
  <c r="D112" i="17"/>
  <c r="E112" i="21"/>
  <c r="D112" i="21"/>
  <c r="D111" i="21" s="1"/>
  <c r="E112" i="25"/>
  <c r="D112" i="25"/>
  <c r="E112" i="23"/>
  <c r="D112" i="23"/>
  <c r="E112" i="26"/>
  <c r="E111" i="26" s="1"/>
  <c r="E167" i="26" s="1"/>
  <c r="D112" i="26"/>
  <c r="D111" i="26" s="1"/>
  <c r="E112" i="33"/>
  <c r="D112" i="33"/>
  <c r="E178" i="19"/>
  <c r="D178" i="19"/>
  <c r="E111" i="21" l="1"/>
  <c r="E167" i="21" s="1"/>
  <c r="E111" i="31"/>
  <c r="E167" i="31" s="1"/>
  <c r="D111" i="17"/>
  <c r="E111" i="20"/>
  <c r="E167" i="20" s="1"/>
  <c r="D111" i="25"/>
  <c r="D111" i="22"/>
  <c r="E111" i="22"/>
  <c r="E167" i="22" s="1"/>
  <c r="E111" i="25"/>
  <c r="E167" i="25" s="1"/>
  <c r="D111" i="31"/>
  <c r="D167" i="31" s="1"/>
  <c r="D111" i="20"/>
  <c r="E111" i="17"/>
  <c r="E167" i="17" s="1"/>
  <c r="E111" i="32"/>
  <c r="E167" i="32" s="1"/>
  <c r="D111" i="32"/>
  <c r="D167" i="32" s="1"/>
  <c r="D111" i="23"/>
  <c r="D167" i="23" s="1"/>
  <c r="E111" i="23"/>
  <c r="E167" i="23" s="1"/>
  <c r="D111" i="33"/>
  <c r="E111" i="33"/>
  <c r="D111" i="28"/>
  <c r="D167" i="28" s="1"/>
  <c r="D111" i="19"/>
  <c r="D167" i="19" s="1"/>
  <c r="D179" i="19"/>
  <c r="E179" i="19"/>
  <c r="D133" i="23"/>
  <c r="D133" i="25"/>
  <c r="D158" i="25" s="1"/>
  <c r="D162" i="25" s="1"/>
  <c r="D133" i="21"/>
  <c r="D158" i="21" s="1"/>
  <c r="D162" i="21" s="1"/>
  <c r="D133" i="17"/>
  <c r="D158" i="17" s="1"/>
  <c r="D162" i="17" s="1"/>
  <c r="D133" i="32"/>
  <c r="D133" i="29"/>
  <c r="D133" i="19"/>
  <c r="E133" i="33"/>
  <c r="E133" i="26"/>
  <c r="E158" i="26" s="1"/>
  <c r="E162" i="26" s="1"/>
  <c r="E133" i="23"/>
  <c r="E133" i="25"/>
  <c r="E133" i="21"/>
  <c r="E158" i="21" s="1"/>
  <c r="E162" i="21" s="1"/>
  <c r="E133" i="17"/>
  <c r="E158" i="17" s="1"/>
  <c r="E162" i="17" s="1"/>
  <c r="E133" i="32"/>
  <c r="E133" i="24"/>
  <c r="E158" i="24" s="1"/>
  <c r="E162" i="24" s="1"/>
  <c r="E133" i="22"/>
  <c r="E133" i="31"/>
  <c r="E158" i="31" s="1"/>
  <c r="E162" i="31" s="1"/>
  <c r="E133" i="20"/>
  <c r="E158" i="20" s="1"/>
  <c r="E162" i="20" s="1"/>
  <c r="E133" i="28"/>
  <c r="E158" i="28" s="1"/>
  <c r="E162" i="28" s="1"/>
  <c r="E133" i="29"/>
  <c r="E158" i="29" s="1"/>
  <c r="E162" i="29" s="1"/>
  <c r="E133" i="19"/>
  <c r="E158" i="19" s="1"/>
  <c r="E162" i="19" s="1"/>
  <c r="D133" i="33"/>
  <c r="D133" i="26"/>
  <c r="D158" i="26" s="1"/>
  <c r="D162" i="26" s="1"/>
  <c r="D133" i="24"/>
  <c r="D158" i="24" s="1"/>
  <c r="D162" i="24" s="1"/>
  <c r="D133" i="22"/>
  <c r="D158" i="22" s="1"/>
  <c r="D162" i="22" s="1"/>
  <c r="D133" i="31"/>
  <c r="D133" i="20"/>
  <c r="D158" i="20" s="1"/>
  <c r="D162" i="20" s="1"/>
  <c r="D133" i="28"/>
  <c r="D167" i="33"/>
  <c r="D167" i="26"/>
  <c r="D167" i="25"/>
  <c r="D167" i="21"/>
  <c r="D167" i="17"/>
  <c r="D167" i="24"/>
  <c r="D167" i="22"/>
  <c r="D167" i="20"/>
  <c r="D158" i="29"/>
  <c r="D160" i="29" s="1"/>
  <c r="D167" i="29"/>
  <c r="D158" i="31" l="1"/>
  <c r="D158" i="23"/>
  <c r="D162" i="23" s="1"/>
  <c r="D158" i="33"/>
  <c r="E158" i="23"/>
  <c r="E162" i="23" s="1"/>
  <c r="D158" i="32"/>
  <c r="D162" i="32" s="1"/>
  <c r="E158" i="32"/>
  <c r="E162" i="32" s="1"/>
  <c r="E158" i="25"/>
  <c r="E162" i="25" s="1"/>
  <c r="E158" i="22"/>
  <c r="E162" i="22" s="1"/>
  <c r="D158" i="28"/>
  <c r="D162" i="28" s="1"/>
  <c r="E167" i="33"/>
  <c r="E158" i="33"/>
  <c r="D158" i="19"/>
  <c r="D162" i="19" s="1"/>
  <c r="D160" i="26"/>
  <c r="E160" i="26"/>
  <c r="D160" i="23"/>
  <c r="E160" i="23"/>
  <c r="E160" i="25"/>
  <c r="D160" i="25"/>
  <c r="D160" i="21"/>
  <c r="E160" i="21"/>
  <c r="D160" i="17"/>
  <c r="E160" i="17"/>
  <c r="E160" i="32"/>
  <c r="D160" i="24"/>
  <c r="E160" i="24"/>
  <c r="D160" i="22"/>
  <c r="E160" i="31"/>
  <c r="D160" i="20"/>
  <c r="E160" i="20"/>
  <c r="E160" i="28"/>
  <c r="E160" i="29"/>
  <c r="E160" i="19"/>
  <c r="E160" i="33"/>
  <c r="E178" i="33"/>
  <c r="D178" i="33"/>
  <c r="E147" i="33"/>
  <c r="D147" i="33"/>
  <c r="E131" i="33"/>
  <c r="D131" i="33"/>
  <c r="E166" i="33"/>
  <c r="D166" i="33"/>
  <c r="E147" i="32"/>
  <c r="D147" i="32"/>
  <c r="E131" i="32"/>
  <c r="D131" i="32"/>
  <c r="E166" i="32"/>
  <c r="D166" i="32"/>
  <c r="D164" i="32"/>
  <c r="E131" i="29"/>
  <c r="D131" i="29"/>
  <c r="E166" i="29"/>
  <c r="D166" i="29"/>
  <c r="E131" i="19"/>
  <c r="D131" i="19"/>
  <c r="E166" i="19"/>
  <c r="D166" i="19"/>
  <c r="E131" i="31"/>
  <c r="D131" i="31"/>
  <c r="D166" i="31"/>
  <c r="E131" i="22"/>
  <c r="D131" i="22"/>
  <c r="E166" i="22"/>
  <c r="D166" i="22"/>
  <c r="D164" i="22"/>
  <c r="E131" i="24"/>
  <c r="D131" i="24"/>
  <c r="E166" i="24"/>
  <c r="D166" i="24"/>
  <c r="E131" i="17"/>
  <c r="D131" i="17"/>
  <c r="E166" i="17"/>
  <c r="D166" i="17"/>
  <c r="E164" i="17"/>
  <c r="E131" i="21"/>
  <c r="D131" i="21"/>
  <c r="D166" i="21"/>
  <c r="E131" i="25"/>
  <c r="D131" i="25"/>
  <c r="E166" i="25"/>
  <c r="E37" i="25"/>
  <c r="E56" i="25" s="1"/>
  <c r="E131" i="23"/>
  <c r="D131" i="23"/>
  <c r="D166" i="23"/>
  <c r="E131" i="26"/>
  <c r="D131" i="26"/>
  <c r="E166" i="26"/>
  <c r="D166" i="26"/>
  <c r="E131" i="20"/>
  <c r="D131" i="20"/>
  <c r="E166" i="20"/>
  <c r="E147" i="29"/>
  <c r="D147" i="29"/>
  <c r="E147" i="19"/>
  <c r="D147" i="19"/>
  <c r="E147" i="28"/>
  <c r="D147" i="28"/>
  <c r="E131" i="28"/>
  <c r="D131" i="28"/>
  <c r="E166" i="28"/>
  <c r="D166" i="28"/>
  <c r="E147" i="20"/>
  <c r="D147" i="20"/>
  <c r="E147" i="31"/>
  <c r="D147" i="31"/>
  <c r="E166" i="31"/>
  <c r="E147" i="22"/>
  <c r="D147" i="22"/>
  <c r="E147" i="24"/>
  <c r="D147" i="24"/>
  <c r="E147" i="17"/>
  <c r="D147" i="17"/>
  <c r="E147" i="21"/>
  <c r="D147" i="21"/>
  <c r="E147" i="25"/>
  <c r="D147" i="25"/>
  <c r="E147" i="23"/>
  <c r="D147" i="23"/>
  <c r="E147" i="26"/>
  <c r="D147" i="26"/>
  <c r="D37" i="32"/>
  <c r="D56" i="32" s="1"/>
  <c r="D77" i="32" s="1"/>
  <c r="D150" i="32" s="1"/>
  <c r="E164" i="31"/>
  <c r="D37" i="20"/>
  <c r="D56" i="20" s="1"/>
  <c r="D77" i="20" s="1"/>
  <c r="D150" i="20" s="1"/>
  <c r="D37" i="25"/>
  <c r="D56" i="25" s="1"/>
  <c r="D166" i="20"/>
  <c r="D37" i="28"/>
  <c r="D56" i="28" s="1"/>
  <c r="D77" i="28" s="1"/>
  <c r="D150" i="28" s="1"/>
  <c r="E37" i="31"/>
  <c r="E56" i="31" s="1"/>
  <c r="E77" i="31" s="1"/>
  <c r="E150" i="31" s="1"/>
  <c r="D37" i="21"/>
  <c r="D56" i="21" s="1"/>
  <c r="D37" i="24"/>
  <c r="D56" i="24" s="1"/>
  <c r="D77" i="24" s="1"/>
  <c r="D150" i="24" s="1"/>
  <c r="D164" i="24"/>
  <c r="D164" i="23"/>
  <c r="E37" i="19"/>
  <c r="E164" i="19"/>
  <c r="E160" i="22" l="1"/>
  <c r="D160" i="28"/>
  <c r="D160" i="32"/>
  <c r="D77" i="21"/>
  <c r="D150" i="21" s="1"/>
  <c r="D160" i="19"/>
  <c r="E162" i="33"/>
  <c r="D179" i="33"/>
  <c r="E77" i="25"/>
  <c r="E150" i="25" s="1"/>
  <c r="D77" i="25"/>
  <c r="D150" i="25" s="1"/>
  <c r="E56" i="19"/>
  <c r="E179" i="33"/>
  <c r="D106" i="23"/>
  <c r="E106" i="23"/>
  <c r="E172" i="22"/>
  <c r="E164" i="33"/>
  <c r="E164" i="20"/>
  <c r="D164" i="25"/>
  <c r="D164" i="20"/>
  <c r="D164" i="33"/>
  <c r="D164" i="17"/>
  <c r="E37" i="24"/>
  <c r="E164" i="25"/>
  <c r="D37" i="22"/>
  <c r="E37" i="26"/>
  <c r="E37" i="32"/>
  <c r="E164" i="26"/>
  <c r="E164" i="21"/>
  <c r="E164" i="28"/>
  <c r="D164" i="19"/>
  <c r="D164" i="28"/>
  <c r="E164" i="32"/>
  <c r="E37" i="28"/>
  <c r="D37" i="19"/>
  <c r="E37" i="20"/>
  <c r="D37" i="26"/>
  <c r="E164" i="23"/>
  <c r="D164" i="21"/>
  <c r="D37" i="31"/>
  <c r="E37" i="21"/>
  <c r="D166" i="25"/>
  <c r="D37" i="33"/>
  <c r="D164" i="26"/>
  <c r="E166" i="23"/>
  <c r="E166" i="21"/>
  <c r="E164" i="24"/>
  <c r="E77" i="19" l="1"/>
  <c r="E150" i="19" s="1"/>
  <c r="E154" i="19" s="1"/>
  <c r="D107" i="23"/>
  <c r="E107" i="23"/>
  <c r="E37" i="23"/>
  <c r="E56" i="23" s="1"/>
  <c r="D152" i="28"/>
  <c r="D151" i="28"/>
  <c r="E184" i="29"/>
  <c r="E185" i="29"/>
  <c r="D56" i="23"/>
  <c r="E165" i="29"/>
  <c r="E56" i="21"/>
  <c r="E56" i="17"/>
  <c r="E77" i="17" s="1"/>
  <c r="E56" i="20"/>
  <c r="E77" i="20" s="1"/>
  <c r="E150" i="20" s="1"/>
  <c r="E56" i="26"/>
  <c r="E151" i="19"/>
  <c r="E152" i="19"/>
  <c r="E151" i="25"/>
  <c r="E152" i="25"/>
  <c r="E56" i="28"/>
  <c r="E77" i="28" s="1"/>
  <c r="E150" i="28" s="1"/>
  <c r="E56" i="32"/>
  <c r="E77" i="32" s="1"/>
  <c r="E150" i="32" s="1"/>
  <c r="E56" i="24"/>
  <c r="E77" i="24" s="1"/>
  <c r="E150" i="24" s="1"/>
  <c r="E151" i="31"/>
  <c r="E152" i="31"/>
  <c r="E37" i="33"/>
  <c r="D153" i="28"/>
  <c r="D151" i="32"/>
  <c r="D152" i="32"/>
  <c r="D151" i="24"/>
  <c r="D152" i="24"/>
  <c r="D56" i="33"/>
  <c r="D56" i="31"/>
  <c r="D77" i="31" s="1"/>
  <c r="D150" i="31" s="1"/>
  <c r="D56" i="22"/>
  <c r="D77" i="22" s="1"/>
  <c r="D151" i="25"/>
  <c r="D152" i="25"/>
  <c r="D56" i="26"/>
  <c r="D56" i="19"/>
  <c r="D77" i="19" s="1"/>
  <c r="D151" i="21"/>
  <c r="D152" i="21"/>
  <c r="D151" i="20"/>
  <c r="D152" i="20"/>
  <c r="D153" i="32"/>
  <c r="D155" i="32"/>
  <c r="D154" i="32"/>
  <c r="D153" i="25"/>
  <c r="D154" i="25"/>
  <c r="D155" i="25"/>
  <c r="D154" i="24"/>
  <c r="D153" i="24"/>
  <c r="D155" i="24"/>
  <c r="E154" i="31"/>
  <c r="E155" i="25"/>
  <c r="E153" i="25"/>
  <c r="E154" i="25"/>
  <c r="D153" i="20"/>
  <c r="D155" i="20"/>
  <c r="D154" i="20"/>
  <c r="D154" i="28"/>
  <c r="D155" i="28"/>
  <c r="E155" i="19"/>
  <c r="D155" i="21"/>
  <c r="D154" i="21"/>
  <c r="D153" i="21"/>
  <c r="E37" i="29"/>
  <c r="D164" i="31"/>
  <c r="D37" i="29"/>
  <c r="E37" i="22"/>
  <c r="D77" i="26" l="1"/>
  <c r="D150" i="26" s="1"/>
  <c r="E77" i="26"/>
  <c r="E150" i="26" s="1"/>
  <c r="D77" i="23"/>
  <c r="D150" i="23" s="1"/>
  <c r="E77" i="23"/>
  <c r="E150" i="23" s="1"/>
  <c r="E77" i="21"/>
  <c r="E150" i="21" s="1"/>
  <c r="E56" i="33"/>
  <c r="D77" i="33"/>
  <c r="E153" i="19"/>
  <c r="E150" i="17"/>
  <c r="E151" i="17" s="1"/>
  <c r="D150" i="22"/>
  <c r="D154" i="22" s="1"/>
  <c r="D150" i="19"/>
  <c r="D151" i="19" s="1"/>
  <c r="D108" i="23"/>
  <c r="E108" i="23"/>
  <c r="E186" i="29"/>
  <c r="E172" i="29"/>
  <c r="E151" i="24"/>
  <c r="E152" i="24"/>
  <c r="E155" i="24"/>
  <c r="E153" i="24"/>
  <c r="E154" i="24"/>
  <c r="E151" i="28"/>
  <c r="E152" i="28"/>
  <c r="E153" i="28"/>
  <c r="E154" i="28"/>
  <c r="E155" i="28"/>
  <c r="E151" i="20"/>
  <c r="E152" i="20"/>
  <c r="E153" i="20"/>
  <c r="E155" i="20"/>
  <c r="E154" i="20"/>
  <c r="E151" i="32"/>
  <c r="E152" i="32"/>
  <c r="E155" i="32"/>
  <c r="E154" i="32"/>
  <c r="E153" i="32"/>
  <c r="E56" i="29"/>
  <c r="E77" i="29" s="1"/>
  <c r="E150" i="29" s="1"/>
  <c r="E56" i="22"/>
  <c r="E77" i="22" s="1"/>
  <c r="E150" i="22" s="1"/>
  <c r="D152" i="31"/>
  <c r="D154" i="31"/>
  <c r="D153" i="31"/>
  <c r="D152" i="33"/>
  <c r="D56" i="29"/>
  <c r="D77" i="29" s="1"/>
  <c r="D150" i="29" s="1"/>
  <c r="D56" i="17"/>
  <c r="E153" i="31"/>
  <c r="D155" i="31"/>
  <c r="E155" i="31"/>
  <c r="D153" i="33"/>
  <c r="E164" i="22"/>
  <c r="E154" i="17" l="1"/>
  <c r="D151" i="22"/>
  <c r="E151" i="26"/>
  <c r="E155" i="26"/>
  <c r="E154" i="26"/>
  <c r="E153" i="26"/>
  <c r="E152" i="26"/>
  <c r="D154" i="26"/>
  <c r="D153" i="26"/>
  <c r="D155" i="26"/>
  <c r="D152" i="26"/>
  <c r="D151" i="26"/>
  <c r="D151" i="23"/>
  <c r="D154" i="23"/>
  <c r="D152" i="23"/>
  <c r="E154" i="23"/>
  <c r="E153" i="23"/>
  <c r="E151" i="23"/>
  <c r="E152" i="23"/>
  <c r="E154" i="21"/>
  <c r="E151" i="21"/>
  <c r="E153" i="21"/>
  <c r="E152" i="21"/>
  <c r="E155" i="21"/>
  <c r="E155" i="17"/>
  <c r="E152" i="17"/>
  <c r="E153" i="17"/>
  <c r="D152" i="22"/>
  <c r="E77" i="33"/>
  <c r="D150" i="33"/>
  <c r="D155" i="19"/>
  <c r="D154" i="19"/>
  <c r="D77" i="17"/>
  <c r="D152" i="19"/>
  <c r="D153" i="19"/>
  <c r="D153" i="23"/>
  <c r="E155" i="23"/>
  <c r="D179" i="29"/>
  <c r="D164" i="29"/>
  <c r="D155" i="23"/>
  <c r="E179" i="29"/>
  <c r="E164" i="29"/>
  <c r="E151" i="22"/>
  <c r="E152" i="22"/>
  <c r="E153" i="22"/>
  <c r="E155" i="22"/>
  <c r="E154" i="22"/>
  <c r="E151" i="29"/>
  <c r="E152" i="29"/>
  <c r="E154" i="29"/>
  <c r="E155" i="29"/>
  <c r="E153" i="29"/>
  <c r="D151" i="29"/>
  <c r="D152" i="29"/>
  <c r="D155" i="29"/>
  <c r="D153" i="29"/>
  <c r="D154" i="29"/>
  <c r="D153" i="22"/>
  <c r="D155" i="22"/>
  <c r="D154" i="33" l="1"/>
  <c r="D155" i="33"/>
  <c r="E150" i="33"/>
  <c r="D150" i="17"/>
  <c r="E152" i="33" l="1"/>
  <c r="E153" i="33"/>
  <c r="E154" i="33"/>
  <c r="E155" i="33"/>
  <c r="E151" i="33"/>
  <c r="D154" i="17"/>
  <c r="D155" i="17"/>
  <c r="D152" i="17"/>
  <c r="D153" i="17"/>
  <c r="D151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F17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Zahl von Dani Sidler</t>
        </r>
      </text>
    </comment>
    <comment ref="G17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Zahl von Dani Sidler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"TRG/PB"</author>
    <author>Meyer Christian</author>
  </authors>
  <commentList>
    <comment ref="E4" authorId="0" shapeId="0" xr:uid="{00000000-0006-0000-2100-000001000000}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modifications Parlement 12.12.12</t>
        </r>
      </text>
    </comment>
    <comment ref="E5" authorId="0" shapeId="0" xr:uid="{00000000-0006-0000-2100-000002000000}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décisions PLT 12.12.12
</t>
        </r>
      </text>
    </comment>
    <comment ref="E25" authorId="0" shapeId="0" xr:uid="{00000000-0006-0000-2100-000003000000}">
      <text>
        <r>
          <rPr>
            <b/>
            <sz val="8"/>
            <color indexed="81"/>
            <rFont val="Tahoma"/>
            <family val="2"/>
          </rPr>
          <t>"TRG/PB":</t>
        </r>
        <r>
          <rPr>
            <sz val="8"/>
            <color indexed="81"/>
            <rFont val="Tahoma"/>
            <family val="2"/>
          </rPr>
          <t xml:space="preserve">
Avec décisions
 PLT 12.12.12</t>
        </r>
      </text>
    </comment>
    <comment ref="D93" authorId="1" shapeId="0" xr:uid="{00000000-0006-0000-2100-000004000000}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voir compte 587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G17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RG-Wert eingesetzt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G17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Fischer Rudolf:
Wert von RE 2013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Meyer Christian</author>
    <author>b150pcm</author>
    <author>Fischer Rudolf</author>
  </authors>
  <commentList>
    <comment ref="E10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Runden eingefügt, wegen Berechnung Kennzahl Zeile 152</t>
        </r>
      </text>
    </comment>
    <comment ref="G10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Runden eingefügt, wegen Berechnung Kennzahl Zeile 152</t>
        </r>
      </text>
    </comment>
    <comment ref="A142" authorId="1" shapeId="0" xr:uid="{00000000-0006-0000-0600-000003000000}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  <comment ref="G17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Fischer Rudolf:
Budget 2014: 
RG Wert eingesetzt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G17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Wert von RG 2013 eingetragen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Meyer Christian</author>
    <author>Fischer Rudolf</author>
  </authors>
  <commentList>
    <comment ref="E175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Meyer Christian:</t>
        </r>
        <r>
          <rPr>
            <sz val="9"/>
            <color indexed="81"/>
            <rFont val="Tahoma"/>
            <family val="2"/>
          </rPr>
          <t xml:space="preserve">
Budget 2013: Gemäss Bevölkerungsprognose Basel-Stadt 2012, Mittleres Szenario, Statistisches Amt des Kantons Basel-Stadt</t>
        </r>
      </text>
    </comment>
    <comment ref="G175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 Wert eingesetzt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G175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Budget 2014: RG-Wert 2013 eingesetzt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Fischer Rudolf</author>
  </authors>
  <commentList>
    <comment ref="G175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Fischer Rudolf:</t>
        </r>
        <r>
          <rPr>
            <sz val="9"/>
            <color indexed="81"/>
            <rFont val="Tahoma"/>
            <family val="2"/>
          </rPr>
          <t xml:space="preserve">
Provisorisch. Die def. Zahle erscheiint Ende August 2014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U80810105</author>
    <author>B150pcm</author>
  </authors>
  <commentList>
    <comment ref="G9" authorId="0" shapeId="0" xr:uid="{00000000-0006-0000-1F00-000001000000}">
      <text>
        <r>
          <rPr>
            <sz val="9"/>
            <color indexed="81"/>
            <rFont val="Tahoma"/>
            <family val="2"/>
          </rPr>
          <t>sdo: PK-Sanierung?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1" shapeId="0" xr:uid="{00000000-0006-0000-1F00-000002000000}">
      <text>
        <r>
          <rPr>
            <b/>
            <sz val="8"/>
            <color indexed="81"/>
            <rFont val="Tahoma"/>
            <family val="2"/>
          </rPr>
          <t xml:space="preserve">50, 51, 52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33" authorId="1" shapeId="0" xr:uid="{00000000-0006-0000-1F00-000003000000}">
      <text>
        <r>
          <rPr>
            <sz val="8"/>
            <color indexed="81"/>
            <rFont val="Tahoma"/>
            <family val="2"/>
          </rPr>
          <t xml:space="preserve">54, 55
</t>
        </r>
      </text>
    </comment>
    <comment ref="A34" authorId="1" shapeId="0" xr:uid="{00000000-0006-0000-1F00-000004000000}">
      <text>
        <r>
          <rPr>
            <sz val="8"/>
            <color indexed="81"/>
            <rFont val="Tahoma"/>
            <family val="2"/>
          </rPr>
          <t xml:space="preserve">56, 57, 58
</t>
        </r>
      </text>
    </comment>
    <comment ref="A36" authorId="1" shapeId="0" xr:uid="{00000000-0006-0000-1F00-000005000000}">
      <text>
        <r>
          <rPr>
            <sz val="8"/>
            <color indexed="81"/>
            <rFont val="Tahoma"/>
            <family val="2"/>
          </rPr>
          <t>60, 61</t>
        </r>
      </text>
    </comment>
    <comment ref="A37" authorId="1" shapeId="0" xr:uid="{00000000-0006-0000-1F00-000006000000}">
      <text>
        <r>
          <rPr>
            <b/>
            <sz val="8"/>
            <color indexed="81"/>
            <rFont val="Tahoma"/>
            <family val="2"/>
          </rPr>
          <t>63, 64, 65, 66, 67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<sst xmlns="http://schemas.openxmlformats.org/spreadsheetml/2006/main" count="6855" uniqueCount="717">
  <si>
    <t>in 1000 Franken</t>
  </si>
  <si>
    <t>Personalaufwand</t>
  </si>
  <si>
    <t>Budget</t>
  </si>
  <si>
    <t xml:space="preserve">Kanton: </t>
  </si>
  <si>
    <t>Sach- und übriger Betriebsaufwand</t>
  </si>
  <si>
    <t>Transferaufwand</t>
  </si>
  <si>
    <t>Durchlaufende Beiträge</t>
  </si>
  <si>
    <t>Einlagen in das Eigenkapital</t>
  </si>
  <si>
    <t>Interne Verrechungen</t>
  </si>
  <si>
    <t>Regalien und Konzessionen</t>
  </si>
  <si>
    <t>Entgelte</t>
  </si>
  <si>
    <t>Verschiedene Erträge</t>
  </si>
  <si>
    <t>davon 4490</t>
  </si>
  <si>
    <t>Aufwertungen Verwaltungsvermögen</t>
  </si>
  <si>
    <t>Entnahmen aus Fonds und Spezialfinanzierungen im Eigenkapital</t>
  </si>
  <si>
    <t>Transferertrag</t>
  </si>
  <si>
    <t>davon 466</t>
  </si>
  <si>
    <t>Auflösung passivierter Investitionsbeiträge</t>
  </si>
  <si>
    <t>Entnahmen aus dem Eigenkapital</t>
  </si>
  <si>
    <t>Ergebnis aus betrieblicher Tätigkeit</t>
  </si>
  <si>
    <t>Ergebnis aus Finanzierung</t>
  </si>
  <si>
    <t>Operatives Ergebnis</t>
  </si>
  <si>
    <t>Ausserordentliches Ergebnis</t>
  </si>
  <si>
    <t>Gesamtergebnis Erfolgsrechung</t>
  </si>
  <si>
    <t>ERFOLGSRECHNUNG</t>
  </si>
  <si>
    <t>INVESTITIONSRECHNUNG</t>
  </si>
  <si>
    <t>Interne Verrechnungen</t>
  </si>
  <si>
    <t>Finanzvermögen</t>
  </si>
  <si>
    <t>Verwaltungsvermögen</t>
  </si>
  <si>
    <t>Aktiven</t>
  </si>
  <si>
    <t>Fremdkapital</t>
  </si>
  <si>
    <t>Laufende Verbindlichkeiten</t>
  </si>
  <si>
    <t>Kurzfristige Finanzverbindlichkeiten</t>
  </si>
  <si>
    <t>Langfristige Finanzverbindlichkeiten</t>
  </si>
  <si>
    <t>Passiven</t>
  </si>
  <si>
    <t>Bruttoschulden</t>
  </si>
  <si>
    <t>Eigenkapital</t>
  </si>
  <si>
    <t>Rechnung</t>
  </si>
  <si>
    <t>Zürich</t>
  </si>
  <si>
    <t>en 1000 frcs.</t>
  </si>
  <si>
    <t>Compte de résultats</t>
  </si>
  <si>
    <t>Charges de personnel</t>
  </si>
  <si>
    <t>Charges de biens et services et autres charges d'exploitation</t>
  </si>
  <si>
    <t>Charges de transfert</t>
  </si>
  <si>
    <t>Subventions à redistribuer</t>
  </si>
  <si>
    <t>Imputations internes</t>
  </si>
  <si>
    <t>Patentes et concessions</t>
  </si>
  <si>
    <t>Taxes</t>
  </si>
  <si>
    <t>Prélèvements sur les fonds et financements spéciaux enregistrés sous Capital propre</t>
  </si>
  <si>
    <t>Revenus de transferts</t>
  </si>
  <si>
    <t>Dissolution des subventions d'investissements portées au passif</t>
  </si>
  <si>
    <t>de cela 466</t>
  </si>
  <si>
    <t>Résultat provenant des aktivités d'exploitation</t>
  </si>
  <si>
    <t>Réévaluations PA</t>
  </si>
  <si>
    <t>de cela 4490</t>
  </si>
  <si>
    <t>Résultat provenant de financements</t>
  </si>
  <si>
    <t>Résultat opérationnel</t>
  </si>
  <si>
    <t>Zusätzliche Abschreibungen Sachanlagen und immat. Anlagen VV</t>
  </si>
  <si>
    <t>Zusätzlich Abschreibungen Darlehen, Beteiligungen, Invest.-Beiträge VV</t>
  </si>
  <si>
    <t>Amortissements supplémentaires des immobilisations corporelles et incorporelles PA</t>
  </si>
  <si>
    <t>Amortissements supplémentaires des prêts, participations et subventions d’investissements</t>
  </si>
  <si>
    <t>Attributions au capital propre</t>
  </si>
  <si>
    <t>Dissolution supplémentaire des subventions d’investissements portées au passif</t>
  </si>
  <si>
    <t>Prélèvements sur le capital propre</t>
  </si>
  <si>
    <t>Zusätzliche Auflösung passivierter Investitionsbeiträge</t>
  </si>
  <si>
    <t>Résultat extraordinaire</t>
  </si>
  <si>
    <t>Résultat total, compte de résultats</t>
  </si>
  <si>
    <t>Comptes des investissements</t>
  </si>
  <si>
    <t>Investissement net</t>
  </si>
  <si>
    <t>Patrimoine Financier</t>
  </si>
  <si>
    <t>Patrimoine administratif</t>
  </si>
  <si>
    <t>Actif</t>
  </si>
  <si>
    <t>Capitaux de tiers</t>
  </si>
  <si>
    <t>Engagements courants</t>
  </si>
  <si>
    <t>Engagements financiers à long terme</t>
  </si>
  <si>
    <t>Capital propre</t>
  </si>
  <si>
    <t>Passif</t>
  </si>
  <si>
    <t>Dettes brutes</t>
  </si>
  <si>
    <t>Zinsaufwand</t>
  </si>
  <si>
    <t>Zinsertrag</t>
  </si>
  <si>
    <t>Realisierte Gewinne FV</t>
  </si>
  <si>
    <t>Beteiligungsertrag FV</t>
  </si>
  <si>
    <t>Liegenschaftenertrag FV</t>
  </si>
  <si>
    <t>Wertberichtigungen Anlagen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</si>
  <si>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</si>
  <si>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</si>
  <si>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</si>
  <si>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</si>
  <si>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</si>
  <si>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Darlehen</t>
  </si>
  <si>
    <t>Beteiligungen / Grundkapitalien</t>
  </si>
  <si>
    <t>davon 2016</t>
  </si>
  <si>
    <t>derivative Finanzinstrumente</t>
  </si>
  <si>
    <t>davon 2068</t>
  </si>
  <si>
    <t>passivierte Investitionsbeiträge</t>
  </si>
  <si>
    <t>KENNZAHLEN</t>
  </si>
  <si>
    <t>BILANZ</t>
  </si>
  <si>
    <t>STATISTIK</t>
  </si>
  <si>
    <t>Hilfsgrössen</t>
  </si>
  <si>
    <t>Laufender Ertrag</t>
  </si>
  <si>
    <t>Laufender Aufwand</t>
  </si>
  <si>
    <t>Charge d'intérêt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</si>
  <si>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</si>
  <si>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</si>
  <si>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</si>
  <si>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</si>
  <si>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</si>
  <si>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</si>
  <si>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des immeubles loués</t>
  </si>
  <si>
    <t>BILAN</t>
  </si>
  <si>
    <t>de cela 2016</t>
  </si>
  <si>
    <t>de cela 2068</t>
  </si>
  <si>
    <t>Instruments financiers dérivés</t>
  </si>
  <si>
    <t>Subventions d'investissements inscrites au passif</t>
  </si>
  <si>
    <t>STATISTIC</t>
  </si>
  <si>
    <t>Nettoschuld I in Fr. je Einwohner</t>
  </si>
  <si>
    <t>Nettoverschuldungsquotient</t>
  </si>
  <si>
    <t>Eigenkapitaldeckungsgrad</t>
  </si>
  <si>
    <t>Kapitaldienstanteil</t>
  </si>
  <si>
    <t>Bruttorendite des Finanzvermögens</t>
  </si>
  <si>
    <t>Zinsbelastungsanteil</t>
  </si>
  <si>
    <t>Investitionsanteil</t>
  </si>
  <si>
    <t>Dettes brutes par rapport aux revenus</t>
  </si>
  <si>
    <t>Dette nette 1 en francs et par habitant</t>
  </si>
  <si>
    <t>Dette nette 2 en francs et par habitant</t>
  </si>
  <si>
    <t>Taux d'endettement net</t>
  </si>
  <si>
    <t>capital propre</t>
  </si>
  <si>
    <t>Degré de couverture du capital propre</t>
  </si>
  <si>
    <t>Part du service de la dette</t>
  </si>
  <si>
    <t>Rendements bruts du patrimoine financier</t>
  </si>
  <si>
    <t>Part des charges d'intérêts</t>
  </si>
  <si>
    <t>Proportion des investissements</t>
  </si>
  <si>
    <t>Bruttoverschuldungsanteil</t>
  </si>
  <si>
    <t>Investitionsausgaben gesamt</t>
  </si>
  <si>
    <t>Investitionseinnahmen gesamt</t>
  </si>
  <si>
    <t>Dépenses d'investissements total</t>
  </si>
  <si>
    <t>Nidwalden</t>
  </si>
  <si>
    <t>Eigenkapital (in 1000 Fr.)</t>
  </si>
  <si>
    <t>1000 Fr.</t>
  </si>
  <si>
    <t>Nettoschuld II in Fr. je Einwohner</t>
  </si>
  <si>
    <t>INDICATEURS FINANCIERS                                                              1000 frs.</t>
  </si>
  <si>
    <t>Glarus</t>
  </si>
  <si>
    <t>Prêts</t>
  </si>
  <si>
    <t>Participations, capital social</t>
  </si>
  <si>
    <t>Investissement net sauf prêts et participations</t>
  </si>
  <si>
    <t>Nettoinvestition</t>
  </si>
  <si>
    <t>davon 364, 365 und 366</t>
  </si>
  <si>
    <t>de cela 364, 365 et 366</t>
  </si>
  <si>
    <t>Wertberichtigungen Darlehen VV, Beteiligungen VV und Investitionsbeiträge</t>
  </si>
  <si>
    <t>Réévaluations emprunts PA, participations PA et subventions d'investissements</t>
  </si>
  <si>
    <t>Durchlaufende Investitionsbeiträge</t>
  </si>
  <si>
    <t>Nettoinvestition ohne Darlehen und Beteiligungen</t>
  </si>
  <si>
    <t>Subventions d'investissements à redistribuer</t>
  </si>
  <si>
    <t>Selbstfinanzierung</t>
  </si>
  <si>
    <t>Selbstfinanzierungsanteil</t>
  </si>
  <si>
    <t>Autofinancement</t>
  </si>
  <si>
    <t>Taux d'autofinancement</t>
  </si>
  <si>
    <t>Degré d'autofinancement incl. emprunts et participations de la compte des investissements</t>
  </si>
  <si>
    <t>Financement incl. emprunts et participations de la compte des investissements</t>
  </si>
  <si>
    <t>Degré d'autofinancement sauf emprunts et participations de la compte des investissements</t>
  </si>
  <si>
    <t>Financement sauf emprunts et participations de la compte des investissements</t>
  </si>
  <si>
    <t>Selbstfinanzierungsgrad inkl. Darlehen und Beteiligungen der Investitionsrechnung</t>
  </si>
  <si>
    <t>Selbstfinanzierungsgrad ohne Darlehen und Beteiligungen der Investitionsrechnung</t>
  </si>
  <si>
    <t>Finanzierungsergebnis inkl. Darlehen und Beteiligungen der Investitionsrechnung</t>
  </si>
  <si>
    <t>Finanzierungsergebnis ohne Darlehen und Beteiligungen der Investitionsrechnung</t>
  </si>
  <si>
    <t>BL</t>
  </si>
  <si>
    <t>Basel Land</t>
  </si>
  <si>
    <t>GL</t>
  </si>
  <si>
    <t>NW</t>
  </si>
  <si>
    <t>ZH</t>
  </si>
  <si>
    <t>Gesamteinnahmen</t>
  </si>
  <si>
    <t>Gesamtausgaben</t>
  </si>
  <si>
    <t>Compte</t>
  </si>
  <si>
    <t>davon 3634</t>
  </si>
  <si>
    <t>Beiträge an öffentliche Unternehmungen</t>
  </si>
  <si>
    <t>davon 3635</t>
  </si>
  <si>
    <t>Beiträge an private Unternehmungen</t>
  </si>
  <si>
    <t>de cela 3634</t>
  </si>
  <si>
    <t>de cela 3635</t>
  </si>
  <si>
    <t>Subventions accordées aux entreprises publiques</t>
  </si>
  <si>
    <t>Subventions accordées aux entreprises privées</t>
  </si>
  <si>
    <t>Beteiligungen und Grundkapitalien</t>
  </si>
  <si>
    <t>Participations et capital social</t>
  </si>
  <si>
    <t>Remboursement de prêts</t>
  </si>
  <si>
    <t>Transfert de participations</t>
  </si>
  <si>
    <t>Rückzahlung von Darlehen</t>
  </si>
  <si>
    <t>Übertragung von Beteiligungen</t>
  </si>
  <si>
    <t>Ständige Wohnbevölkerung am Jahresende</t>
  </si>
  <si>
    <t xml:space="preserve">Ständige Wohnbevölkerung am Jahresende </t>
  </si>
  <si>
    <t>Population résident permanente à la fin de l'année</t>
  </si>
  <si>
    <t>davon 299</t>
  </si>
  <si>
    <t>Bilanzüberschuss (- Bilanzfehlbetrag)</t>
  </si>
  <si>
    <t>de cela   299</t>
  </si>
  <si>
    <t>Excédent du bilan (- Découvert du bilan)</t>
  </si>
  <si>
    <t>autres Revenus financiers</t>
  </si>
  <si>
    <t>Recettes d'investissements total</t>
  </si>
  <si>
    <t>davon 3704</t>
  </si>
  <si>
    <t>Durchlaufende Beiträge an öffentliche Unternehmungen</t>
  </si>
  <si>
    <t>davon 3705</t>
  </si>
  <si>
    <t>Durchlaufende Beiträge an private Unternehmungen</t>
  </si>
  <si>
    <t>de cela 3704</t>
  </si>
  <si>
    <t>Subventions à redistribuer aux entreprises publiques</t>
  </si>
  <si>
    <t>Subventions à redistribuer aux entreprises privées</t>
  </si>
  <si>
    <t>SO</t>
  </si>
  <si>
    <t>Solothurn</t>
  </si>
  <si>
    <t>JU</t>
  </si>
  <si>
    <t>Jura</t>
  </si>
  <si>
    <t>UR</t>
  </si>
  <si>
    <t>Uri</t>
  </si>
  <si>
    <t>LU</t>
  </si>
  <si>
    <t>Luzern</t>
  </si>
  <si>
    <t>TG</t>
  </si>
  <si>
    <t>Thurgau</t>
  </si>
  <si>
    <t>ZG</t>
  </si>
  <si>
    <t>Zug</t>
  </si>
  <si>
    <t>en 1000 frs.</t>
  </si>
  <si>
    <t>de ceal 3705</t>
  </si>
  <si>
    <t>FR</t>
  </si>
  <si>
    <t>Fribourg</t>
  </si>
  <si>
    <t>Canton:</t>
  </si>
  <si>
    <t>BS</t>
  </si>
  <si>
    <t>Basel Stadt</t>
  </si>
  <si>
    <t>GR</t>
  </si>
  <si>
    <t>Graubünden</t>
  </si>
  <si>
    <t>OW</t>
  </si>
  <si>
    <t>Obwalden</t>
  </si>
  <si>
    <t>Bemerkungen:</t>
  </si>
  <si>
    <t>AR</t>
  </si>
  <si>
    <t>Appenzell Ausserrhoden</t>
  </si>
  <si>
    <t>davon 314</t>
  </si>
  <si>
    <t>baulicher und betrieblicher Unterhalt</t>
  </si>
  <si>
    <t>Abschreibungen Sachanlagen VV</t>
  </si>
  <si>
    <t>Abschreibungen Immaterielle Anlagen VV</t>
  </si>
  <si>
    <t>Abtragung Bilanzfehlbetrag</t>
  </si>
  <si>
    <t>Einlagen in Fonds und Spezialfinanzierungen im FK</t>
  </si>
  <si>
    <t>Direkte Steuern natürliche und juristische Personen</t>
  </si>
  <si>
    <t>Übrige direkte Steuer; Besitz- und Aufwandsteuern</t>
  </si>
  <si>
    <t>Realisierte Kursverluste</t>
  </si>
  <si>
    <t>Kapitalbeschaffungs- und Verwaltungskosten</t>
  </si>
  <si>
    <t>Liegenschaftenaufwand FV</t>
  </si>
  <si>
    <t>Verschiedener Finanzaufwand</t>
  </si>
  <si>
    <t>a.o. Finanzaufwand (Geldwirksam)</t>
  </si>
  <si>
    <t>a.o. Finanzaufwand (Wertberichtigungen)</t>
  </si>
  <si>
    <t>a.o.Transferaufwand (Geldwirksam)</t>
  </si>
  <si>
    <t>a.o. Direkte Steuern natürliche und juristische Personen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</si>
  <si>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</si>
  <si>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</si>
  <si>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</si>
  <si>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</si>
  <si>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</si>
  <si>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</si>
  <si>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</si>
  <si>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Sachanlagen</t>
  </si>
  <si>
    <t>Investitionen auf Rechnung Dritter</t>
  </si>
  <si>
    <t>Immaterielle Anlagen</t>
  </si>
  <si>
    <t>Eigene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</si>
  <si>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</si>
  <si>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</si>
  <si>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</si>
  <si>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</si>
  <si>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</si>
  <si>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</si>
  <si>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</si>
  <si>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</si>
  <si>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</si>
  <si>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</si>
  <si>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eigener Investitionsbeiträge</t>
  </si>
  <si>
    <t>a.o. Investitionseinnahmen für Sachanlagen, immaterielle Anlagen und übrige Anlagen</t>
  </si>
  <si>
    <t>680 + 682
+ 689</t>
  </si>
  <si>
    <t>683 bis 686</t>
  </si>
  <si>
    <t>a.o. Investitionsbeiträge für eigene Rechnung; Rückzahlungen von Darlehen; Übertragung von Beteiligungen; Rückzahlung von eigenen Beiträgen</t>
  </si>
  <si>
    <t>Entnahmen aus Fonds und Spezialfinanzierungen im Fremdkapital</t>
  </si>
  <si>
    <t>Einlagen in Fonds und Spezialfinanzierungen im EK</t>
  </si>
  <si>
    <t>Aktive Rechnungsabgrenzungen (Transit. Aktiven)</t>
  </si>
  <si>
    <t>Sachanlagen, Immaterielle Anlagen</t>
  </si>
  <si>
    <t>Investitionsbeiträge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</si>
  <si>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</si>
  <si>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</si>
  <si>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</si>
  <si>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Nicht zugeteilte kum. zusätzliche Abschreibungen</t>
  </si>
  <si>
    <t>Kum. zusätzliche Abschreibungen Investitionsbeiträge</t>
  </si>
  <si>
    <t>Forderungen gegenüber Spezialfinanzierungen und Fonds im FK</t>
  </si>
  <si>
    <t>Passive Rechnungsabgrenzungen (Transit. Passiven)</t>
  </si>
  <si>
    <t>Kurzfristiges Fremdkapital</t>
  </si>
  <si>
    <t>Langfristiges Fremdkapital</t>
  </si>
  <si>
    <t>Verbindlichkeiten gegenüber Spezialfinanzierungen und Fonds im FK</t>
  </si>
  <si>
    <t>20 kf. FK</t>
  </si>
  <si>
    <t>20 lf. FK</t>
  </si>
  <si>
    <t>10 kf. FV</t>
  </si>
  <si>
    <t>Umlaufvermögen (kurzfristiges Finanzvermögen)</t>
  </si>
  <si>
    <t>Flüssige Mittel, Forderungen</t>
  </si>
  <si>
    <t>Kurzfr. Finanzanlagen</t>
  </si>
  <si>
    <t>10 lf. FV</t>
  </si>
  <si>
    <t>Anlagevermögen FV (langfristiges Finanzvermögen)</t>
  </si>
  <si>
    <t>Langfristige Finanzanlagen FV</t>
  </si>
  <si>
    <t>Sachanlagen FV</t>
  </si>
  <si>
    <t>Kurzfristige Rückstellungen</t>
  </si>
  <si>
    <t>Langfristige Rückstellungen</t>
  </si>
  <si>
    <t>de cela 314</t>
  </si>
  <si>
    <t>Gros entretien et entretien courant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</si>
  <si>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</si>
  <si>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</si>
  <si>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</si>
  <si>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</si>
  <si>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</si>
  <si>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Impôts directs Personnes physiques et personnes morales</t>
  </si>
  <si>
    <t>Autres impôts directs; Impôt sur la propriété et sur les charges</t>
  </si>
  <si>
    <t>Prélèvements sur les fonds et financements spéciaux enregistrés sous Capitaux de tiers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</si>
  <si>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</si>
  <si>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</si>
  <si>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</si>
  <si>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</si>
  <si>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</si>
  <si>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financiers d'entrepirse publiques</t>
  </si>
  <si>
    <t>Produit des immeubles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</si>
  <si>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</si>
  <si>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</si>
  <si>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</si>
  <si>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</si>
  <si>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</si>
  <si>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</si>
  <si>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</si>
  <si>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</si>
  <si>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</si>
  <si>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</si>
  <si>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</si>
  <si>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Immobilisations corporelles</t>
  </si>
  <si>
    <t>Investissements pour le compte de tiers</t>
  </si>
  <si>
    <t>Immobilisations incorporelles</t>
  </si>
  <si>
    <t>Propres subventions d'investissement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</si>
  <si>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</si>
  <si>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</si>
  <si>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</si>
  <si>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</si>
  <si>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</si>
  <si>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</si>
  <si>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</si>
  <si>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</si>
  <si>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</si>
  <si>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</si>
  <si>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</si>
  <si>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</si>
  <si>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Subventions d'investissements extraordinaires acquises; Remboursement extraordinaire de prêts; Transfert extraordinaire de participations; Remboursement extraordinaire de propres subventions d'investissement</t>
  </si>
  <si>
    <t>Disponibilités et place-ments à court terme; Créances</t>
  </si>
  <si>
    <t>Placements financiers à court terme</t>
  </si>
  <si>
    <t xml:space="preserve">Actifs de régularisation </t>
  </si>
  <si>
    <t>Placements financiers</t>
  </si>
  <si>
    <t>Immobilisations corporelles PF</t>
  </si>
  <si>
    <t>Créances envers les financements spéciaux et fonds des capitaux de tiers</t>
  </si>
  <si>
    <t>Immobilisations corporelles et incorporelles du PA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</si>
  <si>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</si>
  <si>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</si>
  <si>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</si>
  <si>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</si>
  <si>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</si>
  <si>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</si>
  <si>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Capitaux de tiers à court terme</t>
  </si>
  <si>
    <t>Engagements financiers à court terme</t>
  </si>
  <si>
    <t>Passifs de régularisation</t>
  </si>
  <si>
    <t>Provisions à court terme</t>
  </si>
  <si>
    <t>Capitaux de tiers à long terme</t>
  </si>
  <si>
    <t>Engagements envers les financements spéciaux et des fonds des Capitaux de tiers</t>
  </si>
  <si>
    <t>Provisions à long terme</t>
  </si>
  <si>
    <t>683 à 686</t>
  </si>
  <si>
    <t>Bruttoinvestitionen</t>
  </si>
  <si>
    <t>Investitionseinnahmen</t>
  </si>
  <si>
    <t>HRM2-Tabelle 18.9</t>
  </si>
  <si>
    <t>HRM2-Tabelle 18.13</t>
  </si>
  <si>
    <t>HRM2-Tabelle 18.5</t>
  </si>
  <si>
    <t>HRM2-Tabelle 18.15</t>
  </si>
  <si>
    <t>Laufende Ausgaben</t>
  </si>
  <si>
    <t>davon 3180</t>
  </si>
  <si>
    <t>Wertberichtigungen auf Forderungen</t>
  </si>
  <si>
    <t>HRM2-Tabelle 18.11</t>
  </si>
  <si>
    <t>Laufende Einnahmen</t>
  </si>
  <si>
    <t>HRM2-Tabelle 18.12</t>
  </si>
  <si>
    <r>
      <t xml:space="preserve">Finanzrechnung
</t>
    </r>
    <r>
      <rPr>
        <sz val="10"/>
        <rFont val="Arial Narrow"/>
        <family val="2"/>
      </rPr>
      <t>HRM2-Tabelle 18.17</t>
    </r>
  </si>
  <si>
    <t>Aktivierung Eigenleistung</t>
  </si>
  <si>
    <t>Bestandesveränderungen</t>
  </si>
  <si>
    <t>Übriger Ertrag</t>
  </si>
  <si>
    <t>HRM2-Tabelle 18.18</t>
  </si>
  <si>
    <t>davon 4895</t>
  </si>
  <si>
    <t>Entnahmen aus Aufwertungsreserven</t>
  </si>
  <si>
    <t>de cela 4895</t>
  </si>
  <si>
    <t>Prélèvements sur réserve liée au retraitement</t>
  </si>
  <si>
    <t>HRM2-Tabelle 18.16</t>
  </si>
  <si>
    <t>HRM2-Tabelle 18.24</t>
  </si>
  <si>
    <t>HRM2-Tabelle 18.19</t>
  </si>
  <si>
    <t>Gesamtaufwand</t>
  </si>
  <si>
    <t>HRM2-Tabelle 18.14</t>
  </si>
  <si>
    <t>Kapitaldienst</t>
  </si>
  <si>
    <t>HRM2-Tabelle 18.10</t>
  </si>
  <si>
    <t>HRM2-Tabelle 18.20</t>
  </si>
  <si>
    <t>Nettoschulden I</t>
  </si>
  <si>
    <t>Nettoschulden II</t>
  </si>
  <si>
    <t>HRM2-Tabelle 18.21</t>
  </si>
  <si>
    <t>HRM2-Tabelle 18.22</t>
  </si>
  <si>
    <t>Nettozinsaufwand</t>
  </si>
  <si>
    <t>HRM2-Tabelle 18.3</t>
  </si>
  <si>
    <t>HRM2-Tabelle 18.4</t>
  </si>
  <si>
    <t>HRM2-Tabelle 18.7</t>
  </si>
  <si>
    <t>HRM2-Tabelle 18.1</t>
  </si>
  <si>
    <t>HRM2-Tabelle 18.23</t>
  </si>
  <si>
    <t>HRM2-Tabelle 18.8</t>
  </si>
  <si>
    <t>HRM2-Tabelle 18.2</t>
  </si>
  <si>
    <t>Ergebnis Finanzrechnung Laufende Zahlungen</t>
  </si>
  <si>
    <t>Ergebnis Finanzrechnung Gesamt</t>
  </si>
  <si>
    <t>Nettoinv. II</t>
  </si>
  <si>
    <t>SG 299  in % Laufender Aufwand</t>
  </si>
  <si>
    <t>SG 29</t>
  </si>
  <si>
    <t>Ertrag FV in % SG 10</t>
  </si>
  <si>
    <t>SG 44 - SG 34</t>
  </si>
  <si>
    <t>Nettoinvestition - Selbstfinanzierung</t>
  </si>
  <si>
    <t>Nettoinvestition ohne Darl./Bet. - Selbstfin.</t>
  </si>
  <si>
    <t>Réévaluations sur créances</t>
  </si>
  <si>
    <t>de cela 3180</t>
  </si>
  <si>
    <t>400 + 401</t>
  </si>
  <si>
    <t>402 + 403</t>
  </si>
  <si>
    <t>Revenus d'exploitation di-vers</t>
  </si>
  <si>
    <t>Activation des prestations propres</t>
  </si>
  <si>
    <t>Variations de stocks</t>
  </si>
  <si>
    <t>Autres revenus</t>
  </si>
  <si>
    <t>MCH2-Tableau 18.23</t>
  </si>
  <si>
    <t>MCH2-Tableau 18.8</t>
  </si>
  <si>
    <t>MCH2-Tableau 18.2</t>
  </si>
  <si>
    <t>MCH2-Tableau 18.10</t>
  </si>
  <si>
    <t>MCH2-Tableau 18.4</t>
  </si>
  <si>
    <t>MCH2-Tableau 18.20</t>
  </si>
  <si>
    <t>MCH2-Tableau 18.21</t>
  </si>
  <si>
    <t>MCH2-Tableau 18.7</t>
  </si>
  <si>
    <t>MCH2-Tableau 18.1</t>
  </si>
  <si>
    <t>MCH2-Tableau 18.5</t>
  </si>
  <si>
    <t>MCH2-Tableau 18.22</t>
  </si>
  <si>
    <t>MCH2-Tableau 18.3</t>
  </si>
  <si>
    <t>MCH2-Tableau 18.9</t>
  </si>
  <si>
    <t>MCH2-Tableau 18.13</t>
  </si>
  <si>
    <t>MCH2-Tableau 18.24</t>
  </si>
  <si>
    <t>MCH2-Tableau 18.18</t>
  </si>
  <si>
    <t>MCH2-Tableau 18.16</t>
  </si>
  <si>
    <t>MCH2-Tableau 18.14</t>
  </si>
  <si>
    <t>MCH2-Tableau 18.12</t>
  </si>
  <si>
    <t>MCH2-Tableau 18.15</t>
  </si>
  <si>
    <t>MCH2-Tableau 18.11</t>
  </si>
  <si>
    <t>Invest. net - Autofinancement</t>
  </si>
  <si>
    <t>Invest. net sauf empr. &amp;particip.- Autofinanc.</t>
  </si>
  <si>
    <t>Dette nette I</t>
  </si>
  <si>
    <t>Dette nette II</t>
  </si>
  <si>
    <t>GN 29</t>
  </si>
  <si>
    <t>GN 299  en % de charge courant</t>
  </si>
  <si>
    <t>GN 44 - GN 34</t>
  </si>
  <si>
    <t>Revenus PF ein % du GN 10</t>
  </si>
  <si>
    <t>Resultat provenant de financement</t>
  </si>
  <si>
    <t>Charges d'intérêts nets</t>
  </si>
  <si>
    <t>Investissements bruts</t>
  </si>
  <si>
    <t>Resettes d'investissement</t>
  </si>
  <si>
    <t>Chiffres-clés</t>
  </si>
  <si>
    <t>Charges totales</t>
  </si>
  <si>
    <t>Service de la dette</t>
  </si>
  <si>
    <t>Charges courantes</t>
  </si>
  <si>
    <t>Revenus courants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</si>
  <si>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</si>
  <si>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totales</t>
  </si>
  <si>
    <t>Recettes courantes</t>
  </si>
  <si>
    <t>Dépenses totales</t>
  </si>
  <si>
    <t>Résultat compte financière courante</t>
  </si>
  <si>
    <t>Résultat compte financière totales</t>
  </si>
  <si>
    <t>100+101</t>
  </si>
  <si>
    <t>140+142</t>
  </si>
  <si>
    <t>1480+1482</t>
  </si>
  <si>
    <t>Charges de transfert extraordinaires (flux de trésorérie)</t>
  </si>
  <si>
    <t>def.</t>
  </si>
  <si>
    <t>4800 + 4801</t>
  </si>
  <si>
    <t>4802 + 4803</t>
  </si>
  <si>
    <t>Actif circulant (Actif financier à court terme)</t>
  </si>
  <si>
    <t>Actif immobilisée</t>
  </si>
  <si>
    <t>Total Betrieblicher Aufwand (ohne SG 39)</t>
  </si>
  <si>
    <t>Total Betrieblicher Ertrag (ohne SG 49)</t>
  </si>
  <si>
    <t>Revenus d'exploitation (sauf GN 49)</t>
  </si>
  <si>
    <t>charges d'exploitation (sauf GN 39)</t>
  </si>
  <si>
    <t>Aufwand</t>
  </si>
  <si>
    <t>Ertrag</t>
  </si>
  <si>
    <t>Vorräte und angefangene Arbeiten</t>
  </si>
  <si>
    <t>Marchandises, fournitures et travaux en cours</t>
  </si>
  <si>
    <t>dev.</t>
  </si>
  <si>
    <t>a.o. Personalaufwand</t>
  </si>
  <si>
    <t>a.o. Sach- und Betriebsaufwand</t>
  </si>
  <si>
    <t>Charges de personnel e.o.</t>
  </si>
  <si>
    <t>Charges de biens, services et charges d'exploitation e.o.</t>
  </si>
  <si>
    <t>Budget 2013: Gemäss Bevölkerungsprognose Basel-Stadt 2012, Mittleres Szenario, Statistisches Amt des Kantons Basel-Stadt</t>
  </si>
  <si>
    <t>dvon 2016</t>
  </si>
  <si>
    <t>decela 2016</t>
  </si>
  <si>
    <t>Revenus d'exploitation divers</t>
  </si>
  <si>
    <t>Dépenses courantes</t>
  </si>
  <si>
    <t>HRM2-Tabelle 18.6</t>
  </si>
  <si>
    <t>MCH2-Tableau 18.6</t>
  </si>
  <si>
    <t>INDICATEURS FINANCIERS                                                                              1000 frs.</t>
  </si>
  <si>
    <t>AG</t>
  </si>
  <si>
    <t>Aargau</t>
  </si>
  <si>
    <t>SG</t>
  </si>
  <si>
    <t>St. Gallen</t>
  </si>
  <si>
    <t>TI</t>
  </si>
  <si>
    <t>Ticino</t>
  </si>
  <si>
    <t>VD</t>
  </si>
  <si>
    <t>Vaud</t>
  </si>
  <si>
    <t>GE</t>
  </si>
  <si>
    <t>Geneva</t>
  </si>
  <si>
    <t>Kanton</t>
  </si>
  <si>
    <t>Bern</t>
  </si>
  <si>
    <t>Basel-Stadt</t>
  </si>
  <si>
    <t>Schaffhausen</t>
  </si>
  <si>
    <t>Schwyz</t>
  </si>
  <si>
    <t>Tessin</t>
  </si>
  <si>
    <t>Differenz</t>
  </si>
  <si>
    <t>Kanton:</t>
  </si>
  <si>
    <t>Diff.</t>
  </si>
  <si>
    <t xml:space="preserve">Budget </t>
  </si>
  <si>
    <t>in %</t>
  </si>
  <si>
    <t>L A U F E N D E   R E C H N U N G</t>
  </si>
  <si>
    <t>30</t>
  </si>
  <si>
    <t>31</t>
  </si>
  <si>
    <t>Sachaufwand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</si>
  <si>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</si>
  <si>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</si>
  <si>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</si>
  <si>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</si>
  <si>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</si>
  <si>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</si>
  <si>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</si>
  <si>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</si>
  <si>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</si>
  <si>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</si>
  <si>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</si>
  <si>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</si>
  <si>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</si>
  <si>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</si>
  <si>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</si>
  <si>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</si>
  <si>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</si>
  <si>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</si>
  <si>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</si>
  <si>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</si>
  <si>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</si>
  <si>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</si>
  <si>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</si>
  <si>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</si>
  <si>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</si>
  <si>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</si>
  <si>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</si>
  <si>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</si>
  <si>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</si>
  <si>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</si>
  <si>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</si>
  <si>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</si>
  <si>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</si>
  <si>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</si>
  <si>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</si>
  <si>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</si>
  <si>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</si>
  <si>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</si>
  <si>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</si>
  <si>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</si>
  <si>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</si>
  <si>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</si>
  <si>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</si>
  <si>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</si>
  <si>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</si>
  <si>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</si>
  <si>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</si>
  <si>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</si>
  <si>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</si>
  <si>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</si>
  <si>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</si>
  <si>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</si>
  <si>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</si>
  <si>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</si>
  <si>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</si>
  <si>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</si>
  <si>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</si>
  <si>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</si>
  <si>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</si>
  <si>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</si>
  <si>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</si>
  <si>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 xml:space="preserve"> </t>
  </si>
  <si>
    <t>Finanzierungsfehlbetrag(-)/-überschuss(+)</t>
  </si>
  <si>
    <t>Konsolidierte Gesamtausgaben</t>
  </si>
  <si>
    <t>Selbstfinanzierungsgrad</t>
  </si>
  <si>
    <t xml:space="preserve">  -</t>
  </si>
  <si>
    <t>negativ</t>
  </si>
  <si>
    <t>HRM2=&gt;HRM1</t>
  </si>
  <si>
    <t>Appenzell A.Rh.</t>
  </si>
  <si>
    <t>Appenzell I.Rh.</t>
  </si>
  <si>
    <t>C O M P T E   D E   F O N C T I O N N E M E N T</t>
  </si>
  <si>
    <t>Biens, services et marchandises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</si>
  <si>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</si>
  <si>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</si>
  <si>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</si>
  <si>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</si>
  <si>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</si>
  <si>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</si>
  <si>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</si>
  <si>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</si>
  <si>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</si>
  <si>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</si>
  <si>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</si>
  <si>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</si>
  <si>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</si>
  <si>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</si>
  <si>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</si>
  <si>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</si>
  <si>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</si>
  <si>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</si>
  <si>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</si>
  <si>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</si>
  <si>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</si>
  <si>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</si>
  <si>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</si>
  <si>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</si>
  <si>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</si>
  <si>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</si>
  <si>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</si>
  <si>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</si>
  <si>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</si>
  <si>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</si>
  <si>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</si>
  <si>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</si>
  <si>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</si>
  <si>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</si>
  <si>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Insuffisance (-) / Excedent de financement</t>
  </si>
  <si>
    <t>Total des dépenses effectives</t>
  </si>
  <si>
    <t>Degré d'autofinancement</t>
  </si>
  <si>
    <t>Valais</t>
  </si>
  <si>
    <t>Neuchâtel</t>
  </si>
  <si>
    <t>def</t>
  </si>
  <si>
    <t>Genève</t>
  </si>
  <si>
    <t>MCH2=&gt;MCH1</t>
  </si>
  <si>
    <t>330/335/339</t>
  </si>
  <si>
    <t>Amortissements sur le patrimoine financier / Moins-values non réalisées sur placements financiers / Créances irrécouvrables</t>
  </si>
  <si>
    <t>331 - 334/336-338</t>
  </si>
  <si>
    <t>38 /3x</t>
  </si>
  <si>
    <t>Attributions aux financements spéciaux /Charges non Réparties</t>
  </si>
  <si>
    <t>41 / 43 / 439</t>
  </si>
  <si>
    <t>Concessions / Contributions / dissolution de provision</t>
  </si>
  <si>
    <t>Saldo L. R.</t>
  </si>
  <si>
    <t>Finanzierung (+/-)</t>
  </si>
  <si>
    <t>Canton</t>
  </si>
  <si>
    <t>Excédent des</t>
  </si>
  <si>
    <t>Financement (+/-)</t>
  </si>
  <si>
    <t>revenus/charges</t>
  </si>
  <si>
    <t>in 1000 Fr. / en 1000 frs.</t>
  </si>
  <si>
    <t>Ein Selbstfinanzierungsgrad von unter null wird mit "negativ" bezeichnet</t>
  </si>
  <si>
    <t>Un degré d'autofinancement inférieur à zéro est marqué "négatif"</t>
  </si>
  <si>
    <t>Kantone die HRM2 anwenden, sind mit HRM2 markiert   /  Cantons qui utilises MCH2 sont marqué HRM2</t>
  </si>
  <si>
    <t>B1995: Durch die Kantone Aufzubringende ALV-Darlehen Fr. 1'350'000 in der I.R. enthalten</t>
  </si>
  <si>
    <t>R 1995: Fr. 300'000'000 Rückzahlung von Darlehen an die ALV als Investitionseinnahme enthalten</t>
  </si>
  <si>
    <t>B 1996: Fr. 450'000'000 Rückzahlung von Darlehen an die ALV als Investitionseinnahme enthalten</t>
  </si>
  <si>
    <t>B 1997: Fr. 250'000'000 Darlehen an die ALV in der Investitionsrechnung enthalten</t>
  </si>
  <si>
    <t>R1998: Fr. 1'300'000'000 Darlehen an die ALV und Fr. 1'000'000'000 Rückzahlungen in der I.R. enthalten</t>
  </si>
  <si>
    <t xml:space="preserve">R 1996: Fr. 300'000'000 Darlehen an die ALV und Fr. 100'000'000 Rückzahlungen (netto Fr. 200'000'000) </t>
  </si>
  <si>
    <t>in der Investitionsrechnung enthalten</t>
  </si>
  <si>
    <t>R 1997: 1'000 Mio.Fr. netto Darlehen an die ALV in der Investitionsrechnung enthalten</t>
  </si>
  <si>
    <t xml:space="preserve">B 1998: 1'800 Mio. Fr. Darlehen an die ALV und 950 Mio. Fr. Rückzahlung von ALV-Darlehen </t>
  </si>
  <si>
    <t xml:space="preserve">B 1999: keine Darlehen an die ALV aber 500 Mio. Fr. Rückzahlung von ALV-Darlehen </t>
  </si>
  <si>
    <t>B 2000: 850 Mio.Fr. Rückzahlung von Darlehen der ALV in der Investitionsrechnung enthalten</t>
  </si>
  <si>
    <t>R 1999: 500 Mio. Fr. Rückzahlung von Darlehen der ALV in der Investitionsrechnung enthalten</t>
  </si>
  <si>
    <t>B 2001: 1'700 Mio. Fr. Rückzahlung von Darlehen der ALV in der Investitionsrechnung enthalten</t>
  </si>
  <si>
    <t>keine ausserord. Aufwände in diesem Zusammenhang enthalten</t>
  </si>
  <si>
    <t>incluses dans le compte de fonctionnement</t>
  </si>
  <si>
    <t>Saldo Laufende Rechnung 
Excedent des revenues / des charges</t>
  </si>
  <si>
    <t xml:space="preserve">Basel-Landschaft </t>
  </si>
  <si>
    <t>HRM2 / MCH2</t>
  </si>
  <si>
    <t>* officiel: selon les comptes publiées</t>
  </si>
  <si>
    <t>* offiziell: gemäss veröffentlichten Rechnungsabschlüssen</t>
  </si>
  <si>
    <t xml:space="preserve">* ohne Golderlös: keine Anteile am Verkaufserlös überschüssiger Goldreserven der SNB und </t>
  </si>
  <si>
    <t xml:space="preserve">* sans or BNS: ni les parts à la vente d'or de la BNS ni les charges supplementaires </t>
  </si>
  <si>
    <t xml:space="preserve">Finanzierung 
Financement </t>
  </si>
  <si>
    <t>+ Finanzierungsüberschuss / - Finanzierungsfehlbetrag</t>
  </si>
  <si>
    <t>+ Excedent de financement / - Insuffisnce de financement</t>
  </si>
  <si>
    <t>Selbstfinanzierungsgrad
Degré d'autofinancement</t>
  </si>
  <si>
    <t>26 Kantone</t>
  </si>
  <si>
    <t>Résultats des Comptes 2012 des cantons</t>
  </si>
  <si>
    <t>Abschlusszahlen der Rechnungen 2012 der Kantone</t>
  </si>
  <si>
    <t>Zürich    HRM2</t>
  </si>
  <si>
    <t>Luzern    HRM2</t>
  </si>
  <si>
    <t>Uri    HRM2</t>
  </si>
  <si>
    <t>Obwalden    HRM2</t>
  </si>
  <si>
    <t>Nidwalden    HRM2</t>
  </si>
  <si>
    <t>Glarus    HRM2</t>
  </si>
  <si>
    <t>Zug    HRM2</t>
  </si>
  <si>
    <t>Fribourg    MCH2</t>
  </si>
  <si>
    <t>Solothurn    HRM2</t>
  </si>
  <si>
    <t>Basel-Landschaft     HRM2</t>
  </si>
  <si>
    <t>Thurgau    HRM2</t>
  </si>
  <si>
    <t>Jura    MCH2</t>
  </si>
  <si>
    <t>Résultats des Budgets 2013 des cantons</t>
  </si>
  <si>
    <t>Abschlusszahlen der Budgets 2013 der Kantone</t>
  </si>
  <si>
    <t>Basel-Stadt    HRM2</t>
  </si>
  <si>
    <t>Appenzell A.Rh.    HRM2</t>
  </si>
  <si>
    <t>Graubünden    HRM2</t>
  </si>
  <si>
    <t>Résultats des Comptes 2013 des cantons</t>
  </si>
  <si>
    <t>Abschlusszahlen der Rechnungen 2013 der Kantone</t>
  </si>
  <si>
    <t>Tessin    MCH2</t>
  </si>
  <si>
    <t>Valais    MCH2</t>
  </si>
  <si>
    <t>Neuchâtel    MCH2</t>
  </si>
  <si>
    <t>Genève    MCH2</t>
  </si>
  <si>
    <t>Résultats des Budgets 2014 des cantons</t>
  </si>
  <si>
    <t>Abschlusszahlen der Budgets 2014 der Kantone</t>
  </si>
  <si>
    <t>St. Gallen    HRM2</t>
  </si>
  <si>
    <t>Aargau    HRM2</t>
  </si>
  <si>
    <t>B 13 - R 13</t>
  </si>
  <si>
    <t>R 13 - B 14</t>
  </si>
  <si>
    <t xml:space="preserve"> -</t>
  </si>
  <si>
    <t>-</t>
  </si>
  <si>
    <t>Dans le total 26 cantons les cantons avec une comptabilité après MCH2 sont contenus converti après MCH1.</t>
  </si>
  <si>
    <t>26 Cantons</t>
  </si>
  <si>
    <t xml:space="preserve">L A U F E N D E   R E C H N U N G        </t>
  </si>
  <si>
    <t>Im Total 26 Kantone sind die Kantone mit Buchführung nach HRM2 umgerechnet nach HRM1 enthalten.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</si>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</sst>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64" formatCode="#\ ###\ ##0"/>
    <numFmt numFmtId="165" formatCode="0.0%"/>
    <numFmt numFmtId="166" formatCode="_ * #,##0_ ;_ * \-#,##0_ ;_ * &quot;-&quot;??_ ;_ @_ "/>
    <numFmt numFmtId="167" formatCode="_ * #,##0_ ;[Red]_ * \-#,##0_ ;_ * &quot;-&quot;??_ ;_ @_ "/>
    <numFmt numFmtId="168" formatCode="0.0%;\ \-0.0%;\ * &quot;-&quot;??_;"/>
    <numFmt numFmtId="169" formatCode="#,##0_ ;[Red]\-#,##0\ "/>
    <numFmt numFmtId="170" formatCode="#"/>
    <numFmt numFmtId="171" formatCode="#,##0;\-\ #,##0"/>
    <numFmt numFmtId="172" formatCode="General_)"/>
    <numFmt numFmtId="173" formatCode="0.0%;[Red]\-0.0%"/>
  </numFmts>
  <fonts count="5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0"/>
      <color indexed="52"/>
      <name val="Arial"/>
      <family val="2"/>
    </font>
    <font>
      <sz val="10"/>
      <color indexed="62"/>
      <name val="Arial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1"/>
      <name val="Arial Narrow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2"/>
      <name val="Arial Narrow"/>
      <family val="2"/>
    </font>
    <font>
      <sz val="8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 Narrow"/>
      <family val="2"/>
    </font>
    <font>
      <sz val="10"/>
      <name val="Times New Roman"/>
      <family val="1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gray0625"/>
    </fill>
  </fills>
  <borders count="5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20">
    <xf numFmtId="0" fontId="0" fillId="0" borderId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  <xf numFmtId="0" fontId="10" fillId="11" borderId="1" applyNumberFormat="0" applyAlignment="0" applyProtection="0"/>
    <xf numFmtId="0" fontId="11" fillId="11" borderId="2" applyNumberFormat="0" applyAlignment="0" applyProtection="0"/>
    <xf numFmtId="0" fontId="11" fillId="11" borderId="2" applyNumberFormat="0" applyAlignment="0" applyProtection="0"/>
    <xf numFmtId="43" fontId="1" fillId="0" borderId="0" applyFont="0" applyFill="0" applyBorder="0" applyAlignment="0" applyProtection="0"/>
    <xf numFmtId="0" fontId="12" fillId="4" borderId="2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7" fillId="13" borderId="4" applyNumberFormat="0" applyFont="0" applyAlignment="0" applyProtection="0"/>
    <xf numFmtId="0" fontId="1" fillId="13" borderId="4" applyNumberFormat="0" applyFont="0" applyAlignment="0" applyProtection="0"/>
    <xf numFmtId="9" fontId="1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32" fillId="0" borderId="0"/>
    <xf numFmtId="0" fontId="1" fillId="0" borderId="0"/>
    <xf numFmtId="164" fontId="3" fillId="0" borderId="5" applyBorder="0" applyAlignment="0">
      <alignment horizontal="center"/>
    </xf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4" borderId="10" applyNumberFormat="0" applyAlignment="0" applyProtection="0"/>
    <xf numFmtId="0" fontId="24" fillId="14" borderId="10" applyNumberForma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/>
    <xf numFmtId="0" fontId="41" fillId="25" borderId="0" applyNumberFormat="0" applyBorder="0" applyAlignment="0" applyProtection="0"/>
    <xf numFmtId="0" fontId="41" fillId="2" borderId="0" applyNumberFormat="0" applyBorder="0" applyAlignment="0" applyProtection="0"/>
    <xf numFmtId="0" fontId="41" fillId="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4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26" borderId="0" applyNumberFormat="0" applyBorder="0" applyAlignment="0" applyProtection="0"/>
    <xf numFmtId="0" fontId="41" fillId="28" borderId="0" applyNumberFormat="0" applyBorder="0" applyAlignment="0" applyProtection="0"/>
    <xf numFmtId="0" fontId="41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5" borderId="0" applyNumberFormat="0" applyBorder="0" applyAlignment="0" applyProtection="0"/>
    <xf numFmtId="0" fontId="42" fillId="6" borderId="0" applyNumberFormat="0" applyBorder="0" applyAlignment="0" applyProtection="0"/>
    <xf numFmtId="0" fontId="42" fillId="33" borderId="0" applyNumberFormat="0" applyBorder="0" applyAlignment="0" applyProtection="0"/>
    <xf numFmtId="169" fontId="1" fillId="0" borderId="0" applyFont="0" applyFill="0" applyBorder="0" applyAlignment="0" applyProtection="0"/>
    <xf numFmtId="0" fontId="1" fillId="0" borderId="0"/>
    <xf numFmtId="172" fontId="45" fillId="0" borderId="0"/>
    <xf numFmtId="40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  <xf numFmtId="0" fontId="11" fillId="11" borderId="2" applyNumberFormat="0" applyAlignment="0" applyProtection="0"/>
    <xf numFmtId="43" fontId="1" fillId="0" borderId="0" applyFont="0" applyFill="0" applyBorder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12" borderId="0" applyNumberFormat="0" applyBorder="0" applyAlignment="0" applyProtection="0"/>
    <xf numFmtId="0" fontId="1" fillId="13" borderId="4" applyNumberFormat="0" applyFont="0" applyAlignment="0" applyProtection="0"/>
    <xf numFmtId="0" fontId="17" fillId="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14" borderId="10" applyNumberFormat="0" applyAlignment="0" applyProtection="0"/>
    <xf numFmtId="172" fontId="1" fillId="0" borderId="0"/>
  </cellStyleXfs>
  <cellXfs count="8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" fontId="6" fillId="15" borderId="11" xfId="0" applyNumberFormat="1" applyFont="1" applyFill="1" applyBorder="1"/>
    <xf numFmtId="0" fontId="6" fillId="15" borderId="11" xfId="0" applyFont="1" applyFill="1" applyBorder="1"/>
    <xf numFmtId="0" fontId="2" fillId="15" borderId="11" xfId="0" applyFont="1" applyFill="1" applyBorder="1"/>
    <xf numFmtId="1" fontId="2" fillId="15" borderId="11" xfId="0" applyNumberFormat="1" applyFont="1" applyFill="1" applyBorder="1"/>
    <xf numFmtId="0" fontId="6" fillId="0" borderId="0" xfId="0" applyFont="1"/>
    <xf numFmtId="0" fontId="2" fillId="16" borderId="0" xfId="0" applyFont="1" applyFill="1"/>
    <xf numFmtId="0" fontId="6" fillId="16" borderId="11" xfId="0" applyFont="1" applyFill="1" applyBorder="1"/>
    <xf numFmtId="0" fontId="2" fillId="16" borderId="11" xfId="0" applyFont="1" applyFill="1" applyBorder="1"/>
    <xf numFmtId="166" fontId="6" fillId="15" borderId="11" xfId="17" applyNumberFormat="1" applyFont="1" applyFill="1" applyBorder="1" applyProtection="1"/>
    <xf numFmtId="166" fontId="3" fillId="15" borderId="11" xfId="17" applyNumberFormat="1" applyFont="1" applyFill="1" applyBorder="1" applyProtection="1"/>
    <xf numFmtId="166" fontId="6" fillId="0" borderId="0" xfId="17" applyNumberFormat="1" applyFont="1" applyFill="1" applyBorder="1" applyProtection="1"/>
    <xf numFmtId="166" fontId="6" fillId="16" borderId="11" xfId="17" applyNumberFormat="1" applyFont="1" applyFill="1" applyBorder="1" applyProtection="1"/>
    <xf numFmtId="0" fontId="2" fillId="17" borderId="0" xfId="0" applyFont="1" applyFill="1"/>
    <xf numFmtId="0" fontId="6" fillId="17" borderId="0" xfId="0" applyFont="1" applyFill="1"/>
    <xf numFmtId="0" fontId="6" fillId="16" borderId="0" xfId="0" applyFont="1" applyFill="1"/>
    <xf numFmtId="0" fontId="6" fillId="18" borderId="0" xfId="0" applyFont="1" applyFill="1"/>
    <xf numFmtId="0" fontId="2" fillId="18" borderId="0" xfId="0" applyFont="1" applyFill="1"/>
    <xf numFmtId="0" fontId="3" fillId="19" borderId="14" xfId="0" applyFont="1" applyFill="1" applyBorder="1" applyAlignment="1">
      <alignment horizontal="centerContinuous" vertical="center"/>
    </xf>
    <xf numFmtId="0" fontId="3" fillId="19" borderId="15" xfId="0" applyFont="1" applyFill="1" applyBorder="1" applyAlignment="1">
      <alignment horizontal="center" vertical="center"/>
    </xf>
    <xf numFmtId="0" fontId="3" fillId="19" borderId="13" xfId="0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0" fontId="3" fillId="20" borderId="16" xfId="0" applyFont="1" applyFill="1" applyBorder="1" applyAlignment="1">
      <alignment horizontal="center" vertical="center"/>
    </xf>
    <xf numFmtId="0" fontId="2" fillId="21" borderId="0" xfId="0" applyFont="1" applyFill="1"/>
    <xf numFmtId="0" fontId="2" fillId="21" borderId="11" xfId="0" applyFont="1" applyFill="1" applyBorder="1"/>
    <xf numFmtId="0" fontId="6" fillId="21" borderId="11" xfId="0" applyFont="1" applyFill="1" applyBorder="1"/>
    <xf numFmtId="166" fontId="6" fillId="21" borderId="11" xfId="17" applyNumberFormat="1" applyFont="1" applyFill="1" applyBorder="1" applyProtection="1"/>
    <xf numFmtId="0" fontId="2" fillId="17" borderId="11" xfId="0" applyFont="1" applyFill="1" applyBorder="1"/>
    <xf numFmtId="0" fontId="2" fillId="15" borderId="0" xfId="0" applyFont="1" applyFill="1"/>
    <xf numFmtId="0" fontId="6" fillId="15" borderId="0" xfId="0" applyFont="1" applyFill="1"/>
    <xf numFmtId="166" fontId="6" fillId="15" borderId="0" xfId="17" applyNumberFormat="1" applyFont="1" applyFill="1" applyBorder="1" applyProtection="1"/>
    <xf numFmtId="0" fontId="2" fillId="17" borderId="0" xfId="0" applyFont="1" applyFill="1" applyAlignment="1">
      <alignment horizontal="right"/>
    </xf>
    <xf numFmtId="166" fontId="2" fillId="18" borderId="0" xfId="0" applyNumberFormat="1" applyFont="1" applyFill="1"/>
    <xf numFmtId="166" fontId="2" fillId="17" borderId="0" xfId="17" applyNumberFormat="1" applyFont="1" applyFill="1" applyBorder="1" applyProtection="1"/>
    <xf numFmtId="0" fontId="6" fillId="21" borderId="11" xfId="0" applyFont="1" applyFill="1" applyBorder="1" applyAlignment="1">
      <alignment horizontal="right"/>
    </xf>
    <xf numFmtId="0" fontId="6" fillId="19" borderId="16" xfId="0" applyFont="1" applyFill="1" applyBorder="1" applyAlignment="1">
      <alignment horizontal="right" vertical="center"/>
    </xf>
    <xf numFmtId="0" fontId="27" fillId="19" borderId="17" xfId="0" applyFont="1" applyFill="1" applyBorder="1" applyAlignment="1">
      <alignment horizontal="centerContinuous"/>
    </xf>
    <xf numFmtId="0" fontId="27" fillId="19" borderId="12" xfId="0" applyFont="1" applyFill="1" applyBorder="1" applyAlignment="1">
      <alignment horizontal="left"/>
    </xf>
    <xf numFmtId="0" fontId="5" fillId="19" borderId="0" xfId="0" applyFont="1" applyFill="1" applyAlignment="1">
      <alignment vertical="center"/>
    </xf>
    <xf numFmtId="0" fontId="2" fillId="17" borderId="12" xfId="0" applyFont="1" applyFill="1" applyBorder="1"/>
    <xf numFmtId="166" fontId="2" fillId="17" borderId="12" xfId="17" applyNumberFormat="1" applyFont="1" applyFill="1" applyBorder="1" applyProtection="1"/>
    <xf numFmtId="0" fontId="2" fillId="17" borderId="13" xfId="0" applyFont="1" applyFill="1" applyBorder="1"/>
    <xf numFmtId="0" fontId="6" fillId="21" borderId="0" xfId="0" applyFont="1" applyFill="1"/>
    <xf numFmtId="166" fontId="6" fillId="21" borderId="0" xfId="17" applyNumberFormat="1" applyFont="1" applyFill="1" applyBorder="1" applyProtection="1"/>
    <xf numFmtId="0" fontId="2" fillId="17" borderId="12" xfId="0" applyFont="1" applyFill="1" applyBorder="1" applyAlignment="1">
      <alignment horizontal="right"/>
    </xf>
    <xf numFmtId="0" fontId="2" fillId="17" borderId="12" xfId="0" applyFont="1" applyFill="1" applyBorder="1" applyAlignment="1">
      <alignment vertical="top" wrapText="1"/>
    </xf>
    <xf numFmtId="0" fontId="2" fillId="17" borderId="0" xfId="0" applyFont="1" applyFill="1" applyAlignment="1">
      <alignment vertical="top" wrapText="1"/>
    </xf>
    <xf numFmtId="0" fontId="2" fillId="17" borderId="13" xfId="0" applyFont="1" applyFill="1" applyBorder="1" applyAlignment="1">
      <alignment vertical="top" wrapText="1"/>
    </xf>
    <xf numFmtId="167" fontId="2" fillId="17" borderId="12" xfId="17" applyNumberFormat="1" applyFont="1" applyFill="1" applyBorder="1" applyProtection="1"/>
    <xf numFmtId="167" fontId="2" fillId="17" borderId="12" xfId="17" applyNumberFormat="1" applyFont="1" applyFill="1" applyBorder="1" applyAlignment="1" applyProtection="1">
      <alignment vertical="top"/>
    </xf>
    <xf numFmtId="0" fontId="2" fillId="17" borderId="13" xfId="0" applyFont="1" applyFill="1" applyBorder="1" applyAlignment="1">
      <alignment horizontal="right" vertical="top" wrapText="1"/>
    </xf>
    <xf numFmtId="0" fontId="2" fillId="17" borderId="0" xfId="0" applyFont="1" applyFill="1" applyAlignment="1">
      <alignment horizontal="right" vertical="top" wrapText="1"/>
    </xf>
    <xf numFmtId="167" fontId="2" fillId="17" borderId="0" xfId="17" applyNumberFormat="1" applyFont="1" applyFill="1" applyBorder="1" applyAlignment="1" applyProtection="1">
      <alignment vertical="top"/>
    </xf>
    <xf numFmtId="0" fontId="2" fillId="17" borderId="12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5" fillId="0" borderId="0" xfId="0" applyFont="1" applyAlignment="1" applyProtection="1">
      <alignment vertical="top" wrapText="1"/>
      <protection locked="0"/>
    </xf>
    <xf numFmtId="0" fontId="3" fillId="0" borderId="0" xfId="0" applyFont="1" applyAlignment="1" applyProtection="1">
      <alignment vertical="center"/>
      <protection locked="0"/>
    </xf>
    <xf numFmtId="166" fontId="2" fillId="0" borderId="0" xfId="17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166" fontId="2" fillId="18" borderId="0" xfId="17" applyNumberFormat="1" applyFont="1" applyFill="1" applyBorder="1" applyProtection="1">
      <protection locked="0"/>
    </xf>
    <xf numFmtId="0" fontId="2" fillId="19" borderId="0" xfId="0" applyFont="1" applyFill="1"/>
    <xf numFmtId="43" fontId="2" fillId="19" borderId="0" xfId="17" applyFont="1" applyFill="1" applyProtection="1"/>
    <xf numFmtId="166" fontId="2" fillId="19" borderId="0" xfId="17" applyNumberFormat="1" applyFont="1" applyFill="1" applyProtection="1"/>
    <xf numFmtId="0" fontId="6" fillId="20" borderId="14" xfId="0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Continuous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Continuous" vertical="center"/>
    </xf>
    <xf numFmtId="0" fontId="6" fillId="19" borderId="15" xfId="0" applyFont="1" applyFill="1" applyBorder="1" applyAlignment="1">
      <alignment horizontal="center" vertical="center"/>
    </xf>
    <xf numFmtId="0" fontId="6" fillId="19" borderId="13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6" fillId="19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3" fillId="22" borderId="0" xfId="0" applyFont="1" applyFill="1" applyAlignment="1">
      <alignment horizontal="center"/>
    </xf>
    <xf numFmtId="166" fontId="3" fillId="0" borderId="0" xfId="17" applyNumberFormat="1" applyFont="1" applyFill="1" applyBorder="1" applyProtection="1"/>
    <xf numFmtId="166" fontId="2" fillId="0" borderId="13" xfId="17" applyNumberFormat="1" applyFont="1" applyBorder="1" applyProtection="1"/>
    <xf numFmtId="166" fontId="2" fillId="0" borderId="13" xfId="17" applyNumberFormat="1" applyFont="1" applyFill="1" applyBorder="1" applyProtection="1"/>
    <xf numFmtId="0" fontId="2" fillId="17" borderId="13" xfId="0" applyFont="1" applyFill="1" applyBorder="1" applyAlignment="1">
      <alignment vertical="center" wrapText="1"/>
    </xf>
    <xf numFmtId="0" fontId="2" fillId="17" borderId="13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2" fillId="17" borderId="0" xfId="0" applyFont="1" applyFill="1" applyAlignment="1">
      <alignment vertical="center" wrapText="1"/>
    </xf>
    <xf numFmtId="0" fontId="2" fillId="17" borderId="0" xfId="0" applyFont="1" applyFill="1" applyAlignment="1">
      <alignment horizontal="right" vertical="center" wrapText="1"/>
    </xf>
    <xf numFmtId="0" fontId="30" fillId="23" borderId="0" xfId="0" applyFont="1" applyFill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1" fontId="2" fillId="15" borderId="20" xfId="0" applyNumberFormat="1" applyFont="1" applyFill="1" applyBorder="1"/>
    <xf numFmtId="0" fontId="2" fillId="15" borderId="20" xfId="0" applyFont="1" applyFill="1" applyBorder="1"/>
    <xf numFmtId="166" fontId="2" fillId="0" borderId="20" xfId="17" applyNumberFormat="1" applyFont="1" applyBorder="1" applyProtection="1">
      <protection locked="0"/>
    </xf>
    <xf numFmtId="166" fontId="2" fillId="0" borderId="20" xfId="17" applyNumberFormat="1" applyFont="1" applyFill="1" applyBorder="1" applyProtection="1">
      <protection locked="0"/>
    </xf>
    <xf numFmtId="166" fontId="2" fillId="0" borderId="21" xfId="17" applyNumberFormat="1" applyFont="1" applyBorder="1" applyProtection="1">
      <protection locked="0"/>
    </xf>
    <xf numFmtId="1" fontId="2" fillId="15" borderId="22" xfId="0" applyNumberFormat="1" applyFont="1" applyFill="1" applyBorder="1"/>
    <xf numFmtId="1" fontId="2" fillId="15" borderId="23" xfId="0" applyNumberFormat="1" applyFont="1" applyFill="1" applyBorder="1"/>
    <xf numFmtId="0" fontId="2" fillId="15" borderId="23" xfId="0" applyFont="1" applyFill="1" applyBorder="1"/>
    <xf numFmtId="166" fontId="2" fillId="0" borderId="23" xfId="17" applyNumberFormat="1" applyFont="1" applyBorder="1" applyProtection="1">
      <protection locked="0"/>
    </xf>
    <xf numFmtId="166" fontId="2" fillId="0" borderId="23" xfId="17" applyNumberFormat="1" applyFont="1" applyFill="1" applyBorder="1" applyProtection="1">
      <protection locked="0"/>
    </xf>
    <xf numFmtId="166" fontId="2" fillId="0" borderId="24" xfId="17" applyNumberFormat="1" applyFont="1" applyBorder="1" applyProtection="1">
      <protection locked="0"/>
    </xf>
    <xf numFmtId="1" fontId="25" fillId="15" borderId="22" xfId="0" applyNumberFormat="1" applyFont="1" applyFill="1" applyBorder="1" applyAlignment="1">
      <alignment horizontal="right" vertical="center"/>
    </xf>
    <xf numFmtId="1" fontId="25" fillId="15" borderId="23" xfId="0" applyNumberFormat="1" applyFont="1" applyFill="1" applyBorder="1"/>
    <xf numFmtId="0" fontId="25" fillId="15" borderId="23" xfId="0" applyFont="1" applyFill="1" applyBorder="1"/>
    <xf numFmtId="1" fontId="2" fillId="15" borderId="22" xfId="0" applyNumberFormat="1" applyFont="1" applyFill="1" applyBorder="1" applyAlignment="1">
      <alignment vertical="top"/>
    </xf>
    <xf numFmtId="1" fontId="2" fillId="15" borderId="23" xfId="0" applyNumberFormat="1" applyFont="1" applyFill="1" applyBorder="1" applyAlignment="1">
      <alignment vertical="top"/>
    </xf>
    <xf numFmtId="1" fontId="25" fillId="15" borderId="22" xfId="0" applyNumberFormat="1" applyFont="1" applyFill="1" applyBorder="1" applyAlignment="1">
      <alignment horizontal="right"/>
    </xf>
    <xf numFmtId="166" fontId="2" fillId="0" borderId="24" xfId="17" applyNumberFormat="1" applyFont="1" applyFill="1" applyBorder="1" applyProtection="1">
      <protection locked="0"/>
    </xf>
    <xf numFmtId="1" fontId="2" fillId="15" borderId="22" xfId="0" applyNumberFormat="1" applyFont="1" applyFill="1" applyBorder="1" applyAlignment="1">
      <alignment horizontal="right" vertical="top" wrapText="1"/>
    </xf>
    <xf numFmtId="1" fontId="2" fillId="15" borderId="23" xfId="0" applyNumberFormat="1" applyFont="1" applyFill="1" applyBorder="1" applyAlignment="1">
      <alignment horizontal="right" vertical="top" wrapText="1"/>
    </xf>
    <xf numFmtId="0" fontId="2" fillId="15" borderId="23" xfId="0" applyFont="1" applyFill="1" applyBorder="1" applyAlignment="1">
      <alignment vertical="top" wrapText="1"/>
    </xf>
    <xf numFmtId="166" fontId="2" fillId="0" borderId="23" xfId="17" applyNumberFormat="1" applyFont="1" applyFill="1" applyBorder="1" applyAlignment="1" applyProtection="1">
      <alignment vertical="top" wrapText="1"/>
      <protection locked="0"/>
    </xf>
    <xf numFmtId="166" fontId="2" fillId="0" borderId="23" xfId="17" applyNumberFormat="1" applyFont="1" applyFill="1" applyBorder="1" applyAlignment="1" applyProtection="1">
      <alignment horizontal="right" vertical="top"/>
      <protection locked="0"/>
    </xf>
    <xf numFmtId="166" fontId="2" fillId="0" borderId="23" xfId="17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17" applyNumberFormat="1" applyFont="1" applyFill="1" applyBorder="1" applyAlignment="1" applyProtection="1">
      <alignment horizontal="right" vertical="top" wrapText="1"/>
      <protection locked="0"/>
    </xf>
    <xf numFmtId="1" fontId="25" fillId="15" borderId="22" xfId="0" applyNumberFormat="1" applyFont="1" applyFill="1" applyBorder="1" applyAlignment="1">
      <alignment horizontal="right" vertical="top" wrapText="1"/>
    </xf>
    <xf numFmtId="0" fontId="25" fillId="15" borderId="23" xfId="0" applyFont="1" applyFill="1" applyBorder="1" applyAlignment="1">
      <alignment vertical="top" wrapText="1"/>
    </xf>
    <xf numFmtId="1" fontId="25" fillId="15" borderId="23" xfId="0" applyNumberFormat="1" applyFont="1" applyFill="1" applyBorder="1" applyAlignment="1">
      <alignment horizontal="right" vertical="top" wrapText="1"/>
    </xf>
    <xf numFmtId="166" fontId="25" fillId="0" borderId="23" xfId="17" applyNumberFormat="1" applyFont="1" applyFill="1" applyBorder="1" applyAlignment="1" applyProtection="1">
      <alignment vertical="top" wrapText="1"/>
      <protection locked="0"/>
    </xf>
    <xf numFmtId="166" fontId="25" fillId="0" borderId="23" xfId="17" applyNumberFormat="1" applyFont="1" applyFill="1" applyBorder="1" applyAlignment="1" applyProtection="1">
      <alignment horizontal="right" vertical="top" wrapText="1"/>
      <protection locked="0"/>
    </xf>
    <xf numFmtId="166" fontId="25" fillId="0" borderId="23" xfId="17" applyNumberFormat="1" applyFont="1" applyBorder="1" applyAlignment="1" applyProtection="1">
      <alignment horizontal="right" vertical="top" wrapText="1"/>
      <protection locked="0"/>
    </xf>
    <xf numFmtId="166" fontId="25" fillId="0" borderId="24" xfId="17" applyNumberFormat="1" applyFont="1" applyBorder="1" applyAlignment="1" applyProtection="1">
      <alignment horizontal="right" vertical="top" wrapText="1"/>
      <protection locked="0"/>
    </xf>
    <xf numFmtId="166" fontId="2" fillId="0" borderId="23" xfId="17" applyNumberFormat="1" applyFont="1" applyFill="1" applyBorder="1" applyAlignment="1" applyProtection="1">
      <alignment vertical="center"/>
      <protection locked="0"/>
    </xf>
    <xf numFmtId="166" fontId="25" fillId="0" borderId="23" xfId="17" applyNumberFormat="1" applyFont="1" applyFill="1" applyBorder="1" applyAlignment="1" applyProtection="1">
      <alignment vertical="center"/>
      <protection locked="0"/>
    </xf>
    <xf numFmtId="166" fontId="25" fillId="0" borderId="23" xfId="17" applyNumberFormat="1" applyFont="1" applyBorder="1" applyProtection="1">
      <protection locked="0"/>
    </xf>
    <xf numFmtId="1" fontId="2" fillId="15" borderId="25" xfId="0" applyNumberFormat="1" applyFont="1" applyFill="1" applyBorder="1"/>
    <xf numFmtId="1" fontId="2" fillId="15" borderId="26" xfId="0" applyNumberFormat="1" applyFont="1" applyFill="1" applyBorder="1"/>
    <xf numFmtId="0" fontId="2" fillId="15" borderId="26" xfId="0" applyFont="1" applyFill="1" applyBorder="1"/>
    <xf numFmtId="166" fontId="2" fillId="0" borderId="26" xfId="17" applyNumberFormat="1" applyFont="1" applyBorder="1" applyProtection="1">
      <protection locked="0"/>
    </xf>
    <xf numFmtId="166" fontId="2" fillId="0" borderId="26" xfId="17" applyNumberFormat="1" applyFont="1" applyFill="1" applyBorder="1" applyProtection="1">
      <protection locked="0"/>
    </xf>
    <xf numFmtId="166" fontId="2" fillId="0" borderId="27" xfId="17" applyNumberFormat="1" applyFont="1" applyBorder="1" applyProtection="1">
      <protection locked="0"/>
    </xf>
    <xf numFmtId="166" fontId="2" fillId="0" borderId="20" xfId="17" applyNumberFormat="1" applyFont="1" applyBorder="1" applyProtection="1"/>
    <xf numFmtId="166" fontId="2" fillId="0" borderId="24" xfId="17" applyNumberFormat="1" applyFont="1" applyBorder="1" applyProtection="1"/>
    <xf numFmtId="166" fontId="2" fillId="0" borderId="24" xfId="17" applyNumberFormat="1" applyFont="1" applyFill="1" applyBorder="1" applyAlignment="1" applyProtection="1">
      <alignment horizontal="right" vertical="top" wrapText="1"/>
    </xf>
    <xf numFmtId="166" fontId="2" fillId="0" borderId="23" xfId="17" applyNumberFormat="1" applyFont="1" applyBorder="1" applyProtection="1"/>
    <xf numFmtId="166" fontId="2" fillId="0" borderId="24" xfId="17" applyNumberFormat="1" applyFont="1" applyFill="1" applyBorder="1" applyProtection="1"/>
    <xf numFmtId="166" fontId="25" fillId="0" borderId="23" xfId="17" applyNumberFormat="1" applyFont="1" applyBorder="1" applyProtection="1"/>
    <xf numFmtId="166" fontId="25" fillId="0" borderId="24" xfId="17" applyNumberFormat="1" applyFont="1" applyFill="1" applyBorder="1" applyProtection="1"/>
    <xf numFmtId="166" fontId="2" fillId="0" borderId="24" xfId="17" applyNumberFormat="1" applyFont="1" applyFill="1" applyBorder="1" applyAlignment="1" applyProtection="1">
      <alignment vertical="center"/>
    </xf>
    <xf numFmtId="1" fontId="2" fillId="15" borderId="22" xfId="0" applyNumberFormat="1" applyFont="1" applyFill="1" applyBorder="1" applyAlignment="1">
      <alignment horizontal="right"/>
    </xf>
    <xf numFmtId="166" fontId="2" fillId="0" borderId="26" xfId="17" applyNumberFormat="1" applyFont="1" applyBorder="1" applyProtection="1"/>
    <xf numFmtId="166" fontId="2" fillId="0" borderId="27" xfId="17" applyNumberFormat="1" applyFont="1" applyFill="1" applyBorder="1" applyProtection="1"/>
    <xf numFmtId="1" fontId="2" fillId="15" borderId="28" xfId="0" applyNumberFormat="1" applyFont="1" applyFill="1" applyBorder="1"/>
    <xf numFmtId="166" fontId="2" fillId="0" borderId="24" xfId="17" applyNumberFormat="1" applyFont="1" applyFill="1" applyBorder="1" applyAlignment="1" applyProtection="1">
      <alignment horizontal="right" vertical="top"/>
    </xf>
    <xf numFmtId="166" fontId="25" fillId="0" borderId="23" xfId="17" applyNumberFormat="1" applyFont="1" applyFill="1" applyBorder="1" applyProtection="1">
      <protection locked="0"/>
    </xf>
    <xf numFmtId="166" fontId="2" fillId="0" borderId="27" xfId="17" applyNumberFormat="1" applyFont="1" applyBorder="1" applyProtection="1"/>
    <xf numFmtId="166" fontId="2" fillId="0" borderId="23" xfId="17" applyNumberFormat="1" applyFont="1" applyFill="1" applyBorder="1" applyProtection="1"/>
    <xf numFmtId="166" fontId="2" fillId="0" borderId="29" xfId="17" applyNumberFormat="1" applyFont="1" applyBorder="1" applyProtection="1">
      <protection locked="0"/>
    </xf>
    <xf numFmtId="166" fontId="2" fillId="0" borderId="23" xfId="17" applyNumberFormat="1" applyFont="1" applyFill="1" applyBorder="1" applyAlignment="1" applyProtection="1">
      <alignment horizontal="right" vertical="top"/>
    </xf>
    <xf numFmtId="166" fontId="25" fillId="0" borderId="24" xfId="17" applyNumberFormat="1" applyFont="1" applyFill="1" applyBorder="1" applyProtection="1">
      <protection locked="0"/>
    </xf>
    <xf numFmtId="166" fontId="25" fillId="0" borderId="24" xfId="17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17" applyNumberFormat="1" applyFont="1" applyFill="1" applyBorder="1" applyAlignment="1" applyProtection="1">
      <alignment vertical="center"/>
      <protection locked="0"/>
    </xf>
    <xf numFmtId="166" fontId="25" fillId="0" borderId="24" xfId="17" applyNumberFormat="1" applyFont="1" applyFill="1" applyBorder="1" applyAlignment="1" applyProtection="1">
      <alignment vertical="center"/>
      <protection locked="0"/>
    </xf>
    <xf numFmtId="166" fontId="2" fillId="0" borderId="27" xfId="17" applyNumberFormat="1" applyFont="1" applyFill="1" applyBorder="1" applyProtection="1">
      <protection locked="0"/>
    </xf>
    <xf numFmtId="1" fontId="2" fillId="15" borderId="28" xfId="0" applyNumberFormat="1" applyFont="1" applyFill="1" applyBorder="1" applyAlignment="1">
      <alignment horizontal="right"/>
    </xf>
    <xf numFmtId="1" fontId="2" fillId="15" borderId="22" xfId="0" applyNumberFormat="1" applyFont="1" applyFill="1" applyBorder="1" applyAlignment="1">
      <alignment vertical="center"/>
    </xf>
    <xf numFmtId="1" fontId="2" fillId="15" borderId="23" xfId="0" applyNumberFormat="1" applyFont="1" applyFill="1" applyBorder="1" applyAlignment="1">
      <alignment vertical="center"/>
    </xf>
    <xf numFmtId="166" fontId="4" fillId="0" borderId="23" xfId="17" applyNumberFormat="1" applyFont="1" applyFill="1" applyBorder="1" applyProtection="1">
      <protection locked="0"/>
    </xf>
    <xf numFmtId="166" fontId="4" fillId="0" borderId="24" xfId="17" applyNumberFormat="1" applyFont="1" applyFill="1" applyBorder="1" applyProtection="1">
      <protection locked="0"/>
    </xf>
    <xf numFmtId="166" fontId="2" fillId="0" borderId="24" xfId="17" applyNumberFormat="1" applyFont="1" applyFill="1" applyBorder="1" applyAlignment="1" applyProtection="1">
      <alignment vertical="top"/>
    </xf>
    <xf numFmtId="0" fontId="25" fillId="15" borderId="25" xfId="0" applyFont="1" applyFill="1" applyBorder="1" applyAlignment="1">
      <alignment horizontal="right"/>
    </xf>
    <xf numFmtId="0" fontId="25" fillId="15" borderId="26" xfId="0" applyFont="1" applyFill="1" applyBorder="1"/>
    <xf numFmtId="166" fontId="25" fillId="0" borderId="26" xfId="17" applyNumberFormat="1" applyFont="1" applyBorder="1" applyProtection="1">
      <protection locked="0"/>
    </xf>
    <xf numFmtId="166" fontId="25" fillId="0" borderId="26" xfId="17" applyNumberFormat="1" applyFont="1" applyFill="1" applyBorder="1" applyProtection="1">
      <protection locked="0"/>
    </xf>
    <xf numFmtId="166" fontId="25" fillId="0" borderId="26" xfId="17" applyNumberFormat="1" applyFont="1" applyBorder="1" applyProtection="1"/>
    <xf numFmtId="166" fontId="25" fillId="0" borderId="27" xfId="17" applyNumberFormat="1" applyFont="1" applyFill="1" applyBorder="1" applyProtection="1"/>
    <xf numFmtId="166" fontId="2" fillId="0" borderId="24" xfId="17" applyNumberFormat="1" applyFont="1" applyFill="1" applyBorder="1" applyAlignment="1" applyProtection="1">
      <alignment horizontal="right"/>
    </xf>
    <xf numFmtId="166" fontId="25" fillId="0" borderId="27" xfId="17" applyNumberFormat="1" applyFont="1" applyFill="1" applyBorder="1" applyAlignment="1" applyProtection="1">
      <alignment horizontal="right"/>
    </xf>
    <xf numFmtId="166" fontId="25" fillId="0" borderId="27" xfId="17" applyNumberFormat="1" applyFont="1" applyFill="1" applyBorder="1" applyProtection="1">
      <protection locked="0"/>
    </xf>
    <xf numFmtId="1" fontId="2" fillId="15" borderId="28" xfId="0" applyNumberFormat="1" applyFont="1" applyFill="1" applyBorder="1" applyAlignment="1">
      <alignment vertical="center"/>
    </xf>
    <xf numFmtId="1" fontId="2" fillId="15" borderId="20" xfId="0" applyNumberFormat="1" applyFont="1" applyFill="1" applyBorder="1" applyAlignment="1">
      <alignment vertical="center"/>
    </xf>
    <xf numFmtId="1" fontId="2" fillId="15" borderId="22" xfId="0" applyNumberFormat="1" applyFont="1" applyFill="1" applyBorder="1" applyAlignment="1">
      <alignment horizontal="right" vertical="center" wrapText="1"/>
    </xf>
    <xf numFmtId="1" fontId="2" fillId="15" borderId="23" xfId="0" applyNumberFormat="1" applyFont="1" applyFill="1" applyBorder="1" applyAlignment="1">
      <alignment horizontal="right" vertical="center" wrapText="1"/>
    </xf>
    <xf numFmtId="0" fontId="2" fillId="15" borderId="23" xfId="0" applyFont="1" applyFill="1" applyBorder="1" applyAlignment="1">
      <alignment vertical="center" wrapText="1"/>
    </xf>
    <xf numFmtId="1" fontId="25" fillId="15" borderId="23" xfId="0" applyNumberFormat="1" applyFont="1" applyFill="1" applyBorder="1" applyAlignment="1">
      <alignment horizontal="right"/>
    </xf>
    <xf numFmtId="1" fontId="25" fillId="15" borderId="25" xfId="0" applyNumberFormat="1" applyFont="1" applyFill="1" applyBorder="1" applyAlignment="1">
      <alignment horizontal="right"/>
    </xf>
    <xf numFmtId="1" fontId="25" fillId="15" borderId="26" xfId="0" applyNumberFormat="1" applyFont="1" applyFill="1" applyBorder="1"/>
    <xf numFmtId="166" fontId="2" fillId="0" borderId="21" xfId="17" applyNumberFormat="1" applyFont="1" applyFill="1" applyBorder="1" applyProtection="1"/>
    <xf numFmtId="166" fontId="25" fillId="0" borderId="23" xfId="17" applyNumberFormat="1" applyFont="1" applyFill="1" applyBorder="1" applyAlignment="1" applyProtection="1">
      <alignment vertical="top"/>
      <protection locked="0"/>
    </xf>
    <xf numFmtId="1" fontId="25" fillId="15" borderId="23" xfId="0" applyNumberFormat="1" applyFont="1" applyFill="1" applyBorder="1" applyAlignment="1">
      <alignment horizontal="right" vertical="top"/>
    </xf>
    <xf numFmtId="0" fontId="2" fillId="21" borderId="22" xfId="0" applyFont="1" applyFill="1" applyBorder="1" applyAlignment="1">
      <alignment horizontal="right"/>
    </xf>
    <xf numFmtId="0" fontId="2" fillId="21" borderId="23" xfId="0" applyFont="1" applyFill="1" applyBorder="1"/>
    <xf numFmtId="0" fontId="25" fillId="21" borderId="22" xfId="0" applyFont="1" applyFill="1" applyBorder="1" applyAlignment="1">
      <alignment horizontal="right"/>
    </xf>
    <xf numFmtId="0" fontId="25" fillId="21" borderId="23" xfId="0" applyFont="1" applyFill="1" applyBorder="1"/>
    <xf numFmtId="0" fontId="2" fillId="21" borderId="25" xfId="0" applyFont="1" applyFill="1" applyBorder="1" applyAlignment="1">
      <alignment horizontal="right"/>
    </xf>
    <xf numFmtId="0" fontId="2" fillId="21" borderId="26" xfId="0" applyFont="1" applyFill="1" applyBorder="1"/>
    <xf numFmtId="0" fontId="2" fillId="21" borderId="22" xfId="0" applyFont="1" applyFill="1" applyBorder="1" applyAlignment="1">
      <alignment horizontal="right" vertical="top" wrapText="1"/>
    </xf>
    <xf numFmtId="0" fontId="2" fillId="21" borderId="23" xfId="0" applyFont="1" applyFill="1" applyBorder="1" applyAlignment="1">
      <alignment vertical="top" wrapText="1"/>
    </xf>
    <xf numFmtId="0" fontId="2" fillId="21" borderId="25" xfId="0" applyFont="1" applyFill="1" applyBorder="1" applyAlignment="1">
      <alignment horizontal="right" vertical="top"/>
    </xf>
    <xf numFmtId="0" fontId="2" fillId="21" borderId="26" xfId="0" applyFont="1" applyFill="1" applyBorder="1" applyAlignment="1">
      <alignment vertical="top" wrapText="1"/>
    </xf>
    <xf numFmtId="0" fontId="2" fillId="21" borderId="26" xfId="0" applyFont="1" applyFill="1" applyBorder="1" applyAlignment="1">
      <alignment vertical="top"/>
    </xf>
    <xf numFmtId="166" fontId="2" fillId="0" borderId="26" xfId="17" applyNumberFormat="1" applyFont="1" applyBorder="1" applyAlignment="1" applyProtection="1">
      <alignment vertical="top"/>
      <protection locked="0"/>
    </xf>
    <xf numFmtId="166" fontId="2" fillId="0" borderId="26" xfId="17" applyNumberFormat="1" applyFont="1" applyBorder="1" applyAlignment="1" applyProtection="1">
      <alignment vertical="top"/>
    </xf>
    <xf numFmtId="166" fontId="2" fillId="0" borderId="27" xfId="17" applyNumberFormat="1" applyFont="1" applyBorder="1" applyAlignment="1" applyProtection="1">
      <alignment vertical="top"/>
    </xf>
    <xf numFmtId="0" fontId="2" fillId="21" borderId="23" xfId="0" applyFont="1" applyFill="1" applyBorder="1" applyAlignment="1">
      <alignment vertical="top"/>
    </xf>
    <xf numFmtId="166" fontId="2" fillId="0" borderId="23" xfId="17" applyNumberFormat="1" applyFont="1" applyBorder="1" applyAlignment="1" applyProtection="1">
      <alignment vertical="top"/>
      <protection locked="0"/>
    </xf>
    <xf numFmtId="166" fontId="2" fillId="0" borderId="24" xfId="17" applyNumberFormat="1" applyFont="1" applyBorder="1" applyAlignment="1" applyProtection="1">
      <alignment vertical="top"/>
    </xf>
    <xf numFmtId="0" fontId="2" fillId="0" borderId="0" xfId="0" applyFont="1" applyAlignment="1" applyProtection="1">
      <alignment vertical="top" wrapText="1"/>
      <protection locked="0"/>
    </xf>
    <xf numFmtId="0" fontId="25" fillId="16" borderId="22" xfId="0" applyFont="1" applyFill="1" applyBorder="1" applyAlignment="1">
      <alignment horizontal="right"/>
    </xf>
    <xf numFmtId="0" fontId="25" fillId="16" borderId="23" xfId="0" applyFont="1" applyFill="1" applyBorder="1"/>
    <xf numFmtId="0" fontId="2" fillId="16" borderId="23" xfId="0" applyFont="1" applyFill="1" applyBorder="1"/>
    <xf numFmtId="0" fontId="25" fillId="16" borderId="26" xfId="0" applyFont="1" applyFill="1" applyBorder="1"/>
    <xf numFmtId="0" fontId="2" fillId="16" borderId="22" xfId="0" applyFont="1" applyFill="1" applyBorder="1" applyAlignment="1">
      <alignment horizontal="right"/>
    </xf>
    <xf numFmtId="166" fontId="3" fillId="0" borderId="23" xfId="17" applyNumberFormat="1" applyFont="1" applyFill="1" applyBorder="1" applyProtection="1">
      <protection locked="0"/>
    </xf>
    <xf numFmtId="166" fontId="3" fillId="0" borderId="24" xfId="17" applyNumberFormat="1" applyFont="1" applyFill="1" applyBorder="1" applyProtection="1">
      <protection locked="0"/>
    </xf>
    <xf numFmtId="0" fontId="25" fillId="16" borderId="25" xfId="0" applyFont="1" applyFill="1" applyBorder="1" applyAlignment="1">
      <alignment horizontal="right"/>
    </xf>
    <xf numFmtId="0" fontId="2" fillId="16" borderId="22" xfId="0" applyFont="1" applyFill="1" applyBorder="1" applyAlignment="1">
      <alignment horizontal="right" vertical="top"/>
    </xf>
    <xf numFmtId="166" fontId="26" fillId="0" borderId="24" xfId="17" applyNumberFormat="1" applyFont="1" applyFill="1" applyBorder="1" applyProtection="1">
      <protection locked="0"/>
    </xf>
    <xf numFmtId="0" fontId="2" fillId="16" borderId="26" xfId="0" applyFont="1" applyFill="1" applyBorder="1"/>
    <xf numFmtId="1" fontId="25" fillId="15" borderId="23" xfId="0" applyNumberFormat="1" applyFont="1" applyFill="1" applyBorder="1" applyAlignment="1">
      <alignment vertical="top" wrapText="1"/>
    </xf>
    <xf numFmtId="1" fontId="2" fillId="15" borderId="23" xfId="0" applyNumberFormat="1" applyFont="1" applyFill="1" applyBorder="1" applyAlignment="1">
      <alignment vertical="top" wrapText="1"/>
    </xf>
    <xf numFmtId="166" fontId="25" fillId="0" borderId="24" xfId="17" applyNumberFormat="1" applyFont="1" applyFill="1" applyBorder="1" applyAlignment="1" applyProtection="1">
      <alignment horizontal="right" vertical="top" wrapText="1"/>
    </xf>
    <xf numFmtId="166" fontId="2" fillId="0" borderId="24" xfId="17" applyNumberFormat="1" applyFont="1" applyFill="1" applyBorder="1" applyAlignment="1" applyProtection="1">
      <alignment vertical="top" wrapText="1"/>
    </xf>
    <xf numFmtId="0" fontId="27" fillId="19" borderId="17" xfId="0" applyFont="1" applyFill="1" applyBorder="1" applyAlignment="1">
      <alignment horizontal="right"/>
    </xf>
    <xf numFmtId="0" fontId="3" fillId="19" borderId="15" xfId="0" applyFont="1" applyFill="1" applyBorder="1" applyAlignment="1">
      <alignment horizontal="right" vertical="center"/>
    </xf>
    <xf numFmtId="1" fontId="2" fillId="15" borderId="22" xfId="0" applyNumberFormat="1" applyFont="1" applyFill="1" applyBorder="1" applyAlignment="1">
      <alignment horizontal="right" vertical="top"/>
    </xf>
    <xf numFmtId="1" fontId="2" fillId="15" borderId="25" xfId="0" applyNumberFormat="1" applyFont="1" applyFill="1" applyBorder="1" applyAlignment="1">
      <alignment horizontal="right"/>
    </xf>
    <xf numFmtId="1" fontId="6" fillId="15" borderId="11" xfId="0" applyNumberFormat="1" applyFont="1" applyFill="1" applyBorder="1" applyAlignment="1">
      <alignment horizontal="right"/>
    </xf>
    <xf numFmtId="1" fontId="2" fillId="15" borderId="22" xfId="0" applyNumberFormat="1" applyFont="1" applyFill="1" applyBorder="1" applyAlignment="1">
      <alignment horizontal="right" vertical="center"/>
    </xf>
    <xf numFmtId="1" fontId="2" fillId="15" borderId="11" xfId="0" applyNumberFormat="1" applyFont="1" applyFill="1" applyBorder="1" applyAlignment="1">
      <alignment horizontal="right"/>
    </xf>
    <xf numFmtId="0" fontId="2" fillId="15" borderId="11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1" borderId="11" xfId="0" applyFont="1" applyFill="1" applyBorder="1" applyAlignment="1">
      <alignment horizontal="right"/>
    </xf>
    <xf numFmtId="0" fontId="2" fillId="21" borderId="0" xfId="0" applyFont="1" applyFill="1" applyAlignment="1">
      <alignment horizontal="right"/>
    </xf>
    <xf numFmtId="0" fontId="6" fillId="16" borderId="0" xfId="0" applyFont="1" applyFill="1" applyAlignment="1">
      <alignment horizontal="right"/>
    </xf>
    <xf numFmtId="0" fontId="6" fillId="16" borderId="11" xfId="0" applyFont="1" applyFill="1" applyBorder="1" applyAlignment="1">
      <alignment horizontal="right"/>
    </xf>
    <xf numFmtId="0" fontId="6" fillId="17" borderId="0" xfId="0" applyFont="1" applyFill="1" applyAlignment="1">
      <alignment horizontal="right"/>
    </xf>
    <xf numFmtId="0" fontId="2" fillId="17" borderId="13" xfId="0" applyFont="1" applyFill="1" applyBorder="1" applyAlignment="1">
      <alignment horizontal="right"/>
    </xf>
    <xf numFmtId="0" fontId="2" fillId="17" borderId="11" xfId="0" applyFont="1" applyFill="1" applyBorder="1" applyAlignment="1">
      <alignment horizontal="right"/>
    </xf>
    <xf numFmtId="0" fontId="6" fillId="18" borderId="0" xfId="0" applyFont="1" applyFill="1" applyAlignment="1">
      <alignment horizontal="right"/>
    </xf>
    <xf numFmtId="0" fontId="2" fillId="18" borderId="0" xfId="0" applyFont="1" applyFill="1" applyAlignment="1">
      <alignment horizontal="right"/>
    </xf>
    <xf numFmtId="0" fontId="2" fillId="19" borderId="0" xfId="0" applyFont="1" applyFill="1" applyAlignment="1">
      <alignment horizontal="right"/>
    </xf>
    <xf numFmtId="0" fontId="3" fillId="19" borderId="0" xfId="0" applyFont="1" applyFill="1" applyAlignment="1">
      <alignment wrapText="1"/>
    </xf>
    <xf numFmtId="0" fontId="3" fillId="19" borderId="0" xfId="0" applyFont="1" applyFill="1" applyAlignment="1">
      <alignment horizontal="right" wrapText="1"/>
    </xf>
    <xf numFmtId="166" fontId="2" fillId="17" borderId="0" xfId="17" applyNumberFormat="1" applyFont="1" applyFill="1" applyBorder="1" applyAlignment="1" applyProtection="1">
      <alignment horizontal="right"/>
    </xf>
    <xf numFmtId="168" fontId="2" fillId="17" borderId="13" xfId="30" applyNumberFormat="1" applyFont="1" applyFill="1" applyBorder="1" applyProtection="1"/>
    <xf numFmtId="168" fontId="2" fillId="17" borderId="0" xfId="30" applyNumberFormat="1" applyFont="1" applyFill="1" applyBorder="1" applyAlignment="1" applyProtection="1">
      <alignment vertical="top"/>
    </xf>
    <xf numFmtId="168" fontId="2" fillId="17" borderId="0" xfId="30" applyNumberFormat="1" applyFont="1" applyFill="1" applyBorder="1" applyAlignment="1" applyProtection="1">
      <alignment vertical="center"/>
    </xf>
    <xf numFmtId="168" fontId="2" fillId="17" borderId="13" xfId="30" applyNumberFormat="1" applyFont="1" applyFill="1" applyBorder="1" applyAlignment="1" applyProtection="1">
      <alignment vertical="center"/>
    </xf>
    <xf numFmtId="168" fontId="2" fillId="17" borderId="13" xfId="30" applyNumberFormat="1" applyFont="1" applyFill="1" applyBorder="1" applyAlignment="1" applyProtection="1">
      <alignment vertical="top"/>
    </xf>
    <xf numFmtId="168" fontId="2" fillId="17" borderId="12" xfId="30" applyNumberFormat="1" applyFont="1" applyFill="1" applyBorder="1" applyAlignment="1" applyProtection="1">
      <alignment vertical="center"/>
    </xf>
    <xf numFmtId="0" fontId="2" fillId="17" borderId="13" xfId="0" applyFont="1" applyFill="1" applyBorder="1" applyAlignment="1">
      <alignment vertical="top"/>
    </xf>
    <xf numFmtId="1" fontId="2" fillId="15" borderId="22" xfId="0" applyNumberFormat="1" applyFont="1" applyFill="1" applyBorder="1" applyAlignment="1">
      <alignment vertical="top" wrapText="1"/>
    </xf>
    <xf numFmtId="166" fontId="2" fillId="0" borderId="24" xfId="17" applyNumberFormat="1" applyFont="1" applyFill="1" applyBorder="1" applyAlignment="1" applyProtection="1">
      <alignment vertical="top" wrapText="1"/>
      <protection locked="0"/>
    </xf>
    <xf numFmtId="166" fontId="25" fillId="0" borderId="23" xfId="17" applyNumberFormat="1" applyFont="1" applyFill="1" applyBorder="1" applyProtection="1"/>
    <xf numFmtId="0" fontId="2" fillId="0" borderId="0" xfId="0" applyFont="1" applyAlignment="1">
      <alignment vertical="top"/>
    </xf>
    <xf numFmtId="0" fontId="3" fillId="16" borderId="30" xfId="0" applyFont="1" applyFill="1" applyBorder="1"/>
    <xf numFmtId="0" fontId="3" fillId="16" borderId="29" xfId="0" applyFont="1" applyFill="1" applyBorder="1"/>
    <xf numFmtId="0" fontId="3" fillId="16" borderId="22" xfId="0" applyFont="1" applyFill="1" applyBorder="1" applyAlignment="1">
      <alignment horizontal="right" vertical="top"/>
    </xf>
    <xf numFmtId="0" fontId="3" fillId="16" borderId="23" xfId="0" applyFont="1" applyFill="1" applyBorder="1"/>
    <xf numFmtId="0" fontId="3" fillId="16" borderId="30" xfId="0" applyFont="1" applyFill="1" applyBorder="1" applyAlignment="1">
      <alignment horizontal="right"/>
    </xf>
    <xf numFmtId="0" fontId="3" fillId="16" borderId="22" xfId="0" applyFont="1" applyFill="1" applyBorder="1" applyAlignment="1">
      <alignment horizontal="right"/>
    </xf>
    <xf numFmtId="168" fontId="2" fillId="17" borderId="0" xfId="30" applyNumberFormat="1" applyFont="1" applyFill="1" applyBorder="1" applyProtection="1"/>
    <xf numFmtId="168" fontId="2" fillId="17" borderId="11" xfId="30" applyNumberFormat="1" applyFont="1" applyFill="1" applyBorder="1" applyProtection="1"/>
    <xf numFmtId="166" fontId="2" fillId="0" borderId="23" xfId="17" applyNumberFormat="1" applyFont="1" applyFill="1" applyBorder="1" applyAlignment="1" applyProtection="1">
      <alignment vertical="top"/>
    </xf>
    <xf numFmtId="166" fontId="2" fillId="0" borderId="23" xfId="17" applyNumberFormat="1" applyFont="1" applyBorder="1" applyAlignment="1" applyProtection="1">
      <alignment vertical="top"/>
    </xf>
    <xf numFmtId="0" fontId="2" fillId="16" borderId="22" xfId="0" applyFont="1" applyFill="1" applyBorder="1" applyAlignment="1">
      <alignment horizontal="right" vertical="top" wrapText="1"/>
    </xf>
    <xf numFmtId="0" fontId="2" fillId="16" borderId="23" xfId="0" applyFont="1" applyFill="1" applyBorder="1" applyAlignment="1">
      <alignment vertical="top" wrapText="1"/>
    </xf>
    <xf numFmtId="1" fontId="2" fillId="15" borderId="22" xfId="0" applyNumberFormat="1" applyFont="1" applyFill="1" applyBorder="1" applyAlignment="1">
      <alignment horizontal="right" wrapText="1"/>
    </xf>
    <xf numFmtId="0" fontId="2" fillId="16" borderId="23" xfId="0" applyFont="1" applyFill="1" applyBorder="1" applyAlignment="1">
      <alignment vertical="top"/>
    </xf>
    <xf numFmtId="0" fontId="2" fillId="16" borderId="25" xfId="0" applyFont="1" applyFill="1" applyBorder="1" applyAlignment="1">
      <alignment horizontal="right" vertical="top"/>
    </xf>
    <xf numFmtId="0" fontId="3" fillId="15" borderId="11" xfId="0" applyFont="1" applyFill="1" applyBorder="1"/>
    <xf numFmtId="166" fontId="2" fillId="0" borderId="23" xfId="17" applyNumberFormat="1" applyFont="1" applyFill="1" applyBorder="1" applyAlignment="1" applyProtection="1">
      <alignment vertical="center"/>
    </xf>
    <xf numFmtId="166" fontId="2" fillId="0" borderId="24" xfId="17" applyNumberFormat="1" applyFont="1" applyFill="1" applyBorder="1" applyAlignment="1" applyProtection="1">
      <alignment horizontal="right"/>
      <protection locked="0"/>
    </xf>
    <xf numFmtId="166" fontId="2" fillId="0" borderId="23" xfId="17" applyNumberFormat="1" applyFont="1" applyFill="1" applyBorder="1" applyAlignment="1" applyProtection="1">
      <alignment vertical="top"/>
      <protection locked="0"/>
    </xf>
    <xf numFmtId="166" fontId="2" fillId="0" borderId="24" xfId="17" applyNumberFormat="1" applyFont="1" applyFill="1" applyBorder="1" applyAlignment="1" applyProtection="1">
      <alignment vertical="top"/>
      <protection locked="0"/>
    </xf>
    <xf numFmtId="166" fontId="2" fillId="0" borderId="23" xfId="17" applyNumberFormat="1" applyFont="1" applyFill="1" applyBorder="1" applyAlignment="1" applyProtection="1">
      <alignment horizontal="right"/>
    </xf>
    <xf numFmtId="166" fontId="2" fillId="0" borderId="26" xfId="17" applyNumberFormat="1" applyFont="1" applyFill="1" applyBorder="1" applyProtection="1"/>
    <xf numFmtId="166" fontId="25" fillId="0" borderId="24" xfId="17" applyNumberFormat="1" applyFont="1" applyFill="1" applyBorder="1" applyAlignment="1" applyProtection="1">
      <alignment vertical="top" wrapText="1"/>
      <protection locked="0"/>
    </xf>
    <xf numFmtId="166" fontId="25" fillId="0" borderId="24" xfId="17" applyNumberFormat="1" applyFont="1" applyFill="1" applyBorder="1" applyAlignment="1" applyProtection="1">
      <alignment vertical="top"/>
      <protection locked="0"/>
    </xf>
    <xf numFmtId="166" fontId="3" fillId="0" borderId="24" xfId="17" applyNumberFormat="1" applyFont="1" applyFill="1" applyBorder="1" applyAlignment="1" applyProtection="1">
      <alignment vertical="top" wrapText="1"/>
      <protection locked="0"/>
    </xf>
    <xf numFmtId="166" fontId="3" fillId="0" borderId="27" xfId="17" applyNumberFormat="1" applyFont="1" applyFill="1" applyBorder="1" applyProtection="1">
      <protection locked="0"/>
    </xf>
    <xf numFmtId="166" fontId="2" fillId="0" borderId="26" xfId="17" applyNumberFormat="1" applyFont="1" applyFill="1" applyBorder="1" applyAlignment="1" applyProtection="1">
      <alignment vertical="top" wrapText="1"/>
      <protection locked="0"/>
    </xf>
    <xf numFmtId="166" fontId="2" fillId="0" borderId="23" xfId="17" applyNumberFormat="1" applyFont="1" applyFill="1" applyBorder="1" applyAlignment="1" applyProtection="1">
      <alignment vertical="top" wrapText="1"/>
    </xf>
    <xf numFmtId="166" fontId="2" fillId="0" borderId="23" xfId="17" applyNumberFormat="1" applyFont="1" applyFill="1" applyBorder="1" applyAlignment="1" applyProtection="1">
      <alignment horizontal="left" vertical="top" wrapText="1"/>
    </xf>
    <xf numFmtId="166" fontId="2" fillId="0" borderId="24" xfId="17" applyNumberFormat="1" applyFont="1" applyFill="1" applyBorder="1" applyAlignment="1" applyProtection="1">
      <alignment horizontal="left" vertical="top"/>
    </xf>
    <xf numFmtId="0" fontId="3" fillId="15" borderId="0" xfId="0" applyFont="1" applyFill="1"/>
    <xf numFmtId="166" fontId="3" fillId="15" borderId="11" xfId="17" applyNumberFormat="1" applyFont="1" applyFill="1" applyBorder="1" applyAlignment="1" applyProtection="1">
      <alignment vertical="center"/>
    </xf>
    <xf numFmtId="0" fontId="30" fillId="23" borderId="0" xfId="0" applyFont="1" applyFill="1" applyAlignment="1" applyProtection="1">
      <alignment vertical="center"/>
      <protection locked="0"/>
    </xf>
    <xf numFmtId="1" fontId="2" fillId="15" borderId="30" xfId="0" applyNumberFormat="1" applyFont="1" applyFill="1" applyBorder="1" applyAlignment="1">
      <alignment vertical="center"/>
    </xf>
    <xf numFmtId="1" fontId="2" fillId="15" borderId="29" xfId="0" applyNumberFormat="1" applyFont="1" applyFill="1" applyBorder="1" applyAlignment="1">
      <alignment vertical="center"/>
    </xf>
    <xf numFmtId="0" fontId="2" fillId="15" borderId="29" xfId="0" applyFont="1" applyFill="1" applyBorder="1"/>
    <xf numFmtId="166" fontId="2" fillId="0" borderId="29" xfId="17" applyNumberFormat="1" applyFont="1" applyFill="1" applyBorder="1" applyProtection="1">
      <protection locked="0"/>
    </xf>
    <xf numFmtId="166" fontId="2" fillId="0" borderId="31" xfId="17" applyNumberFormat="1" applyFont="1" applyBorder="1" applyProtection="1">
      <protection locked="0"/>
    </xf>
    <xf numFmtId="166" fontId="2" fillId="0" borderId="29" xfId="17" applyNumberFormat="1" applyFont="1" applyBorder="1" applyProtection="1"/>
    <xf numFmtId="166" fontId="2" fillId="0" borderId="31" xfId="17" applyNumberFormat="1" applyFont="1" applyFill="1" applyBorder="1" applyProtection="1"/>
    <xf numFmtId="166" fontId="2" fillId="0" borderId="31" xfId="17" applyNumberFormat="1" applyFont="1" applyBorder="1" applyProtection="1"/>
    <xf numFmtId="1" fontId="2" fillId="15" borderId="30" xfId="0" applyNumberFormat="1" applyFont="1" applyFill="1" applyBorder="1" applyAlignment="1">
      <alignment horizontal="right" vertical="center"/>
    </xf>
    <xf numFmtId="1" fontId="2" fillId="15" borderId="23" xfId="0" applyNumberFormat="1" applyFont="1" applyFill="1" applyBorder="1" applyAlignment="1">
      <alignment horizontal="right"/>
    </xf>
    <xf numFmtId="166" fontId="2" fillId="0" borderId="24" xfId="17" applyNumberFormat="1" applyFont="1" applyBorder="1" applyAlignment="1" applyProtection="1">
      <alignment vertical="top"/>
      <protection locked="0"/>
    </xf>
    <xf numFmtId="166" fontId="2" fillId="0" borderId="24" xfId="17" applyNumberFormat="1" applyFont="1" applyFill="1" applyBorder="1" applyAlignment="1" applyProtection="1">
      <alignment horizontal="right" vertical="top"/>
      <protection locked="0"/>
    </xf>
    <xf numFmtId="1" fontId="2" fillId="15" borderId="23" xfId="0" applyNumberFormat="1" applyFont="1" applyFill="1" applyBorder="1" applyAlignment="1">
      <alignment horizontal="right" wrapText="1"/>
    </xf>
    <xf numFmtId="0" fontId="2" fillId="15" borderId="23" xfId="0" applyFont="1" applyFill="1" applyBorder="1" applyAlignment="1">
      <alignment wrapText="1"/>
    </xf>
    <xf numFmtId="166" fontId="2" fillId="0" borderId="23" xfId="17" applyNumberFormat="1" applyFont="1" applyBorder="1" applyAlignment="1" applyProtection="1">
      <protection locked="0"/>
    </xf>
    <xf numFmtId="0" fontId="25" fillId="0" borderId="0" xfId="0" applyFont="1" applyAlignment="1" applyProtection="1">
      <alignment vertical="top"/>
      <protection locked="0"/>
    </xf>
    <xf numFmtId="166" fontId="2" fillId="0" borderId="24" xfId="17" applyNumberFormat="1" applyFont="1" applyBorder="1" applyAlignment="1" applyProtection="1">
      <protection locked="0"/>
    </xf>
    <xf numFmtId="166" fontId="2" fillId="0" borderId="23" xfId="17" applyNumberFormat="1" applyFont="1" applyFill="1" applyBorder="1" applyAlignment="1" applyProtection="1"/>
    <xf numFmtId="166" fontId="2" fillId="0" borderId="24" xfId="17" applyNumberFormat="1" applyFont="1" applyFill="1" applyBorder="1" applyAlignment="1" applyProtection="1"/>
    <xf numFmtId="0" fontId="2" fillId="16" borderId="25" xfId="0" applyFont="1" applyFill="1" applyBorder="1" applyAlignment="1">
      <alignment horizontal="right" vertical="top" wrapText="1"/>
    </xf>
    <xf numFmtId="0" fontId="2" fillId="16" borderId="26" xfId="0" applyFont="1" applyFill="1" applyBorder="1" applyAlignment="1">
      <alignment vertical="top" wrapText="1"/>
    </xf>
    <xf numFmtId="166" fontId="3" fillId="0" borderId="27" xfId="17" applyNumberFormat="1" applyFont="1" applyFill="1" applyBorder="1" applyAlignment="1" applyProtection="1">
      <alignment vertical="top" wrapText="1"/>
      <protection locked="0"/>
    </xf>
    <xf numFmtId="0" fontId="2" fillId="17" borderId="12" xfId="0" applyFont="1" applyFill="1" applyBorder="1" applyAlignment="1">
      <alignment horizontal="left" vertical="top"/>
    </xf>
    <xf numFmtId="0" fontId="2" fillId="17" borderId="0" xfId="0" applyFont="1" applyFill="1" applyAlignment="1">
      <alignment horizontal="left" vertical="top"/>
    </xf>
    <xf numFmtId="0" fontId="2" fillId="17" borderId="0" xfId="0" applyFont="1" applyFill="1" applyAlignment="1">
      <alignment horizontal="left" vertical="top" wrapText="1"/>
    </xf>
    <xf numFmtId="0" fontId="2" fillId="17" borderId="13" xfId="0" applyFont="1" applyFill="1" applyBorder="1" applyAlignment="1">
      <alignment horizontal="left" vertical="top" wrapText="1"/>
    </xf>
    <xf numFmtId="0" fontId="2" fillId="17" borderId="12" xfId="0" applyFont="1" applyFill="1" applyBorder="1" applyAlignment="1">
      <alignment horizontal="left" vertical="top" wrapText="1"/>
    </xf>
    <xf numFmtId="0" fontId="2" fillId="17" borderId="12" xfId="0" applyFont="1" applyFill="1" applyBorder="1" applyAlignment="1">
      <alignment horizontal="left"/>
    </xf>
    <xf numFmtId="0" fontId="2" fillId="17" borderId="13" xfId="0" applyFont="1" applyFill="1" applyBorder="1" applyAlignment="1">
      <alignment horizontal="left"/>
    </xf>
    <xf numFmtId="0" fontId="2" fillId="17" borderId="0" xfId="0" applyFont="1" applyFill="1" applyAlignment="1">
      <alignment horizontal="left"/>
    </xf>
    <xf numFmtId="0" fontId="2" fillId="17" borderId="11" xfId="0" applyFont="1" applyFill="1" applyBorder="1" applyAlignment="1">
      <alignment horizontal="left"/>
    </xf>
    <xf numFmtId="168" fontId="2" fillId="17" borderId="0" xfId="30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vertical="top"/>
    </xf>
    <xf numFmtId="168" fontId="2" fillId="17" borderId="13" xfId="30" applyNumberFormat="1" applyFont="1" applyFill="1" applyBorder="1" applyAlignment="1" applyProtection="1">
      <alignment horizontal="left" vertical="top"/>
    </xf>
    <xf numFmtId="0" fontId="2" fillId="17" borderId="13" xfId="0" applyFont="1" applyFill="1" applyBorder="1" applyAlignment="1">
      <alignment horizontal="left" vertical="top"/>
    </xf>
    <xf numFmtId="0" fontId="2" fillId="17" borderId="11" xfId="0" applyFont="1" applyFill="1" applyBorder="1" applyAlignment="1">
      <alignment horizontal="left" vertical="top"/>
    </xf>
    <xf numFmtId="0" fontId="2" fillId="17" borderId="11" xfId="0" applyFont="1" applyFill="1" applyBorder="1" applyAlignment="1">
      <alignment horizontal="left" vertical="top" wrapText="1"/>
    </xf>
    <xf numFmtId="168" fontId="2" fillId="17" borderId="12" xfId="30" applyNumberFormat="1" applyFont="1" applyFill="1" applyBorder="1" applyAlignment="1" applyProtection="1">
      <alignment vertical="top"/>
    </xf>
    <xf numFmtId="166" fontId="2" fillId="0" borderId="26" xfId="17" applyNumberFormat="1" applyFont="1" applyFill="1" applyBorder="1" applyAlignment="1" applyProtection="1">
      <alignment vertical="top"/>
    </xf>
    <xf numFmtId="166" fontId="2" fillId="0" borderId="27" xfId="17" applyNumberFormat="1" applyFont="1" applyFill="1" applyBorder="1" applyAlignment="1" applyProtection="1">
      <alignment vertical="top"/>
    </xf>
    <xf numFmtId="0" fontId="2" fillId="17" borderId="12" xfId="0" applyFont="1" applyFill="1" applyBorder="1" applyAlignment="1">
      <alignment horizontal="right" vertical="top"/>
    </xf>
    <xf numFmtId="0" fontId="2" fillId="17" borderId="0" xfId="0" applyFont="1" applyFill="1" applyAlignment="1">
      <alignment horizontal="right" vertical="top"/>
    </xf>
    <xf numFmtId="0" fontId="2" fillId="17" borderId="13" xfId="0" applyFont="1" applyFill="1" applyBorder="1" applyAlignment="1">
      <alignment horizontal="right" vertical="top"/>
    </xf>
    <xf numFmtId="0" fontId="2" fillId="17" borderId="11" xfId="0" applyFont="1" applyFill="1" applyBorder="1" applyAlignment="1">
      <alignment horizontal="right" vertical="top"/>
    </xf>
    <xf numFmtId="0" fontId="2" fillId="17" borderId="11" xfId="0" applyFont="1" applyFill="1" applyBorder="1" applyAlignment="1">
      <alignment horizontal="right" vertical="top" wrapText="1"/>
    </xf>
    <xf numFmtId="0" fontId="3" fillId="17" borderId="0" xfId="0" applyFont="1" applyFill="1" applyAlignment="1">
      <alignment horizontal="left"/>
    </xf>
    <xf numFmtId="166" fontId="2" fillId="0" borderId="0" xfId="0" applyNumberFormat="1" applyFont="1"/>
    <xf numFmtId="0" fontId="6" fillId="0" borderId="0" xfId="0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2" fillId="0" borderId="0" xfId="34" applyNumberFormat="1" applyFont="1"/>
    <xf numFmtId="166" fontId="2" fillId="0" borderId="24" xfId="17" applyNumberFormat="1" applyFont="1" applyBorder="1" applyAlignment="1" applyProtection="1">
      <alignment horizontal="right" vertical="top"/>
      <protection locked="0"/>
    </xf>
    <xf numFmtId="166" fontId="3" fillId="24" borderId="23" xfId="17" applyNumberFormat="1" applyFont="1" applyFill="1" applyBorder="1" applyProtection="1"/>
    <xf numFmtId="166" fontId="3" fillId="24" borderId="24" xfId="17" applyNumberFormat="1" applyFont="1" applyFill="1" applyBorder="1" applyProtection="1"/>
    <xf numFmtId="166" fontId="3" fillId="24" borderId="29" xfId="17" applyNumberFormat="1" applyFont="1" applyFill="1" applyBorder="1" applyProtection="1"/>
    <xf numFmtId="166" fontId="3" fillId="24" borderId="31" xfId="17" applyNumberFormat="1" applyFont="1" applyFill="1" applyBorder="1" applyProtection="1"/>
    <xf numFmtId="166" fontId="2" fillId="0" borderId="0" xfId="0" applyNumberFormat="1" applyFont="1" applyProtection="1">
      <protection locked="0"/>
    </xf>
    <xf numFmtId="166" fontId="2" fillId="0" borderId="0" xfId="34" applyNumberFormat="1" applyFont="1" applyProtection="1">
      <protection locked="0"/>
    </xf>
    <xf numFmtId="166" fontId="35" fillId="18" borderId="0" xfId="0" applyNumberFormat="1" applyFont="1" applyFill="1" applyProtection="1">
      <protection locked="0"/>
    </xf>
    <xf numFmtId="166" fontId="2" fillId="18" borderId="0" xfId="0" applyNumberFormat="1" applyFont="1" applyFill="1" applyProtection="1">
      <protection locked="0"/>
    </xf>
    <xf numFmtId="166" fontId="2" fillId="0" borderId="0" xfId="0" applyNumberFormat="1" applyFont="1" applyAlignment="1" applyProtection="1">
      <alignment horizontal="right"/>
      <protection locked="0"/>
    </xf>
    <xf numFmtId="166" fontId="2" fillId="0" borderId="21" xfId="56" applyNumberFormat="1" applyFont="1" applyBorder="1" applyProtection="1">
      <protection locked="0"/>
    </xf>
    <xf numFmtId="166" fontId="2" fillId="0" borderId="24" xfId="56" applyNumberFormat="1" applyFont="1" applyBorder="1" applyProtection="1">
      <protection locked="0"/>
    </xf>
    <xf numFmtId="166" fontId="25" fillId="0" borderId="24" xfId="56" applyNumberFormat="1" applyFont="1" applyFill="1" applyBorder="1" applyProtection="1">
      <protection locked="0"/>
    </xf>
    <xf numFmtId="166" fontId="2" fillId="0" borderId="24" xfId="56" applyNumberFormat="1" applyFont="1" applyFill="1" applyBorder="1" applyProtection="1">
      <protection locked="0"/>
    </xf>
    <xf numFmtId="166" fontId="2" fillId="0" borderId="24" xfId="56" applyNumberFormat="1" applyFont="1" applyFill="1" applyBorder="1" applyAlignment="1" applyProtection="1">
      <alignment horizontal="right" vertical="top"/>
      <protection locked="0"/>
    </xf>
    <xf numFmtId="166" fontId="25" fillId="0" borderId="24" xfId="56" applyNumberFormat="1" applyFont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vertical="center"/>
      <protection locked="0"/>
    </xf>
    <xf numFmtId="166" fontId="2" fillId="0" borderId="27" xfId="56" applyNumberFormat="1" applyFont="1" applyFill="1" applyBorder="1" applyProtection="1">
      <protection locked="0"/>
    </xf>
    <xf numFmtId="166" fontId="25" fillId="0" borderId="27" xfId="56" applyNumberFormat="1" applyFont="1" applyFill="1" applyBorder="1" applyProtection="1">
      <protection locked="0"/>
    </xf>
    <xf numFmtId="166" fontId="2" fillId="0" borderId="20" xfId="56" applyNumberFormat="1" applyFont="1" applyBorder="1" applyProtection="1">
      <protection locked="0"/>
    </xf>
    <xf numFmtId="166" fontId="2" fillId="0" borderId="24" xfId="56" applyNumberFormat="1" applyFont="1" applyFill="1" applyBorder="1" applyAlignment="1" applyProtection="1">
      <alignment vertical="top"/>
      <protection locked="0"/>
    </xf>
    <xf numFmtId="166" fontId="2" fillId="0" borderId="27" xfId="56" applyNumberFormat="1" applyFont="1" applyBorder="1" applyProtection="1">
      <protection locked="0"/>
    </xf>
    <xf numFmtId="166" fontId="2" fillId="0" borderId="27" xfId="17" applyNumberFormat="1" applyFont="1" applyBorder="1" applyAlignment="1" applyProtection="1">
      <alignment vertical="top"/>
      <protection locked="0"/>
    </xf>
    <xf numFmtId="0" fontId="38" fillId="0" borderId="0" xfId="0" applyFont="1"/>
    <xf numFmtId="166" fontId="2" fillId="0" borderId="23" xfId="17" applyNumberFormat="1" applyFont="1" applyFill="1" applyBorder="1" applyAlignment="1" applyProtection="1">
      <alignment horizontal="left" vertical="top" wrapText="1"/>
      <protection locked="0"/>
    </xf>
    <xf numFmtId="166" fontId="2" fillId="0" borderId="24" xfId="17" applyNumberFormat="1" applyFont="1" applyFill="1" applyBorder="1" applyAlignment="1" applyProtection="1">
      <alignment horizontal="left" vertical="top"/>
      <protection locked="0"/>
    </xf>
    <xf numFmtId="4" fontId="1" fillId="0" borderId="0" xfId="58" applyNumberFormat="1" applyFont="1" applyProtection="1">
      <protection locked="0"/>
    </xf>
    <xf numFmtId="166" fontId="2" fillId="0" borderId="31" xfId="17" applyNumberFormat="1" applyFont="1" applyFill="1" applyBorder="1" applyProtection="1">
      <protection locked="0"/>
    </xf>
    <xf numFmtId="166" fontId="2" fillId="0" borderId="24" xfId="56" applyNumberFormat="1" applyFont="1" applyFill="1" applyBorder="1" applyAlignment="1" applyProtection="1">
      <alignment vertical="top" wrapText="1"/>
      <protection locked="0"/>
    </xf>
    <xf numFmtId="166" fontId="25" fillId="0" borderId="24" xfId="56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horizontal="right" vertical="top" wrapText="1"/>
      <protection locked="0"/>
    </xf>
    <xf numFmtId="166" fontId="2" fillId="0" borderId="24" xfId="56" applyNumberFormat="1" applyFont="1" applyFill="1" applyBorder="1" applyAlignment="1" applyProtection="1">
      <alignment horizontal="right"/>
      <protection locked="0"/>
    </xf>
    <xf numFmtId="166" fontId="25" fillId="0" borderId="27" xfId="56" applyNumberFormat="1" applyFont="1" applyFill="1" applyBorder="1" applyAlignment="1" applyProtection="1">
      <alignment horizontal="right"/>
      <protection locked="0"/>
    </xf>
    <xf numFmtId="166" fontId="2" fillId="0" borderId="31" xfId="56" applyNumberFormat="1" applyFont="1" applyFill="1" applyBorder="1" applyProtection="1">
      <protection locked="0"/>
    </xf>
    <xf numFmtId="166" fontId="2" fillId="0" borderId="21" xfId="17" applyNumberFormat="1" applyFont="1" applyFill="1" applyBorder="1" applyProtection="1">
      <protection locked="0"/>
    </xf>
    <xf numFmtId="166" fontId="25" fillId="0" borderId="27" xfId="17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1" fillId="0" borderId="17" xfId="0" applyFont="1" applyBorder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40" fillId="0" borderId="12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40" fillId="0" borderId="18" xfId="0" applyFont="1" applyBorder="1" applyAlignment="1">
      <alignment horizontal="right" vertical="center"/>
    </xf>
    <xf numFmtId="170" fontId="1" fillId="0" borderId="37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0" fillId="0" borderId="38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170" fontId="1" fillId="0" borderId="0" xfId="0" applyNumberFormat="1" applyFont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0" fontId="8" fillId="0" borderId="38" xfId="0" applyFont="1" applyBorder="1" applyAlignment="1">
      <alignment horizontal="right" vertical="center"/>
    </xf>
    <xf numFmtId="0" fontId="1" fillId="0" borderId="12" xfId="0" applyFont="1" applyBorder="1" applyAlignment="1">
      <alignment horizontal="left" vertical="center"/>
    </xf>
    <xf numFmtId="171" fontId="1" fillId="0" borderId="12" xfId="0" applyNumberFormat="1" applyFont="1" applyBorder="1" applyAlignment="1">
      <alignment vertical="center"/>
    </xf>
    <xf numFmtId="165" fontId="1" fillId="0" borderId="12" xfId="0" applyNumberFormat="1" applyFont="1" applyBorder="1" applyAlignment="1">
      <alignment horizontal="right" vertical="center"/>
    </xf>
    <xf numFmtId="171" fontId="1" fillId="0" borderId="18" xfId="0" applyNumberFormat="1" applyFont="1" applyBorder="1" applyAlignment="1">
      <alignment vertical="center"/>
    </xf>
    <xf numFmtId="0" fontId="1" fillId="0" borderId="37" xfId="0" applyFont="1" applyBorder="1" applyAlignment="1">
      <alignment horizontal="left" vertical="center"/>
    </xf>
    <xf numFmtId="171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right" vertical="center"/>
    </xf>
    <xf numFmtId="171" fontId="1" fillId="0" borderId="38" xfId="0" applyNumberFormat="1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71" fontId="1" fillId="0" borderId="13" xfId="0" applyNumberFormat="1" applyFont="1" applyBorder="1" applyAlignment="1">
      <alignment vertical="center"/>
    </xf>
    <xf numFmtId="171" fontId="1" fillId="0" borderId="16" xfId="0" applyNumberFormat="1" applyFont="1" applyBorder="1" applyAlignment="1">
      <alignment vertical="center"/>
    </xf>
    <xf numFmtId="0" fontId="40" fillId="0" borderId="36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171" fontId="40" fillId="0" borderId="11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7" xfId="0" quotePrefix="1" applyFont="1" applyBorder="1" applyAlignment="1">
      <alignment vertical="center"/>
    </xf>
    <xf numFmtId="0" fontId="1" fillId="0" borderId="37" xfId="0" quotePrefix="1" applyFont="1" applyBorder="1" applyAlignment="1">
      <alignment horizontal="left" vertical="center"/>
    </xf>
    <xf numFmtId="0" fontId="1" fillId="0" borderId="15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0" fontId="40" fillId="0" borderId="11" xfId="0" applyFont="1" applyBorder="1" applyAlignment="1">
      <alignment vertical="center"/>
    </xf>
    <xf numFmtId="165" fontId="40" fillId="0" borderId="11" xfId="0" applyNumberFormat="1" applyFont="1" applyBorder="1" applyAlignment="1">
      <alignment horizontal="right" vertical="center"/>
    </xf>
    <xf numFmtId="165" fontId="40" fillId="0" borderId="12" xfId="0" applyNumberFormat="1" applyFont="1" applyBorder="1" applyAlignment="1">
      <alignment horizontal="right" vertical="center"/>
    </xf>
    <xf numFmtId="0" fontId="40" fillId="34" borderId="37" xfId="0" quotePrefix="1" applyFont="1" applyFill="1" applyBorder="1" applyAlignment="1">
      <alignment vertical="center"/>
    </xf>
    <xf numFmtId="0" fontId="40" fillId="34" borderId="0" xfId="0" applyFont="1" applyFill="1" applyAlignment="1">
      <alignment vertical="center"/>
    </xf>
    <xf numFmtId="171" fontId="40" fillId="34" borderId="0" xfId="0" applyNumberFormat="1" applyFont="1" applyFill="1" applyAlignment="1">
      <alignment vertical="center"/>
    </xf>
    <xf numFmtId="170" fontId="40" fillId="34" borderId="0" xfId="0" applyNumberFormat="1" applyFont="1" applyFill="1" applyAlignment="1">
      <alignment horizontal="right" vertical="center"/>
    </xf>
    <xf numFmtId="170" fontId="40" fillId="34" borderId="11" xfId="0" applyNumberFormat="1" applyFont="1" applyFill="1" applyBorder="1" applyAlignment="1">
      <alignment horizontal="right" vertical="center"/>
    </xf>
    <xf numFmtId="170" fontId="1" fillId="0" borderId="17" xfId="0" applyNumberFormat="1" applyFont="1" applyBorder="1" applyAlignment="1">
      <alignment vertical="center"/>
    </xf>
    <xf numFmtId="170" fontId="1" fillId="0" borderId="12" xfId="0" applyNumberFormat="1" applyFont="1" applyBorder="1" applyAlignment="1">
      <alignment vertical="center"/>
    </xf>
    <xf numFmtId="170" fontId="1" fillId="0" borderId="12" xfId="0" applyNumberFormat="1" applyFont="1" applyBorder="1" applyAlignment="1">
      <alignment horizontal="right" vertical="center"/>
    </xf>
    <xf numFmtId="170" fontId="1" fillId="0" borderId="18" xfId="0" applyNumberFormat="1" applyFont="1" applyBorder="1" applyAlignment="1">
      <alignment vertical="center"/>
    </xf>
    <xf numFmtId="0" fontId="40" fillId="34" borderId="15" xfId="0" applyFont="1" applyFill="1" applyBorder="1" applyAlignment="1">
      <alignment vertical="center"/>
    </xf>
    <xf numFmtId="0" fontId="40" fillId="34" borderId="13" xfId="0" applyFont="1" applyFill="1" applyBorder="1" applyAlignment="1">
      <alignment vertical="center"/>
    </xf>
    <xf numFmtId="171" fontId="40" fillId="34" borderId="13" xfId="0" applyNumberFormat="1" applyFont="1" applyFill="1" applyBorder="1" applyAlignment="1">
      <alignment vertical="center"/>
    </xf>
    <xf numFmtId="165" fontId="40" fillId="34" borderId="13" xfId="0" applyNumberFormat="1" applyFont="1" applyFill="1" applyBorder="1" applyAlignment="1">
      <alignment horizontal="right" vertical="center"/>
    </xf>
    <xf numFmtId="170" fontId="1" fillId="0" borderId="15" xfId="0" applyNumberFormat="1" applyFont="1" applyBorder="1" applyAlignment="1">
      <alignment vertical="center"/>
    </xf>
    <xf numFmtId="165" fontId="1" fillId="0" borderId="13" xfId="0" applyNumberFormat="1" applyFont="1" applyBorder="1" applyAlignment="1">
      <alignment horizontal="right" vertical="center"/>
    </xf>
    <xf numFmtId="165" fontId="1" fillId="0" borderId="13" xfId="0" applyNumberFormat="1" applyFont="1" applyBorder="1" applyAlignment="1">
      <alignment vertical="center"/>
    </xf>
    <xf numFmtId="170" fontId="1" fillId="0" borderId="13" xfId="0" applyNumberFormat="1" applyFont="1" applyBorder="1" applyAlignment="1">
      <alignment horizontal="right" vertical="center"/>
    </xf>
    <xf numFmtId="37" fontId="1" fillId="0" borderId="0" xfId="0" applyNumberFormat="1" applyFont="1" applyAlignment="1">
      <alignment horizontal="right" vertical="center"/>
    </xf>
    <xf numFmtId="37" fontId="1" fillId="0" borderId="0" xfId="0" applyNumberFormat="1" applyFont="1" applyAlignment="1">
      <alignment vertical="center"/>
    </xf>
    <xf numFmtId="0" fontId="8" fillId="0" borderId="0" xfId="0" quotePrefix="1" applyFont="1" applyAlignment="1">
      <alignment horizontal="right" vertical="center"/>
    </xf>
    <xf numFmtId="171" fontId="40" fillId="0" borderId="14" xfId="0" applyNumberFormat="1" applyFont="1" applyBorder="1" applyAlignment="1">
      <alignment vertical="center"/>
    </xf>
    <xf numFmtId="171" fontId="40" fillId="34" borderId="38" xfId="0" applyNumberFormat="1" applyFont="1" applyFill="1" applyBorder="1" applyAlignment="1">
      <alignment vertical="center"/>
    </xf>
    <xf numFmtId="171" fontId="40" fillId="34" borderId="16" xfId="0" applyNumberFormat="1" applyFont="1" applyFill="1" applyBorder="1" applyAlignment="1">
      <alignment vertical="center"/>
    </xf>
    <xf numFmtId="165" fontId="1" fillId="0" borderId="16" xfId="0" applyNumberFormat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38" fontId="1" fillId="0" borderId="0" xfId="17" applyNumberFormat="1" applyFont="1" applyAlignment="1">
      <alignment vertical="center"/>
    </xf>
    <xf numFmtId="0" fontId="46" fillId="0" borderId="0" xfId="0" applyFont="1" applyAlignment="1">
      <alignment horizontal="right" vertical="center"/>
    </xf>
    <xf numFmtId="165" fontId="1" fillId="0" borderId="16" xfId="0" applyNumberFormat="1" applyFont="1" applyBorder="1" applyAlignment="1">
      <alignment horizontal="right" vertical="center"/>
    </xf>
    <xf numFmtId="170" fontId="1" fillId="0" borderId="37" xfId="0" quotePrefix="1" applyNumberFormat="1" applyFont="1" applyBorder="1" applyAlignment="1">
      <alignment vertical="center"/>
    </xf>
    <xf numFmtId="170" fontId="1" fillId="0" borderId="15" xfId="0" quotePrefix="1" applyNumberFormat="1" applyFont="1" applyBorder="1" applyAlignment="1">
      <alignment vertical="center"/>
    </xf>
    <xf numFmtId="172" fontId="1" fillId="0" borderId="37" xfId="0" applyNumberFormat="1" applyFont="1" applyBorder="1" applyAlignment="1">
      <alignment vertical="center"/>
    </xf>
    <xf numFmtId="0" fontId="1" fillId="0" borderId="37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71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71" fontId="1" fillId="0" borderId="38" xfId="0" applyNumberFormat="1" applyFont="1" applyBorder="1" applyAlignment="1">
      <alignment vertical="top"/>
    </xf>
    <xf numFmtId="0" fontId="1" fillId="0" borderId="37" xfId="0" applyFont="1" applyBorder="1" applyAlignment="1">
      <alignment horizontal="left" vertical="top" wrapText="1"/>
    </xf>
    <xf numFmtId="171" fontId="1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horizontal="right" vertical="top" wrapText="1"/>
    </xf>
    <xf numFmtId="171" fontId="1" fillId="22" borderId="0" xfId="0" applyNumberFormat="1" applyFont="1" applyFill="1" applyAlignment="1">
      <alignment vertical="top" wrapText="1"/>
    </xf>
    <xf numFmtId="171" fontId="1" fillId="0" borderId="38" xfId="0" applyNumberFormat="1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172" fontId="45" fillId="0" borderId="0" xfId="79"/>
    <xf numFmtId="172" fontId="1" fillId="0" borderId="0" xfId="79" applyFont="1" applyAlignment="1">
      <alignment vertical="center"/>
    </xf>
    <xf numFmtId="172" fontId="47" fillId="0" borderId="0" xfId="79" applyFont="1" applyAlignment="1">
      <alignment vertical="center"/>
    </xf>
    <xf numFmtId="172" fontId="46" fillId="0" borderId="17" xfId="79" applyFont="1" applyBorder="1" applyAlignment="1">
      <alignment vertical="center"/>
    </xf>
    <xf numFmtId="172" fontId="46" fillId="0" borderId="12" xfId="79" applyFont="1" applyBorder="1" applyAlignment="1">
      <alignment horizontal="right" vertical="center"/>
    </xf>
    <xf numFmtId="172" fontId="46" fillId="0" borderId="18" xfId="79" applyFont="1" applyBorder="1" applyAlignment="1">
      <alignment horizontal="right" vertical="center"/>
    </xf>
    <xf numFmtId="172" fontId="46" fillId="0" borderId="37" xfId="79" applyFont="1" applyBorder="1" applyAlignment="1">
      <alignment vertical="center"/>
    </xf>
    <xf numFmtId="172" fontId="46" fillId="0" borderId="0" xfId="79" applyFont="1" applyAlignment="1">
      <alignment horizontal="right" vertical="center"/>
    </xf>
    <xf numFmtId="172" fontId="46" fillId="0" borderId="38" xfId="79" applyFont="1" applyBorder="1" applyAlignment="1">
      <alignment horizontal="right" vertical="center"/>
    </xf>
    <xf numFmtId="172" fontId="46" fillId="0" borderId="0" xfId="79" applyFont="1" applyAlignment="1">
      <alignment vertical="center"/>
    </xf>
    <xf numFmtId="172" fontId="46" fillId="0" borderId="15" xfId="79" applyFont="1" applyBorder="1" applyAlignment="1">
      <alignment vertical="center"/>
    </xf>
    <xf numFmtId="172" fontId="46" fillId="0" borderId="13" xfId="79" applyFont="1" applyBorder="1" applyAlignment="1">
      <alignment horizontal="right" vertical="center"/>
    </xf>
    <xf numFmtId="172" fontId="46" fillId="0" borderId="13" xfId="79" quotePrefix="1" applyFont="1" applyBorder="1" applyAlignment="1">
      <alignment horizontal="right" vertical="center"/>
    </xf>
    <xf numFmtId="172" fontId="46" fillId="0" borderId="16" xfId="79" applyFont="1" applyBorder="1" applyAlignment="1">
      <alignment horizontal="right" vertical="center"/>
    </xf>
    <xf numFmtId="172" fontId="44" fillId="0" borderId="17" xfId="79" applyFont="1" applyBorder="1" applyAlignment="1">
      <alignment vertical="center"/>
    </xf>
    <xf numFmtId="172" fontId="46" fillId="0" borderId="12" xfId="79" applyFont="1" applyBorder="1" applyAlignment="1">
      <alignment horizontal="centerContinuous" vertical="center"/>
    </xf>
    <xf numFmtId="172" fontId="44" fillId="0" borderId="12" xfId="79" applyFont="1" applyBorder="1" applyAlignment="1">
      <alignment horizontal="centerContinuous" vertical="center"/>
    </xf>
    <xf numFmtId="172" fontId="44" fillId="0" borderId="18" xfId="79" applyFont="1" applyBorder="1" applyAlignment="1">
      <alignment vertical="center"/>
    </xf>
    <xf numFmtId="172" fontId="8" fillId="0" borderId="0" xfId="79" applyFont="1" applyAlignment="1">
      <alignment horizontal="left" vertical="center"/>
    </xf>
    <xf numFmtId="172" fontId="44" fillId="0" borderId="37" xfId="79" applyFont="1" applyBorder="1" applyAlignment="1">
      <alignment vertical="center"/>
    </xf>
    <xf numFmtId="169" fontId="44" fillId="0" borderId="0" xfId="79" applyNumberFormat="1" applyFont="1" applyAlignment="1">
      <alignment horizontal="right" vertical="center"/>
    </xf>
    <xf numFmtId="165" fontId="44" fillId="0" borderId="38" xfId="79" quotePrefix="1" applyNumberFormat="1" applyFont="1" applyBorder="1" applyAlignment="1">
      <alignment horizontal="right" vertical="center"/>
    </xf>
    <xf numFmtId="172" fontId="45" fillId="0" borderId="0" xfId="79" applyAlignment="1">
      <alignment vertical="center"/>
    </xf>
    <xf numFmtId="169" fontId="44" fillId="0" borderId="0" xfId="79" applyNumberFormat="1" applyFont="1" applyAlignment="1">
      <alignment vertical="center"/>
    </xf>
    <xf numFmtId="169" fontId="44" fillId="0" borderId="13" xfId="79" applyNumberFormat="1" applyFont="1" applyBorder="1" applyAlignment="1">
      <alignment vertical="center"/>
    </xf>
    <xf numFmtId="165" fontId="44" fillId="0" borderId="16" xfId="79" quotePrefix="1" applyNumberFormat="1" applyFont="1" applyBorder="1" applyAlignment="1">
      <alignment horizontal="right" vertical="center"/>
    </xf>
    <xf numFmtId="172" fontId="44" fillId="0" borderId="36" xfId="79" applyFont="1" applyBorder="1" applyAlignment="1">
      <alignment vertical="center"/>
    </xf>
    <xf numFmtId="169" fontId="44" fillId="0" borderId="11" xfId="79" applyNumberFormat="1" applyFont="1" applyBorder="1" applyAlignment="1">
      <alignment vertical="center"/>
    </xf>
    <xf numFmtId="165" fontId="44" fillId="0" borderId="14" xfId="79" quotePrefix="1" applyNumberFormat="1" applyFont="1" applyBorder="1" applyAlignment="1">
      <alignment horizontal="right" vertical="center"/>
    </xf>
    <xf numFmtId="40" fontId="44" fillId="0" borderId="0" xfId="80" applyFont="1" applyAlignment="1">
      <alignment vertical="center"/>
    </xf>
    <xf numFmtId="172" fontId="44" fillId="0" borderId="0" xfId="79" applyFont="1" applyAlignment="1">
      <alignment vertical="center"/>
    </xf>
    <xf numFmtId="172" fontId="45" fillId="0" borderId="0" xfId="79" applyAlignment="1">
      <alignment horizontal="left" vertical="center"/>
    </xf>
    <xf numFmtId="172" fontId="45" fillId="0" borderId="0" xfId="79" quotePrefix="1" applyAlignment="1">
      <alignment horizontal="left" vertical="center"/>
    </xf>
    <xf numFmtId="38" fontId="44" fillId="0" borderId="0" xfId="79" applyNumberFormat="1" applyFont="1" applyAlignment="1">
      <alignment horizontal="right" vertical="center"/>
    </xf>
    <xf numFmtId="38" fontId="44" fillId="0" borderId="0" xfId="79" applyNumberFormat="1" applyFont="1" applyAlignment="1">
      <alignment vertical="center"/>
    </xf>
    <xf numFmtId="165" fontId="44" fillId="0" borderId="38" xfId="79" applyNumberFormat="1" applyFont="1" applyBorder="1" applyAlignment="1">
      <alignment vertical="center"/>
    </xf>
    <xf numFmtId="165" fontId="44" fillId="0" borderId="38" xfId="79" applyNumberFormat="1" applyFont="1" applyBorder="1" applyAlignment="1">
      <alignment horizontal="right" vertical="center"/>
    </xf>
    <xf numFmtId="38" fontId="44" fillId="0" borderId="0" xfId="79" quotePrefix="1" applyNumberFormat="1" applyFont="1" applyAlignment="1">
      <alignment vertical="center"/>
    </xf>
    <xf numFmtId="172" fontId="44" fillId="0" borderId="15" xfId="79" applyFont="1" applyBorder="1" applyAlignment="1">
      <alignment vertical="center"/>
    </xf>
    <xf numFmtId="38" fontId="44" fillId="0" borderId="13" xfId="79" applyNumberFormat="1" applyFont="1" applyBorder="1" applyAlignment="1">
      <alignment vertical="center"/>
    </xf>
    <xf numFmtId="165" fontId="44" fillId="0" borderId="16" xfId="79" applyNumberFormat="1" applyFont="1" applyBorder="1" applyAlignment="1">
      <alignment vertical="center"/>
    </xf>
    <xf numFmtId="38" fontId="44" fillId="0" borderId="11" xfId="79" applyNumberFormat="1" applyFont="1" applyBorder="1" applyAlignment="1">
      <alignment vertical="center"/>
    </xf>
    <xf numFmtId="165" fontId="44" fillId="0" borderId="14" xfId="79" applyNumberFormat="1" applyFont="1" applyBorder="1" applyAlignment="1">
      <alignment vertical="center"/>
    </xf>
    <xf numFmtId="172" fontId="45" fillId="0" borderId="0" xfId="79" quotePrefix="1" applyAlignment="1">
      <alignment horizontal="left" vertical="center" wrapText="1"/>
    </xf>
    <xf numFmtId="40" fontId="44" fillId="0" borderId="0" xfId="80" quotePrefix="1" applyFont="1" applyAlignment="1">
      <alignment horizontal="left" vertical="center" wrapText="1"/>
    </xf>
    <xf numFmtId="40" fontId="44" fillId="0" borderId="0" xfId="80" applyFont="1" applyAlignment="1">
      <alignment horizontal="left" vertical="center" wrapText="1"/>
    </xf>
    <xf numFmtId="172" fontId="46" fillId="0" borderId="0" xfId="79" quotePrefix="1" applyFont="1"/>
    <xf numFmtId="172" fontId="46" fillId="0" borderId="0" xfId="79" applyFont="1" applyAlignment="1">
      <alignment horizontal="center" vertical="center"/>
    </xf>
    <xf numFmtId="165" fontId="44" fillId="0" borderId="0" xfId="79" quotePrefix="1" applyNumberFormat="1" applyFont="1" applyAlignment="1">
      <alignment horizontal="right" vertical="center"/>
    </xf>
    <xf numFmtId="38" fontId="44" fillId="0" borderId="0" xfId="80" applyNumberFormat="1" applyFont="1" applyAlignment="1">
      <alignment vertical="center"/>
    </xf>
    <xf numFmtId="165" fontId="44" fillId="0" borderId="38" xfId="81" applyNumberFormat="1" applyFont="1" applyBorder="1" applyAlignment="1">
      <alignment horizontal="right" vertical="center"/>
    </xf>
    <xf numFmtId="172" fontId="44" fillId="0" borderId="0" xfId="79" applyFont="1" applyAlignment="1">
      <alignment horizontal="right"/>
    </xf>
    <xf numFmtId="172" fontId="44" fillId="0" borderId="0" xfId="79" applyFont="1"/>
    <xf numFmtId="172" fontId="48" fillId="0" borderId="17" xfId="79" applyFont="1" applyBorder="1" applyAlignment="1">
      <alignment horizontal="left" vertical="center"/>
    </xf>
    <xf numFmtId="38" fontId="40" fillId="0" borderId="12" xfId="79" applyNumberFormat="1" applyFont="1" applyBorder="1" applyAlignment="1">
      <alignment horizontal="right" vertical="center"/>
    </xf>
    <xf numFmtId="38" fontId="40" fillId="0" borderId="18" xfId="79" applyNumberFormat="1" applyFont="1" applyBorder="1" applyAlignment="1">
      <alignment horizontal="right" vertical="center"/>
    </xf>
    <xf numFmtId="172" fontId="45" fillId="0" borderId="0" xfId="79" applyAlignment="1">
      <alignment horizontal="right"/>
    </xf>
    <xf numFmtId="172" fontId="48" fillId="0" borderId="37" xfId="79" applyFont="1" applyBorder="1" applyAlignment="1">
      <alignment horizontal="left" vertical="center"/>
    </xf>
    <xf numFmtId="0" fontId="40" fillId="0" borderId="0" xfId="79" applyNumberFormat="1" applyFont="1" applyAlignment="1">
      <alignment horizontal="right" vertical="center"/>
    </xf>
    <xf numFmtId="38" fontId="49" fillId="0" borderId="0" xfId="79" applyNumberFormat="1" applyFont="1" applyAlignment="1">
      <alignment horizontal="right" vertical="center"/>
    </xf>
    <xf numFmtId="38" fontId="40" fillId="0" borderId="38" xfId="79" applyNumberFormat="1" applyFont="1" applyBorder="1" applyAlignment="1">
      <alignment horizontal="right" vertical="center"/>
    </xf>
    <xf numFmtId="172" fontId="46" fillId="0" borderId="15" xfId="79" applyFont="1" applyBorder="1" applyAlignment="1">
      <alignment horizontal="left" vertical="center"/>
    </xf>
    <xf numFmtId="0" fontId="40" fillId="0" borderId="13" xfId="79" applyNumberFormat="1" applyFont="1" applyBorder="1" applyAlignment="1">
      <alignment horizontal="right" vertical="center"/>
    </xf>
    <xf numFmtId="0" fontId="40" fillId="0" borderId="16" xfId="79" applyNumberFormat="1" applyFont="1" applyBorder="1" applyAlignment="1">
      <alignment horizontal="right" vertical="center"/>
    </xf>
    <xf numFmtId="172" fontId="1" fillId="0" borderId="17" xfId="79" applyFont="1" applyBorder="1" applyAlignment="1">
      <alignment horizontal="left" vertical="center"/>
    </xf>
    <xf numFmtId="38" fontId="50" fillId="0" borderId="11" xfId="79" applyNumberFormat="1" applyFont="1" applyBorder="1" applyAlignment="1">
      <alignment horizontal="center" vertical="center" wrapText="1" readingOrder="1"/>
    </xf>
    <xf numFmtId="38" fontId="50" fillId="0" borderId="11" xfId="79" quotePrefix="1" applyNumberFormat="1" applyFont="1" applyBorder="1" applyAlignment="1">
      <alignment horizontal="center" vertical="center" wrapText="1"/>
    </xf>
    <xf numFmtId="38" fontId="48" fillId="0" borderId="11" xfId="79" applyNumberFormat="1" applyFont="1" applyBorder="1" applyAlignment="1">
      <alignment horizontal="center" vertical="center"/>
    </xf>
    <xf numFmtId="38" fontId="46" fillId="0" borderId="11" xfId="79" applyNumberFormat="1" applyFont="1" applyBorder="1" applyAlignment="1">
      <alignment horizontal="center" vertical="center" wrapText="1"/>
    </xf>
    <xf numFmtId="38" fontId="46" fillId="0" borderId="14" xfId="79" quotePrefix="1" applyNumberFormat="1" applyFont="1" applyBorder="1" applyAlignment="1">
      <alignment horizontal="center" vertical="center" wrapText="1"/>
    </xf>
    <xf numFmtId="172" fontId="45" fillId="0" borderId="0" xfId="79" applyAlignment="1">
      <alignment horizontal="center" vertical="center"/>
    </xf>
    <xf numFmtId="172" fontId="44" fillId="0" borderId="0" xfId="79" applyFont="1" applyAlignment="1">
      <alignment horizontal="right" vertical="center"/>
    </xf>
    <xf numFmtId="172" fontId="8" fillId="0" borderId="0" xfId="79" applyFont="1" applyAlignment="1">
      <alignment horizontal="right" vertical="center"/>
    </xf>
    <xf numFmtId="172" fontId="45" fillId="0" borderId="0" xfId="79" applyAlignment="1">
      <alignment horizontal="right" vertical="center"/>
    </xf>
    <xf numFmtId="172" fontId="44" fillId="0" borderId="19" xfId="79" applyFont="1" applyBorder="1" applyAlignment="1">
      <alignment horizontal="left" vertical="center"/>
    </xf>
    <xf numFmtId="38" fontId="47" fillId="0" borderId="20" xfId="79" applyNumberFormat="1" applyFont="1" applyBorder="1" applyAlignment="1">
      <alignment horizontal="right" vertical="center"/>
    </xf>
    <xf numFmtId="38" fontId="44" fillId="0" borderId="20" xfId="79" applyNumberFormat="1" applyFont="1" applyBorder="1" applyAlignment="1">
      <alignment horizontal="right" vertical="center"/>
    </xf>
    <xf numFmtId="38" fontId="47" fillId="0" borderId="21" xfId="80" applyNumberFormat="1" applyFont="1" applyBorder="1" applyAlignment="1">
      <alignment horizontal="right" vertical="center"/>
    </xf>
    <xf numFmtId="38" fontId="44" fillId="0" borderId="39" xfId="79" applyNumberFormat="1" applyFont="1" applyBorder="1" applyAlignment="1">
      <alignment horizontal="right" vertical="center"/>
    </xf>
    <xf numFmtId="37" fontId="44" fillId="0" borderId="0" xfId="79" applyNumberFormat="1" applyFont="1" applyAlignment="1">
      <alignment horizontal="right" vertical="center"/>
    </xf>
    <xf numFmtId="165" fontId="44" fillId="0" borderId="0" xfId="79" applyNumberFormat="1" applyFont="1" applyAlignment="1">
      <alignment horizontal="right" vertical="center"/>
    </xf>
    <xf numFmtId="172" fontId="44" fillId="0" borderId="40" xfId="79" applyFont="1" applyBorder="1" applyAlignment="1">
      <alignment horizontal="left" vertical="center"/>
    </xf>
    <xf numFmtId="38" fontId="44" fillId="0" borderId="23" xfId="79" applyNumberFormat="1" applyFont="1" applyBorder="1" applyAlignment="1">
      <alignment horizontal="right" vertical="center"/>
    </xf>
    <xf numFmtId="38" fontId="44" fillId="0" borderId="24" xfId="79" quotePrefix="1" applyNumberFormat="1" applyFont="1" applyBorder="1" applyAlignment="1">
      <alignment horizontal="right" vertical="center"/>
    </xf>
    <xf numFmtId="38" fontId="44" fillId="0" borderId="41" xfId="79" applyNumberFormat="1" applyFont="1" applyBorder="1" applyAlignment="1">
      <alignment horizontal="right" vertical="center"/>
    </xf>
    <xf numFmtId="38" fontId="47" fillId="0" borderId="23" xfId="79" applyNumberFormat="1" applyFont="1" applyBorder="1" applyAlignment="1">
      <alignment horizontal="right" vertical="center"/>
    </xf>
    <xf numFmtId="38" fontId="47" fillId="0" borderId="24" xfId="79" applyNumberFormat="1" applyFont="1" applyBorder="1" applyAlignment="1">
      <alignment horizontal="right" vertical="center"/>
    </xf>
    <xf numFmtId="38" fontId="44" fillId="0" borderId="42" xfId="79" applyNumberFormat="1" applyFont="1" applyBorder="1" applyAlignment="1">
      <alignment horizontal="right" vertical="center"/>
    </xf>
    <xf numFmtId="38" fontId="44" fillId="0" borderId="24" xfId="79" applyNumberFormat="1" applyFont="1" applyBorder="1" applyAlignment="1">
      <alignment horizontal="right" vertical="center"/>
    </xf>
    <xf numFmtId="38" fontId="47" fillId="0" borderId="24" xfId="79" quotePrefix="1" applyNumberFormat="1" applyFont="1" applyBorder="1" applyAlignment="1">
      <alignment horizontal="right" vertical="center"/>
    </xf>
    <xf numFmtId="38" fontId="47" fillId="0" borderId="26" xfId="79" applyNumberFormat="1" applyFont="1" applyBorder="1" applyAlignment="1">
      <alignment horizontal="right" vertical="center"/>
    </xf>
    <xf numFmtId="172" fontId="44" fillId="0" borderId="43" xfId="79" applyFont="1" applyBorder="1" applyAlignment="1">
      <alignment horizontal="left" vertical="center"/>
    </xf>
    <xf numFmtId="38" fontId="44" fillId="0" borderId="44" xfId="79" applyNumberFormat="1" applyFont="1" applyBorder="1" applyAlignment="1">
      <alignment horizontal="right" vertical="center"/>
    </xf>
    <xf numFmtId="38" fontId="44" fillId="0" borderId="45" xfId="79" applyNumberFormat="1" applyFont="1" applyBorder="1" applyAlignment="1">
      <alignment horizontal="right" vertical="center"/>
    </xf>
    <xf numFmtId="38" fontId="8" fillId="0" borderId="0" xfId="79" applyNumberFormat="1" applyFont="1" applyAlignment="1">
      <alignment horizontal="right" vertical="center"/>
    </xf>
    <xf numFmtId="172" fontId="45" fillId="0" borderId="0" xfId="79" applyAlignment="1">
      <alignment horizontal="left"/>
    </xf>
    <xf numFmtId="38" fontId="1" fillId="0" borderId="0" xfId="79" applyNumberFormat="1" applyFont="1" applyAlignment="1">
      <alignment horizontal="right" vertical="center"/>
    </xf>
    <xf numFmtId="172" fontId="1" fillId="0" borderId="0" xfId="79" applyFont="1" applyAlignment="1">
      <alignment horizontal="right" vertical="center"/>
    </xf>
    <xf numFmtId="172" fontId="40" fillId="0" borderId="0" xfId="79" applyFont="1" applyAlignment="1">
      <alignment horizontal="left" vertical="center"/>
    </xf>
    <xf numFmtId="172" fontId="1" fillId="0" borderId="0" xfId="79" applyFont="1" applyAlignment="1">
      <alignment horizontal="left" vertical="center"/>
    </xf>
    <xf numFmtId="38" fontId="45" fillId="0" borderId="0" xfId="79" applyNumberFormat="1" applyAlignment="1">
      <alignment horizontal="right"/>
    </xf>
    <xf numFmtId="172" fontId="1" fillId="0" borderId="0" xfId="79" quotePrefix="1" applyFont="1"/>
    <xf numFmtId="38" fontId="44" fillId="0" borderId="0" xfId="79" applyNumberFormat="1" applyFont="1" applyAlignment="1">
      <alignment horizontal="right"/>
    </xf>
    <xf numFmtId="38" fontId="46" fillId="0" borderId="0" xfId="79" applyNumberFormat="1" applyFont="1" applyAlignment="1">
      <alignment horizontal="right" vertical="center"/>
    </xf>
    <xf numFmtId="172" fontId="1" fillId="0" borderId="36" xfId="79" applyFont="1" applyBorder="1" applyAlignment="1">
      <alignment vertical="center"/>
    </xf>
    <xf numFmtId="38" fontId="50" fillId="0" borderId="11" xfId="79" applyNumberFormat="1" applyFont="1" applyBorder="1" applyAlignment="1">
      <alignment horizontal="center" vertical="center" wrapText="1"/>
    </xf>
    <xf numFmtId="38" fontId="44" fillId="0" borderId="26" xfId="79" applyNumberFormat="1" applyFont="1" applyBorder="1" applyAlignment="1">
      <alignment horizontal="right" vertical="center"/>
    </xf>
    <xf numFmtId="38" fontId="47" fillId="0" borderId="27" xfId="79" applyNumberFormat="1" applyFont="1" applyBorder="1" applyAlignment="1">
      <alignment horizontal="right" vertical="center"/>
    </xf>
    <xf numFmtId="38" fontId="44" fillId="0" borderId="46" xfId="79" applyNumberFormat="1" applyFont="1" applyBorder="1" applyAlignment="1">
      <alignment horizontal="right" vertical="center"/>
    </xf>
    <xf numFmtId="38" fontId="44" fillId="0" borderId="20" xfId="80" applyNumberFormat="1" applyFont="1" applyBorder="1" applyAlignment="1">
      <alignment horizontal="right" vertical="center"/>
    </xf>
    <xf numFmtId="172" fontId="46" fillId="0" borderId="47" xfId="79" quotePrefix="1" applyFont="1" applyBorder="1" applyAlignment="1">
      <alignment horizontal="left" vertical="center"/>
    </xf>
    <xf numFmtId="38" fontId="46" fillId="0" borderId="26" xfId="79" quotePrefix="1" applyNumberFormat="1" applyFont="1" applyBorder="1" applyAlignment="1">
      <alignment horizontal="left" vertical="center"/>
    </xf>
    <xf numFmtId="38" fontId="44" fillId="0" borderId="26" xfId="80" applyNumberFormat="1" applyFont="1" applyBorder="1" applyAlignment="1">
      <alignment horizontal="right" vertical="center"/>
    </xf>
    <xf numFmtId="38" fontId="8" fillId="0" borderId="46" xfId="79" applyNumberFormat="1" applyFont="1" applyBorder="1" applyAlignment="1">
      <alignment horizontal="right" vertical="center"/>
    </xf>
    <xf numFmtId="38" fontId="44" fillId="0" borderId="0" xfId="80" applyNumberFormat="1" applyFont="1" applyAlignment="1">
      <alignment horizontal="right" vertical="center"/>
    </xf>
    <xf numFmtId="38" fontId="1" fillId="0" borderId="0" xfId="80" applyNumberFormat="1" applyFont="1" applyAlignment="1">
      <alignment horizontal="right" vertical="center"/>
    </xf>
    <xf numFmtId="172" fontId="40" fillId="0" borderId="0" xfId="79" applyFont="1" applyAlignment="1">
      <alignment horizontal="left"/>
    </xf>
    <xf numFmtId="38" fontId="1" fillId="0" borderId="0" xfId="80" applyNumberFormat="1" applyFont="1" applyAlignment="1">
      <alignment horizontal="right"/>
    </xf>
    <xf numFmtId="170" fontId="46" fillId="0" borderId="15" xfId="79" applyNumberFormat="1" applyFont="1" applyBorder="1" applyAlignment="1">
      <alignment horizontal="left" vertical="center"/>
    </xf>
    <xf numFmtId="172" fontId="1" fillId="0" borderId="36" xfId="79" applyFont="1" applyBorder="1" applyAlignment="1">
      <alignment horizontal="left" vertical="center"/>
    </xf>
    <xf numFmtId="38" fontId="46" fillId="0" borderId="14" xfId="79" applyNumberFormat="1" applyFont="1" applyBorder="1" applyAlignment="1">
      <alignment horizontal="center" vertical="center" wrapText="1"/>
    </xf>
    <xf numFmtId="172" fontId="44" fillId="0" borderId="48" xfId="79" applyFont="1" applyBorder="1" applyAlignment="1">
      <alignment horizontal="left" vertical="center"/>
    </xf>
    <xf numFmtId="173" fontId="47" fillId="0" borderId="29" xfId="79" applyNumberFormat="1" applyFont="1" applyBorder="1" applyAlignment="1">
      <alignment horizontal="right" vertical="center"/>
    </xf>
    <xf numFmtId="173" fontId="44" fillId="0" borderId="29" xfId="79" applyNumberFormat="1" applyFont="1" applyBorder="1" applyAlignment="1">
      <alignment horizontal="right" vertical="center"/>
    </xf>
    <xf numFmtId="173" fontId="44" fillId="0" borderId="42" xfId="79" applyNumberFormat="1" applyFont="1" applyBorder="1" applyAlignment="1">
      <alignment horizontal="right" vertical="center"/>
    </xf>
    <xf numFmtId="173" fontId="44" fillId="0" borderId="23" xfId="79" applyNumberFormat="1" applyFont="1" applyBorder="1" applyAlignment="1">
      <alignment horizontal="right" vertical="center"/>
    </xf>
    <xf numFmtId="173" fontId="44" fillId="0" borderId="23" xfId="79" quotePrefix="1" applyNumberFormat="1" applyFont="1" applyBorder="1" applyAlignment="1">
      <alignment horizontal="right" vertical="center"/>
    </xf>
    <xf numFmtId="173" fontId="44" fillId="0" borderId="41" xfId="79" applyNumberFormat="1" applyFont="1" applyBorder="1" applyAlignment="1">
      <alignment horizontal="right" vertical="center"/>
    </xf>
    <xf numFmtId="173" fontId="47" fillId="0" borderId="23" xfId="79" applyNumberFormat="1" applyFont="1" applyBorder="1" applyAlignment="1">
      <alignment horizontal="right" vertical="center"/>
    </xf>
    <xf numFmtId="173" fontId="44" fillId="0" borderId="41" xfId="79" quotePrefix="1" applyNumberFormat="1" applyFont="1" applyBorder="1" applyAlignment="1">
      <alignment horizontal="right" vertical="center"/>
    </xf>
    <xf numFmtId="173" fontId="47" fillId="0" borderId="23" xfId="79" quotePrefix="1" applyNumberFormat="1" applyFont="1" applyBorder="1" applyAlignment="1">
      <alignment horizontal="right" vertical="center"/>
    </xf>
    <xf numFmtId="173" fontId="44" fillId="0" borderId="42" xfId="79" quotePrefix="1" applyNumberFormat="1" applyFont="1" applyBorder="1" applyAlignment="1">
      <alignment horizontal="right" vertical="center"/>
    </xf>
    <xf numFmtId="172" fontId="44" fillId="0" borderId="47" xfId="79" applyFont="1" applyBorder="1" applyAlignment="1">
      <alignment horizontal="left" vertical="center"/>
    </xf>
    <xf numFmtId="173" fontId="47" fillId="0" borderId="26" xfId="79" applyNumberFormat="1" applyFont="1" applyBorder="1" applyAlignment="1">
      <alignment horizontal="right" vertical="center"/>
    </xf>
    <xf numFmtId="173" fontId="44" fillId="0" borderId="26" xfId="79" applyNumberFormat="1" applyFont="1" applyBorder="1" applyAlignment="1">
      <alignment horizontal="right" vertical="center"/>
    </xf>
    <xf numFmtId="173" fontId="44" fillId="0" borderId="46" xfId="79" applyNumberFormat="1" applyFont="1" applyBorder="1" applyAlignment="1">
      <alignment horizontal="right" vertical="center"/>
    </xf>
    <xf numFmtId="172" fontId="44" fillId="0" borderId="49" xfId="79" applyFont="1" applyBorder="1" applyAlignment="1">
      <alignment horizontal="left" vertical="center"/>
    </xf>
    <xf numFmtId="165" fontId="44" fillId="0" borderId="50" xfId="79" applyNumberFormat="1" applyFont="1" applyBorder="1" applyAlignment="1">
      <alignment horizontal="right" vertical="center"/>
    </xf>
    <xf numFmtId="173" fontId="44" fillId="0" borderId="50" xfId="79" applyNumberFormat="1" applyFont="1" applyBorder="1" applyAlignment="1">
      <alignment horizontal="right" vertical="center"/>
    </xf>
    <xf numFmtId="173" fontId="44" fillId="0" borderId="51" xfId="79" applyNumberFormat="1" applyFont="1" applyBorder="1" applyAlignment="1">
      <alignment horizontal="right" vertical="center"/>
    </xf>
    <xf numFmtId="172" fontId="40" fillId="0" borderId="0" xfId="79" applyFont="1"/>
    <xf numFmtId="170" fontId="1" fillId="0" borderId="0" xfId="0" applyNumberFormat="1" applyFont="1" applyAlignment="1">
      <alignment vertical="center"/>
    </xf>
    <xf numFmtId="171" fontId="1" fillId="0" borderId="12" xfId="0" quotePrefix="1" applyNumberFormat="1" applyFont="1" applyBorder="1" applyAlignment="1">
      <alignment vertical="center"/>
    </xf>
    <xf numFmtId="0" fontId="0" fillId="0" borderId="0" xfId="0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13" xfId="0" quotePrefix="1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165" fontId="1" fillId="0" borderId="12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vertical="center"/>
    </xf>
    <xf numFmtId="165" fontId="40" fillId="0" borderId="12" xfId="0" applyNumberFormat="1" applyFont="1" applyBorder="1" applyAlignment="1">
      <alignment vertical="center"/>
    </xf>
    <xf numFmtId="165" fontId="40" fillId="0" borderId="11" xfId="0" applyNumberFormat="1" applyFont="1" applyBorder="1" applyAlignment="1">
      <alignment vertical="center"/>
    </xf>
    <xf numFmtId="170" fontId="40" fillId="34" borderId="0" xfId="0" applyNumberFormat="1" applyFont="1" applyFill="1" applyAlignment="1">
      <alignment vertical="center"/>
    </xf>
    <xf numFmtId="165" fontId="40" fillId="34" borderId="13" xfId="0" applyNumberFormat="1" applyFont="1" applyFill="1" applyBorder="1" applyAlignment="1">
      <alignment vertical="center"/>
    </xf>
    <xf numFmtId="170" fontId="1" fillId="0" borderId="13" xfId="0" applyNumberFormat="1" applyFont="1" applyBorder="1" applyAlignment="1">
      <alignment vertical="center"/>
    </xf>
    <xf numFmtId="0" fontId="27" fillId="19" borderId="17" xfId="78" applyFont="1" applyFill="1" applyBorder="1" applyAlignment="1">
      <alignment horizontal="centerContinuous"/>
    </xf>
    <xf numFmtId="0" fontId="27" fillId="19" borderId="12" xfId="78" applyFont="1" applyFill="1" applyBorder="1" applyAlignment="1">
      <alignment horizontal="center"/>
    </xf>
    <xf numFmtId="0" fontId="27" fillId="19" borderId="18" xfId="78" applyFont="1" applyFill="1" applyBorder="1" applyAlignment="1">
      <alignment horizontal="left"/>
    </xf>
    <xf numFmtId="0" fontId="3" fillId="19" borderId="14" xfId="78" applyFont="1" applyFill="1" applyBorder="1" applyAlignment="1">
      <alignment horizontal="centerContinuous" vertical="center"/>
    </xf>
    <xf numFmtId="0" fontId="3" fillId="20" borderId="14" xfId="78" applyFont="1" applyFill="1" applyBorder="1" applyAlignment="1">
      <alignment horizontal="center" vertical="center"/>
    </xf>
    <xf numFmtId="0" fontId="3" fillId="0" borderId="0" xfId="78" applyFont="1" applyAlignment="1">
      <alignment vertical="center"/>
    </xf>
    <xf numFmtId="0" fontId="3" fillId="0" borderId="0" xfId="78" applyFont="1" applyAlignment="1">
      <alignment horizontal="centerContinuous" vertical="center"/>
    </xf>
    <xf numFmtId="0" fontId="3" fillId="19" borderId="15" xfId="78" applyFont="1" applyFill="1" applyBorder="1" applyAlignment="1">
      <alignment horizontal="center" vertical="center"/>
    </xf>
    <xf numFmtId="0" fontId="3" fillId="19" borderId="13" xfId="78" applyFont="1" applyFill="1" applyBorder="1" applyAlignment="1">
      <alignment horizontal="center" vertical="center"/>
    </xf>
    <xf numFmtId="0" fontId="3" fillId="19" borderId="16" xfId="78" applyFont="1" applyFill="1" applyBorder="1" applyAlignment="1">
      <alignment horizontal="right" vertical="center"/>
    </xf>
    <xf numFmtId="0" fontId="3" fillId="19" borderId="16" xfId="78" applyFont="1" applyFill="1" applyBorder="1" applyAlignment="1">
      <alignment horizontal="center" vertical="center"/>
    </xf>
    <xf numFmtId="0" fontId="3" fillId="20" borderId="16" xfId="78" applyFont="1" applyFill="1" applyBorder="1" applyAlignment="1">
      <alignment horizontal="center" vertical="center"/>
    </xf>
    <xf numFmtId="0" fontId="3" fillId="0" borderId="0" xfId="78" applyFont="1" applyAlignment="1">
      <alignment horizontal="center" vertical="center"/>
    </xf>
    <xf numFmtId="0" fontId="2" fillId="0" borderId="0" xfId="78" applyFont="1"/>
    <xf numFmtId="0" fontId="3" fillId="22" borderId="0" xfId="78" applyFont="1" applyFill="1" applyAlignment="1">
      <alignment horizontal="center"/>
    </xf>
    <xf numFmtId="1" fontId="2" fillId="15" borderId="28" xfId="78" applyNumberFormat="1" applyFont="1" applyFill="1" applyBorder="1"/>
    <xf numFmtId="1" fontId="2" fillId="15" borderId="20" xfId="78" applyNumberFormat="1" applyFont="1" applyFill="1" applyBorder="1"/>
    <xf numFmtId="0" fontId="2" fillId="15" borderId="20" xfId="78" applyFont="1" applyFill="1" applyBorder="1"/>
    <xf numFmtId="169" fontId="2" fillId="0" borderId="0" xfId="78" applyNumberFormat="1" applyFont="1" applyAlignment="1">
      <alignment horizontal="right" vertical="center"/>
    </xf>
    <xf numFmtId="0" fontId="2" fillId="0" borderId="0" xfId="78" applyFont="1" applyProtection="1">
      <protection locked="0"/>
    </xf>
    <xf numFmtId="1" fontId="2" fillId="15" borderId="22" xfId="78" applyNumberFormat="1" applyFont="1" applyFill="1" applyBorder="1"/>
    <xf numFmtId="1" fontId="2" fillId="15" borderId="23" xfId="78" applyNumberFormat="1" applyFont="1" applyFill="1" applyBorder="1"/>
    <xf numFmtId="0" fontId="2" fillId="15" borderId="23" xfId="78" applyFont="1" applyFill="1" applyBorder="1"/>
    <xf numFmtId="1" fontId="25" fillId="15" borderId="22" xfId="78" applyNumberFormat="1" applyFont="1" applyFill="1" applyBorder="1" applyAlignment="1">
      <alignment horizontal="right" vertical="center"/>
    </xf>
    <xf numFmtId="1" fontId="25" fillId="15" borderId="23" xfId="78" applyNumberFormat="1" applyFont="1" applyFill="1" applyBorder="1"/>
    <xf numFmtId="0" fontId="25" fillId="15" borderId="23" xfId="78" applyFont="1" applyFill="1" applyBorder="1"/>
    <xf numFmtId="1" fontId="2" fillId="15" borderId="22" xfId="78" applyNumberFormat="1" applyFont="1" applyFill="1" applyBorder="1" applyAlignment="1">
      <alignment horizontal="right"/>
    </xf>
    <xf numFmtId="1" fontId="2" fillId="15" borderId="22" xfId="78" applyNumberFormat="1" applyFont="1" applyFill="1" applyBorder="1" applyAlignment="1">
      <alignment horizontal="right" vertical="top" wrapText="1"/>
    </xf>
    <xf numFmtId="1" fontId="2" fillId="15" borderId="23" xfId="78" applyNumberFormat="1" applyFont="1" applyFill="1" applyBorder="1" applyAlignment="1">
      <alignment horizontal="right" vertical="top" wrapText="1"/>
    </xf>
    <xf numFmtId="0" fontId="2" fillId="15" borderId="23" xfId="78" applyFont="1" applyFill="1" applyBorder="1" applyAlignment="1">
      <alignment vertical="top" wrapText="1"/>
    </xf>
    <xf numFmtId="0" fontId="25" fillId="0" borderId="0" xfId="78" applyFont="1" applyProtection="1">
      <protection locked="0"/>
    </xf>
    <xf numFmtId="1" fontId="25" fillId="15" borderId="22" xfId="78" applyNumberFormat="1" applyFont="1" applyFill="1" applyBorder="1" applyAlignment="1">
      <alignment horizontal="right" vertical="top" wrapText="1"/>
    </xf>
    <xf numFmtId="0" fontId="25" fillId="15" borderId="23" xfId="78" applyFont="1" applyFill="1" applyBorder="1" applyAlignment="1">
      <alignment vertical="top" wrapText="1"/>
    </xf>
    <xf numFmtId="1" fontId="25" fillId="15" borderId="23" xfId="78" applyNumberFormat="1" applyFont="1" applyFill="1" applyBorder="1" applyAlignment="1">
      <alignment horizontal="left" vertical="top" wrapText="1"/>
    </xf>
    <xf numFmtId="0" fontId="25" fillId="0" borderId="0" xfId="78" applyFont="1" applyAlignment="1" applyProtection="1">
      <alignment vertical="top" wrapText="1"/>
      <protection locked="0"/>
    </xf>
    <xf numFmtId="0" fontId="3" fillId="0" borderId="0" xfId="78" applyFont="1" applyAlignment="1" applyProtection="1">
      <alignment vertical="center"/>
      <protection locked="0"/>
    </xf>
    <xf numFmtId="1" fontId="2" fillId="15" borderId="25" xfId="78" applyNumberFormat="1" applyFont="1" applyFill="1" applyBorder="1"/>
    <xf numFmtId="1" fontId="2" fillId="15" borderId="26" xfId="78" applyNumberFormat="1" applyFont="1" applyFill="1" applyBorder="1"/>
    <xf numFmtId="0" fontId="2" fillId="15" borderId="26" xfId="78" applyFont="1" applyFill="1" applyBorder="1"/>
    <xf numFmtId="1" fontId="3" fillId="15" borderId="11" xfId="78" applyNumberFormat="1" applyFont="1" applyFill="1" applyBorder="1"/>
    <xf numFmtId="0" fontId="3" fillId="15" borderId="11" xfId="78" applyFont="1" applyFill="1" applyBorder="1"/>
    <xf numFmtId="0" fontId="3" fillId="0" borderId="0" xfId="78" applyFont="1" applyProtection="1">
      <protection locked="0"/>
    </xf>
    <xf numFmtId="1" fontId="2" fillId="15" borderId="22" xfId="78" applyNumberFormat="1" applyFont="1" applyFill="1" applyBorder="1" applyAlignment="1">
      <alignment vertical="center"/>
    </xf>
    <xf numFmtId="1" fontId="2" fillId="15" borderId="23" xfId="78" applyNumberFormat="1" applyFont="1" applyFill="1" applyBorder="1" applyAlignment="1">
      <alignment vertical="center"/>
    </xf>
    <xf numFmtId="0" fontId="2" fillId="0" borderId="0" xfId="78" applyFont="1" applyAlignment="1" applyProtection="1">
      <alignment vertical="center"/>
      <protection locked="0"/>
    </xf>
    <xf numFmtId="1" fontId="25" fillId="15" borderId="22" xfId="78" applyNumberFormat="1" applyFont="1" applyFill="1" applyBorder="1" applyAlignment="1">
      <alignment horizontal="right"/>
    </xf>
    <xf numFmtId="1" fontId="3" fillId="15" borderId="11" xfId="78" applyNumberFormat="1" applyFont="1" applyFill="1" applyBorder="1" applyAlignment="1">
      <alignment vertical="center"/>
    </xf>
    <xf numFmtId="1" fontId="2" fillId="15" borderId="11" xfId="78" applyNumberFormat="1" applyFont="1" applyFill="1" applyBorder="1" applyAlignment="1">
      <alignment vertical="center"/>
    </xf>
    <xf numFmtId="0" fontId="3" fillId="15" borderId="11" xfId="78" applyFont="1" applyFill="1" applyBorder="1" applyAlignment="1">
      <alignment vertical="center"/>
    </xf>
    <xf numFmtId="0" fontId="2" fillId="0" borderId="0" xfId="78" applyFont="1" applyAlignment="1">
      <alignment vertical="center"/>
    </xf>
    <xf numFmtId="0" fontId="25" fillId="15" borderId="25" xfId="78" applyFont="1" applyFill="1" applyBorder="1" applyAlignment="1">
      <alignment horizontal="right"/>
    </xf>
    <xf numFmtId="0" fontId="25" fillId="15" borderId="26" xfId="78" applyFont="1" applyFill="1" applyBorder="1"/>
    <xf numFmtId="1" fontId="2" fillId="15" borderId="11" xfId="78" applyNumberFormat="1" applyFont="1" applyFill="1" applyBorder="1"/>
    <xf numFmtId="1" fontId="2" fillId="15" borderId="30" xfId="78" applyNumberFormat="1" applyFont="1" applyFill="1" applyBorder="1" applyAlignment="1">
      <alignment vertical="center"/>
    </xf>
    <xf numFmtId="1" fontId="2" fillId="15" borderId="29" xfId="78" applyNumberFormat="1" applyFont="1" applyFill="1" applyBorder="1" applyAlignment="1">
      <alignment vertical="center"/>
    </xf>
    <xf numFmtId="0" fontId="2" fillId="15" borderId="29" xfId="78" applyFont="1" applyFill="1" applyBorder="1"/>
    <xf numFmtId="1" fontId="2" fillId="15" borderId="22" xfId="78" applyNumberFormat="1" applyFont="1" applyFill="1" applyBorder="1" applyAlignment="1">
      <alignment horizontal="right" vertical="center" wrapText="1"/>
    </xf>
    <xf numFmtId="1" fontId="2" fillId="15" borderId="23" xfId="78" applyNumberFormat="1" applyFont="1" applyFill="1" applyBorder="1" applyAlignment="1">
      <alignment horizontal="right" vertical="center" wrapText="1"/>
    </xf>
    <xf numFmtId="0" fontId="2" fillId="15" borderId="23" xfId="78" applyFont="1" applyFill="1" applyBorder="1" applyAlignment="1">
      <alignment vertical="center" wrapText="1"/>
    </xf>
    <xf numFmtId="1" fontId="2" fillId="15" borderId="23" xfId="78" applyNumberFormat="1" applyFont="1" applyFill="1" applyBorder="1" applyAlignment="1">
      <alignment horizontal="right"/>
    </xf>
    <xf numFmtId="1" fontId="2" fillId="15" borderId="22" xfId="78" applyNumberFormat="1" applyFont="1" applyFill="1" applyBorder="1" applyAlignment="1">
      <alignment vertical="top"/>
    </xf>
    <xf numFmtId="1" fontId="2" fillId="15" borderId="23" xfId="78" applyNumberFormat="1" applyFont="1" applyFill="1" applyBorder="1" applyAlignment="1">
      <alignment vertical="top"/>
    </xf>
    <xf numFmtId="0" fontId="2" fillId="0" borderId="0" xfId="78" applyFont="1" applyAlignment="1" applyProtection="1">
      <alignment vertical="top"/>
      <protection locked="0"/>
    </xf>
    <xf numFmtId="1" fontId="25" fillId="15" borderId="26" xfId="78" applyNumberFormat="1" applyFont="1" applyFill="1" applyBorder="1"/>
    <xf numFmtId="1" fontId="25" fillId="15" borderId="25" xfId="78" applyNumberFormat="1" applyFont="1" applyFill="1" applyBorder="1" applyAlignment="1">
      <alignment horizontal="right"/>
    </xf>
    <xf numFmtId="0" fontId="2" fillId="15" borderId="11" xfId="78" applyFont="1" applyFill="1" applyBorder="1"/>
    <xf numFmtId="0" fontId="2" fillId="15" borderId="0" xfId="78" applyFont="1" applyFill="1"/>
    <xf numFmtId="0" fontId="3" fillId="15" borderId="0" xfId="78" applyFont="1" applyFill="1"/>
    <xf numFmtId="166" fontId="3" fillId="15" borderId="0" xfId="17" applyNumberFormat="1" applyFont="1" applyFill="1" applyBorder="1" applyProtection="1"/>
    <xf numFmtId="0" fontId="3" fillId="0" borderId="0" xfId="78" applyFont="1"/>
    <xf numFmtId="0" fontId="2" fillId="21" borderId="22" xfId="78" applyFont="1" applyFill="1" applyBorder="1" applyAlignment="1">
      <alignment horizontal="right"/>
    </xf>
    <xf numFmtId="0" fontId="2" fillId="21" borderId="23" xfId="78" applyFont="1" applyFill="1" applyBorder="1"/>
    <xf numFmtId="0" fontId="25" fillId="21" borderId="22" xfId="78" applyFont="1" applyFill="1" applyBorder="1" applyAlignment="1">
      <alignment horizontal="right"/>
    </xf>
    <xf numFmtId="0" fontId="25" fillId="21" borderId="23" xfId="78" applyFont="1" applyFill="1" applyBorder="1"/>
    <xf numFmtId="0" fontId="2" fillId="21" borderId="25" xfId="78" applyFont="1" applyFill="1" applyBorder="1" applyAlignment="1">
      <alignment horizontal="right"/>
    </xf>
    <xf numFmtId="0" fontId="2" fillId="21" borderId="26" xfId="78" applyFont="1" applyFill="1" applyBorder="1"/>
    <xf numFmtId="0" fontId="3" fillId="21" borderId="11" xfId="78" applyFont="1" applyFill="1" applyBorder="1" applyAlignment="1">
      <alignment horizontal="right"/>
    </xf>
    <xf numFmtId="0" fontId="3" fillId="21" borderId="11" xfId="78" applyFont="1" applyFill="1" applyBorder="1"/>
    <xf numFmtId="166" fontId="3" fillId="21" borderId="11" xfId="17" applyNumberFormat="1" applyFont="1" applyFill="1" applyBorder="1" applyProtection="1"/>
    <xf numFmtId="0" fontId="2" fillId="21" borderId="22" xfId="78" applyFont="1" applyFill="1" applyBorder="1" applyAlignment="1">
      <alignment horizontal="right" vertical="top" wrapText="1"/>
    </xf>
    <xf numFmtId="0" fontId="2" fillId="21" borderId="23" xfId="78" applyFont="1" applyFill="1" applyBorder="1" applyAlignment="1">
      <alignment vertical="top" wrapText="1"/>
    </xf>
    <xf numFmtId="0" fontId="2" fillId="21" borderId="25" xfId="78" applyFont="1" applyFill="1" applyBorder="1" applyAlignment="1">
      <alignment horizontal="right" vertical="top"/>
    </xf>
    <xf numFmtId="0" fontId="2" fillId="21" borderId="26" xfId="78" applyFont="1" applyFill="1" applyBorder="1" applyAlignment="1">
      <alignment vertical="top" wrapText="1"/>
    </xf>
    <xf numFmtId="0" fontId="2" fillId="21" borderId="11" xfId="78" applyFont="1" applyFill="1" applyBorder="1"/>
    <xf numFmtId="0" fontId="2" fillId="21" borderId="0" xfId="78" applyFont="1" applyFill="1"/>
    <xf numFmtId="0" fontId="3" fillId="21" borderId="0" xfId="78" applyFont="1" applyFill="1"/>
    <xf numFmtId="166" fontId="3" fillId="21" borderId="0" xfId="17" applyNumberFormat="1" applyFont="1" applyFill="1" applyBorder="1" applyProtection="1"/>
    <xf numFmtId="0" fontId="3" fillId="16" borderId="0" xfId="78" applyFont="1" applyFill="1"/>
    <xf numFmtId="0" fontId="2" fillId="16" borderId="0" xfId="78" applyFont="1" applyFill="1"/>
    <xf numFmtId="0" fontId="3" fillId="16" borderId="30" xfId="78" applyFont="1" applyFill="1" applyBorder="1"/>
    <xf numFmtId="0" fontId="3" fillId="16" borderId="29" xfId="78" applyFont="1" applyFill="1" applyBorder="1"/>
    <xf numFmtId="0" fontId="3" fillId="16" borderId="22" xfId="78" applyFont="1" applyFill="1" applyBorder="1" applyAlignment="1">
      <alignment horizontal="right" vertical="top"/>
    </xf>
    <xf numFmtId="0" fontId="3" fillId="16" borderId="23" xfId="78" applyFont="1" applyFill="1" applyBorder="1"/>
    <xf numFmtId="0" fontId="25" fillId="16" borderId="22" xfId="78" applyFont="1" applyFill="1" applyBorder="1" applyAlignment="1">
      <alignment horizontal="right" vertical="top"/>
    </xf>
    <xf numFmtId="0" fontId="25" fillId="16" borderId="23" xfId="78" applyFont="1" applyFill="1" applyBorder="1"/>
    <xf numFmtId="0" fontId="25" fillId="16" borderId="22" xfId="78" applyFont="1" applyFill="1" applyBorder="1" applyAlignment="1">
      <alignment horizontal="right" vertical="top" wrapText="1"/>
    </xf>
    <xf numFmtId="0" fontId="25" fillId="16" borderId="23" xfId="78" applyFont="1" applyFill="1" applyBorder="1" applyAlignment="1">
      <alignment vertical="top"/>
    </xf>
    <xf numFmtId="0" fontId="25" fillId="16" borderId="23" xfId="78" applyFont="1" applyFill="1" applyBorder="1" applyAlignment="1">
      <alignment vertical="top" wrapText="1"/>
    </xf>
    <xf numFmtId="0" fontId="2" fillId="0" borderId="0" xfId="78" applyFont="1" applyAlignment="1" applyProtection="1">
      <alignment vertical="top" wrapText="1"/>
      <protection locked="0"/>
    </xf>
    <xf numFmtId="0" fontId="2" fillId="16" borderId="22" xfId="78" applyFont="1" applyFill="1" applyBorder="1" applyAlignment="1">
      <alignment horizontal="right" vertical="top"/>
    </xf>
    <xf numFmtId="0" fontId="2" fillId="16" borderId="23" xfId="78" applyFont="1" applyFill="1" applyBorder="1"/>
    <xf numFmtId="0" fontId="2" fillId="16" borderId="22" xfId="78" applyFont="1" applyFill="1" applyBorder="1" applyAlignment="1">
      <alignment horizontal="right" vertical="top" wrapText="1"/>
    </xf>
    <xf numFmtId="0" fontId="2" fillId="16" borderId="23" xfId="78" applyFont="1" applyFill="1" applyBorder="1" applyAlignment="1">
      <alignment vertical="top" wrapText="1"/>
    </xf>
    <xf numFmtId="0" fontId="2" fillId="16" borderId="25" xfId="78" applyFont="1" applyFill="1" applyBorder="1" applyAlignment="1">
      <alignment horizontal="right" vertical="top"/>
    </xf>
    <xf numFmtId="0" fontId="2" fillId="16" borderId="26" xfId="78" applyFont="1" applyFill="1" applyBorder="1"/>
    <xf numFmtId="0" fontId="3" fillId="16" borderId="11" xfId="78" applyFont="1" applyFill="1" applyBorder="1"/>
    <xf numFmtId="0" fontId="2" fillId="16" borderId="11" xfId="78" applyFont="1" applyFill="1" applyBorder="1"/>
    <xf numFmtId="166" fontId="3" fillId="16" borderId="11" xfId="17" applyNumberFormat="1" applyFont="1" applyFill="1" applyBorder="1" applyProtection="1"/>
    <xf numFmtId="0" fontId="3" fillId="16" borderId="22" xfId="78" applyFont="1" applyFill="1" applyBorder="1" applyAlignment="1">
      <alignment horizontal="right"/>
    </xf>
    <xf numFmtId="0" fontId="2" fillId="16" borderId="22" xfId="78" applyFont="1" applyFill="1" applyBorder="1" applyAlignment="1">
      <alignment horizontal="right"/>
    </xf>
    <xf numFmtId="0" fontId="25" fillId="16" borderId="22" xfId="78" applyFont="1" applyFill="1" applyBorder="1" applyAlignment="1">
      <alignment horizontal="right"/>
    </xf>
    <xf numFmtId="0" fontId="25" fillId="16" borderId="25" xfId="78" applyFont="1" applyFill="1" applyBorder="1" applyAlignment="1">
      <alignment horizontal="right"/>
    </xf>
    <xf numFmtId="0" fontId="25" fillId="16" borderId="26" xfId="78" applyFont="1" applyFill="1" applyBorder="1"/>
    <xf numFmtId="0" fontId="3" fillId="16" borderId="35" xfId="78" applyFont="1" applyFill="1" applyBorder="1"/>
    <xf numFmtId="0" fontId="3" fillId="17" borderId="0" xfId="78" applyFont="1" applyFill="1" applyAlignment="1">
      <alignment horizontal="right"/>
    </xf>
    <xf numFmtId="0" fontId="2" fillId="17" borderId="0" xfId="78" applyFont="1" applyFill="1"/>
    <xf numFmtId="0" fontId="2" fillId="17" borderId="32" xfId="78" applyFont="1" applyFill="1" applyBorder="1" applyAlignment="1">
      <alignment horizontal="right"/>
    </xf>
    <xf numFmtId="0" fontId="2" fillId="17" borderId="12" xfId="78" applyFont="1" applyFill="1" applyBorder="1" applyAlignment="1">
      <alignment horizontal="right"/>
    </xf>
    <xf numFmtId="0" fontId="2" fillId="17" borderId="12" xfId="78" applyFont="1" applyFill="1" applyBorder="1"/>
    <xf numFmtId="0" fontId="2" fillId="17" borderId="33" xfId="78" applyFont="1" applyFill="1" applyBorder="1"/>
    <xf numFmtId="0" fontId="2" fillId="17" borderId="0" xfId="78" applyFont="1" applyFill="1" applyAlignment="1">
      <alignment horizontal="right"/>
    </xf>
    <xf numFmtId="0" fontId="2" fillId="17" borderId="32" xfId="78" applyFont="1" applyFill="1" applyBorder="1"/>
    <xf numFmtId="0" fontId="2" fillId="17" borderId="0" xfId="78" applyFont="1" applyFill="1" applyAlignment="1">
      <alignment horizontal="right" vertical="top" wrapText="1"/>
    </xf>
    <xf numFmtId="0" fontId="2" fillId="17" borderId="0" xfId="78" applyFont="1" applyFill="1" applyAlignment="1">
      <alignment vertical="top" wrapText="1"/>
    </xf>
    <xf numFmtId="0" fontId="2" fillId="17" borderId="32" xfId="78" applyFont="1" applyFill="1" applyBorder="1" applyAlignment="1">
      <alignment vertical="top" wrapText="1"/>
    </xf>
    <xf numFmtId="0" fontId="2" fillId="0" borderId="0" xfId="78" applyFont="1" applyAlignment="1">
      <alignment vertical="top"/>
    </xf>
    <xf numFmtId="0" fontId="2" fillId="17" borderId="13" xfId="78" applyFont="1" applyFill="1" applyBorder="1" applyAlignment="1">
      <alignment horizontal="right" vertical="top" wrapText="1"/>
    </xf>
    <xf numFmtId="0" fontId="2" fillId="17" borderId="13" xfId="78" applyFont="1" applyFill="1" applyBorder="1" applyAlignment="1">
      <alignment vertical="top" wrapText="1"/>
    </xf>
    <xf numFmtId="0" fontId="2" fillId="17" borderId="34" xfId="78" applyFont="1" applyFill="1" applyBorder="1" applyAlignment="1">
      <alignment vertical="top" wrapText="1"/>
    </xf>
    <xf numFmtId="0" fontId="2" fillId="17" borderId="12" xfId="78" applyFont="1" applyFill="1" applyBorder="1" applyAlignment="1">
      <alignment horizontal="right" vertical="top" wrapText="1"/>
    </xf>
    <xf numFmtId="0" fontId="2" fillId="17" borderId="12" xfId="78" applyFont="1" applyFill="1" applyBorder="1" applyAlignment="1">
      <alignment vertical="top" wrapText="1"/>
    </xf>
    <xf numFmtId="0" fontId="2" fillId="17" borderId="33" xfId="78" applyFont="1" applyFill="1" applyBorder="1" applyAlignment="1">
      <alignment vertical="top" wrapText="1"/>
    </xf>
    <xf numFmtId="0" fontId="2" fillId="17" borderId="13" xfId="78" applyFont="1" applyFill="1" applyBorder="1" applyAlignment="1">
      <alignment horizontal="right"/>
    </xf>
    <xf numFmtId="0" fontId="2" fillId="17" borderId="13" xfId="78" applyFont="1" applyFill="1" applyBorder="1"/>
    <xf numFmtId="0" fontId="2" fillId="17" borderId="34" xfId="78" applyFont="1" applyFill="1" applyBorder="1"/>
    <xf numFmtId="0" fontId="2" fillId="17" borderId="13" xfId="78" applyFont="1" applyFill="1" applyBorder="1" applyAlignment="1">
      <alignment vertical="top"/>
    </xf>
    <xf numFmtId="0" fontId="2" fillId="17" borderId="34" xfId="78" applyFont="1" applyFill="1" applyBorder="1" applyAlignment="1">
      <alignment vertical="top"/>
    </xf>
    <xf numFmtId="0" fontId="2" fillId="17" borderId="11" xfId="78" applyFont="1" applyFill="1" applyBorder="1" applyAlignment="1">
      <alignment horizontal="right"/>
    </xf>
    <xf numFmtId="0" fontId="2" fillId="17" borderId="11" xfId="78" applyFont="1" applyFill="1" applyBorder="1"/>
    <xf numFmtId="0" fontId="2" fillId="17" borderId="35" xfId="78" applyFont="1" applyFill="1" applyBorder="1"/>
    <xf numFmtId="0" fontId="2" fillId="0" borderId="32" xfId="78" applyFont="1" applyBorder="1"/>
    <xf numFmtId="0" fontId="3" fillId="18" borderId="0" xfId="78" applyFont="1" applyFill="1" applyAlignment="1">
      <alignment horizontal="right"/>
    </xf>
    <xf numFmtId="0" fontId="2" fillId="18" borderId="0" xfId="78" applyFont="1" applyFill="1"/>
    <xf numFmtId="0" fontId="3" fillId="18" borderId="32" xfId="78" applyFont="1" applyFill="1" applyBorder="1"/>
    <xf numFmtId="0" fontId="2" fillId="18" borderId="0" xfId="78" applyFont="1" applyFill="1" applyAlignment="1">
      <alignment horizontal="right"/>
    </xf>
    <xf numFmtId="0" fontId="2" fillId="18" borderId="32" xfId="78" applyFont="1" applyFill="1" applyBorder="1"/>
    <xf numFmtId="166" fontId="2" fillId="18" borderId="0" xfId="78" applyNumberFormat="1" applyFont="1" applyFill="1"/>
    <xf numFmtId="0" fontId="3" fillId="19" borderId="0" xfId="78" applyFont="1" applyFill="1" applyAlignment="1">
      <alignment horizontal="right" wrapText="1"/>
    </xf>
    <xf numFmtId="0" fontId="2" fillId="19" borderId="0" xfId="78" applyFont="1" applyFill="1"/>
    <xf numFmtId="0" fontId="2" fillId="19" borderId="32" xfId="78" applyFont="1" applyFill="1" applyBorder="1"/>
    <xf numFmtId="0" fontId="2" fillId="19" borderId="0" xfId="78" applyFont="1" applyFill="1" applyAlignment="1">
      <alignment horizontal="right"/>
    </xf>
    <xf numFmtId="172" fontId="1" fillId="0" borderId="0" xfId="119"/>
    <xf numFmtId="172" fontId="1" fillId="0" borderId="0" xfId="119" applyAlignment="1">
      <alignment vertical="center"/>
    </xf>
    <xf numFmtId="172" fontId="47" fillId="0" borderId="0" xfId="119" applyFont="1" applyAlignment="1">
      <alignment vertical="center"/>
    </xf>
    <xf numFmtId="172" fontId="46" fillId="0" borderId="17" xfId="119" applyFont="1" applyBorder="1" applyAlignment="1">
      <alignment vertical="center"/>
    </xf>
    <xf numFmtId="172" fontId="46" fillId="0" borderId="12" xfId="119" applyFont="1" applyBorder="1" applyAlignment="1">
      <alignment horizontal="right" vertical="center"/>
    </xf>
    <xf numFmtId="172" fontId="46" fillId="0" borderId="18" xfId="119" applyFont="1" applyBorder="1" applyAlignment="1">
      <alignment horizontal="right" vertical="center"/>
    </xf>
    <xf numFmtId="172" fontId="46" fillId="0" borderId="37" xfId="119" applyFont="1" applyBorder="1" applyAlignment="1">
      <alignment vertical="center"/>
    </xf>
    <xf numFmtId="172" fontId="46" fillId="0" borderId="0" xfId="119" applyFont="1" applyAlignment="1">
      <alignment horizontal="right" vertical="center"/>
    </xf>
    <xf numFmtId="172" fontId="46" fillId="0" borderId="38" xfId="119" applyFont="1" applyBorder="1" applyAlignment="1">
      <alignment horizontal="right" vertical="center"/>
    </xf>
    <xf numFmtId="172" fontId="46" fillId="0" borderId="15" xfId="119" applyFont="1" applyBorder="1" applyAlignment="1">
      <alignment vertical="center"/>
    </xf>
    <xf numFmtId="172" fontId="46" fillId="0" borderId="13" xfId="119" applyFont="1" applyBorder="1" applyAlignment="1">
      <alignment horizontal="right" vertical="center"/>
    </xf>
    <xf numFmtId="172" fontId="46" fillId="0" borderId="13" xfId="119" quotePrefix="1" applyFont="1" applyBorder="1" applyAlignment="1">
      <alignment horizontal="right" vertical="center"/>
    </xf>
    <xf numFmtId="172" fontId="46" fillId="0" borderId="16" xfId="119" applyFont="1" applyBorder="1" applyAlignment="1">
      <alignment horizontal="right" vertical="center"/>
    </xf>
    <xf numFmtId="172" fontId="44" fillId="0" borderId="17" xfId="119" applyFont="1" applyBorder="1" applyAlignment="1">
      <alignment vertical="center"/>
    </xf>
    <xf numFmtId="172" fontId="46" fillId="0" borderId="12" xfId="119" applyFont="1" applyBorder="1" applyAlignment="1">
      <alignment horizontal="centerContinuous" vertical="center"/>
    </xf>
    <xf numFmtId="172" fontId="44" fillId="0" borderId="12" xfId="119" applyFont="1" applyBorder="1" applyAlignment="1">
      <alignment horizontal="centerContinuous" vertical="center"/>
    </xf>
    <xf numFmtId="172" fontId="44" fillId="0" borderId="18" xfId="119" applyFont="1" applyBorder="1" applyAlignment="1">
      <alignment vertical="center"/>
    </xf>
    <xf numFmtId="172" fontId="44" fillId="0" borderId="37" xfId="119" applyFont="1" applyBorder="1" applyAlignment="1">
      <alignment vertical="center"/>
    </xf>
    <xf numFmtId="38" fontId="44" fillId="0" borderId="0" xfId="119" applyNumberFormat="1" applyFont="1" applyAlignment="1">
      <alignment horizontal="right" vertical="center"/>
    </xf>
    <xf numFmtId="165" fontId="44" fillId="0" borderId="38" xfId="119" applyNumberFormat="1" applyFont="1" applyBorder="1" applyAlignment="1">
      <alignment horizontal="right" vertical="center"/>
    </xf>
    <xf numFmtId="38" fontId="44" fillId="0" borderId="0" xfId="119" applyNumberFormat="1" applyFont="1" applyAlignment="1">
      <alignment vertical="center"/>
    </xf>
    <xf numFmtId="165" fontId="44" fillId="0" borderId="38" xfId="119" quotePrefix="1" applyNumberFormat="1" applyFont="1" applyBorder="1" applyAlignment="1">
      <alignment horizontal="right" vertical="center"/>
    </xf>
    <xf numFmtId="165" fontId="44" fillId="0" borderId="38" xfId="119" applyNumberFormat="1" applyFont="1" applyBorder="1" applyAlignment="1">
      <alignment vertical="center"/>
    </xf>
    <xf numFmtId="38" fontId="44" fillId="0" borderId="13" xfId="119" applyNumberFormat="1" applyFont="1" applyBorder="1" applyAlignment="1">
      <alignment vertical="center"/>
    </xf>
    <xf numFmtId="165" fontId="44" fillId="0" borderId="16" xfId="119" applyNumberFormat="1" applyFont="1" applyBorder="1" applyAlignment="1">
      <alignment vertical="center"/>
    </xf>
    <xf numFmtId="172" fontId="44" fillId="0" borderId="36" xfId="119" applyFont="1" applyBorder="1" applyAlignment="1">
      <alignment vertical="center"/>
    </xf>
    <xf numFmtId="38" fontId="44" fillId="0" borderId="11" xfId="119" applyNumberFormat="1" applyFont="1" applyBorder="1" applyAlignment="1">
      <alignment vertical="center"/>
    </xf>
    <xf numFmtId="165" fontId="44" fillId="0" borderId="14" xfId="119" applyNumberFormat="1" applyFont="1" applyBorder="1" applyAlignment="1">
      <alignment vertical="center"/>
    </xf>
    <xf numFmtId="172" fontId="44" fillId="0" borderId="0" xfId="119" applyFont="1" applyAlignment="1">
      <alignment vertical="center"/>
    </xf>
    <xf numFmtId="171" fontId="1" fillId="0" borderId="18" xfId="0" quotePrefix="1" applyNumberFormat="1" applyFont="1" applyBorder="1" applyAlignment="1">
      <alignment vertical="center"/>
    </xf>
    <xf numFmtId="0" fontId="3" fillId="15" borderId="12" xfId="78" applyFont="1" applyFill="1" applyBorder="1" applyAlignment="1">
      <alignment horizontal="left" vertical="center"/>
    </xf>
    <xf numFmtId="0" fontId="1" fillId="15" borderId="12" xfId="78" applyFill="1" applyBorder="1" applyAlignment="1">
      <alignment horizontal="left" vertical="center"/>
    </xf>
    <xf numFmtId="0" fontId="3" fillId="21" borderId="11" xfId="78" applyFont="1" applyFill="1" applyBorder="1" applyAlignment="1">
      <alignment horizontal="left" vertical="center"/>
    </xf>
    <xf numFmtId="0" fontId="1" fillId="21" borderId="11" xfId="78" applyFill="1" applyBorder="1" applyAlignment="1">
      <alignment horizontal="left" vertical="center"/>
    </xf>
    <xf numFmtId="0" fontId="6" fillId="15" borderId="12" xfId="0" applyFont="1" applyFill="1" applyBorder="1" applyAlignment="1">
      <alignment horizontal="left" vertical="center"/>
    </xf>
    <xf numFmtId="0" fontId="0" fillId="15" borderId="12" xfId="0" applyFill="1" applyBorder="1" applyAlignment="1">
      <alignment horizontal="left" vertical="center"/>
    </xf>
    <xf numFmtId="0" fontId="6" fillId="21" borderId="11" xfId="0" applyFon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 vertical="center"/>
    </xf>
    <xf numFmtId="0" fontId="3" fillId="21" borderId="1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72" fontId="47" fillId="0" borderId="0" xfId="79" applyFont="1" applyAlignment="1">
      <alignment horizontal="center" vertical="top" wrapText="1"/>
    </xf>
    <xf numFmtId="172" fontId="45" fillId="0" borderId="0" xfId="79" applyAlignment="1">
      <alignment horizontal="center" vertical="top"/>
    </xf>
    <xf numFmtId="0" fontId="1" fillId="0" borderId="0" xfId="0" applyFont="1"/>
  </cellXfs>
  <cellStyles count="120">
    <cellStyle name="20% - Akzent1" xfId="59" xr:uid="{00000000-0005-0000-0000-000000000000}"/>
    <cellStyle name="20% - Akzent2" xfId="60" xr:uid="{00000000-0005-0000-0000-000001000000}"/>
    <cellStyle name="20% - Akzent3" xfId="61" xr:uid="{00000000-0005-0000-0000-000002000000}"/>
    <cellStyle name="20% - Akzent4" xfId="62" xr:uid="{00000000-0005-0000-0000-000003000000}"/>
    <cellStyle name="20% - Akzent5" xfId="63" xr:uid="{00000000-0005-0000-0000-000004000000}"/>
    <cellStyle name="20% - Akzent6" xfId="64" xr:uid="{00000000-0005-0000-0000-000005000000}"/>
    <cellStyle name="40% - Akzent1" xfId="65" xr:uid="{00000000-0005-0000-0000-000006000000}"/>
    <cellStyle name="40% - Akzent2" xfId="66" xr:uid="{00000000-0005-0000-0000-000007000000}"/>
    <cellStyle name="40% - Akzent3" xfId="67" xr:uid="{00000000-0005-0000-0000-000008000000}"/>
    <cellStyle name="40% - Akzent4" xfId="68" xr:uid="{00000000-0005-0000-0000-000009000000}"/>
    <cellStyle name="40% - Akzent5" xfId="69" xr:uid="{00000000-0005-0000-0000-00000A000000}"/>
    <cellStyle name="40% - Akzent6" xfId="70" xr:uid="{00000000-0005-0000-0000-00000B000000}"/>
    <cellStyle name="60% - Akzent1" xfId="71" xr:uid="{00000000-0005-0000-0000-00000C000000}"/>
    <cellStyle name="60% - Akzent2" xfId="72" xr:uid="{00000000-0005-0000-0000-00000D000000}"/>
    <cellStyle name="60% - Akzent3" xfId="73" xr:uid="{00000000-0005-0000-0000-00000E000000}"/>
    <cellStyle name="60% - Akzent4" xfId="74" xr:uid="{00000000-0005-0000-0000-00000F000000}"/>
    <cellStyle name="60% - Akzent5" xfId="75" xr:uid="{00000000-0005-0000-0000-000010000000}"/>
    <cellStyle name="60% - Akzent6" xfId="76" xr:uid="{00000000-0005-0000-0000-000011000000}"/>
    <cellStyle name="Accent1" xfId="1" builtinId="29" customBuiltin="1"/>
    <cellStyle name="Accent2" xfId="3" builtinId="33" customBuiltin="1"/>
    <cellStyle name="Accent3" xfId="5" builtinId="37" customBuiltin="1"/>
    <cellStyle name="Accent4" xfId="7" builtinId="41" customBuiltin="1"/>
    <cellStyle name="Accent5" xfId="9" builtinId="45" customBuiltin="1"/>
    <cellStyle name="Accent6" xfId="11" builtinId="49" customBuiltin="1"/>
    <cellStyle name="Akzent1 2" xfId="2" xr:uid="{00000000-0005-0000-0000-000013000000}"/>
    <cellStyle name="Akzent1 3" xfId="82" xr:uid="{00000000-0005-0000-0000-000014000000}"/>
    <cellStyle name="Akzent2 2" xfId="4" xr:uid="{00000000-0005-0000-0000-000016000000}"/>
    <cellStyle name="Akzent2 3" xfId="83" xr:uid="{00000000-0005-0000-0000-000017000000}"/>
    <cellStyle name="Akzent3 2" xfId="6" xr:uid="{00000000-0005-0000-0000-000019000000}"/>
    <cellStyle name="Akzent3 3" xfId="84" xr:uid="{00000000-0005-0000-0000-00001A000000}"/>
    <cellStyle name="Akzent4 2" xfId="8" xr:uid="{00000000-0005-0000-0000-00001C000000}"/>
    <cellStyle name="Akzent4 3" xfId="85" xr:uid="{00000000-0005-0000-0000-00001D000000}"/>
    <cellStyle name="Akzent5 2" xfId="10" xr:uid="{00000000-0005-0000-0000-00001F000000}"/>
    <cellStyle name="Akzent5 3" xfId="86" xr:uid="{00000000-0005-0000-0000-000020000000}"/>
    <cellStyle name="Akzent6 2" xfId="12" xr:uid="{00000000-0005-0000-0000-000022000000}"/>
    <cellStyle name="Akzent6 3" xfId="87" xr:uid="{00000000-0005-0000-0000-000023000000}"/>
    <cellStyle name="Ausgabe 2" xfId="14" xr:uid="{00000000-0005-0000-0000-000025000000}"/>
    <cellStyle name="Ausgabe 3" xfId="88" xr:uid="{00000000-0005-0000-0000-000026000000}"/>
    <cellStyle name="Bad" xfId="31" builtinId="27" customBuiltin="1"/>
    <cellStyle name="Berechnung 2" xfId="16" xr:uid="{00000000-0005-0000-0000-000028000000}"/>
    <cellStyle name="Berechnung 3" xfId="89" xr:uid="{00000000-0005-0000-0000-000029000000}"/>
    <cellStyle name="Calculation" xfId="15" builtinId="22" customBuiltin="1"/>
    <cellStyle name="Check Cell" xfId="54" builtinId="23" customBuiltin="1"/>
    <cellStyle name="Comma" xfId="17" builtinId="3"/>
    <cellStyle name="Dezimal 2" xfId="90" xr:uid="{00000000-0005-0000-0000-00002B000000}"/>
    <cellStyle name="Eingabe 2" xfId="19" xr:uid="{00000000-0005-0000-0000-00002D000000}"/>
    <cellStyle name="Eingabe 3" xfId="91" xr:uid="{00000000-0005-0000-0000-00002E000000}"/>
    <cellStyle name="Ergebnis 2" xfId="21" xr:uid="{00000000-0005-0000-0000-000030000000}"/>
    <cellStyle name="Ergebnis 3" xfId="92" xr:uid="{00000000-0005-0000-0000-000031000000}"/>
    <cellStyle name="Erklärender Text 2" xfId="23" xr:uid="{00000000-0005-0000-0000-000033000000}"/>
    <cellStyle name="Erklärender Text 3" xfId="93" xr:uid="{00000000-0005-0000-0000-000034000000}"/>
    <cellStyle name="Explanatory Text" xfId="22" builtinId="53" customBuiltin="1"/>
    <cellStyle name="Good" xfId="24" builtinId="26" customBuiltin="1"/>
    <cellStyle name="Gut 2" xfId="25" xr:uid="{00000000-0005-0000-0000-000036000000}"/>
    <cellStyle name="Gut 3" xfId="94" xr:uid="{00000000-0005-0000-0000-000037000000}"/>
    <cellStyle name="Heading 1" xfId="41" builtinId="16" customBuiltin="1"/>
    <cellStyle name="Heading 2" xfId="43" builtinId="17" customBuiltin="1"/>
    <cellStyle name="Heading 3" xfId="45" builtinId="18" customBuiltin="1"/>
    <cellStyle name="Heading 4" xfId="47" builtinId="19" customBuiltin="1"/>
    <cellStyle name="Input" xfId="18" builtinId="20" customBuiltin="1"/>
    <cellStyle name="Komma 2" xfId="56" xr:uid="{00000000-0005-0000-0000-000038000000}"/>
    <cellStyle name="Komma 3" xfId="80" xr:uid="{00000000-0005-0000-0000-000039000000}"/>
    <cellStyle name="Linked Cell" xfId="50" builtinId="24" customBuiltin="1"/>
    <cellStyle name="Neutral" xfId="26" builtinId="28" customBuiltin="1"/>
    <cellStyle name="Neutral 2" xfId="27" xr:uid="{00000000-0005-0000-0000-00003B000000}"/>
    <cellStyle name="Neutral 3" xfId="95" xr:uid="{00000000-0005-0000-0000-00003C000000}"/>
    <cellStyle name="Normal" xfId="0" builtinId="0"/>
    <cellStyle name="Normal_GEFI BROCHURE DU BUDGET" xfId="58" xr:uid="{00000000-0005-0000-0000-00003E000000}"/>
    <cellStyle name="Note" xfId="28" builtinId="10" customBuiltin="1"/>
    <cellStyle name="Notiz 2" xfId="29" xr:uid="{00000000-0005-0000-0000-000040000000}"/>
    <cellStyle name="Notiz 3" xfId="96" xr:uid="{00000000-0005-0000-0000-000041000000}"/>
    <cellStyle name="Output" xfId="13" builtinId="21" customBuiltin="1"/>
    <cellStyle name="Per cent" xfId="30" builtinId="5"/>
    <cellStyle name="Prozent 2" xfId="57" xr:uid="{00000000-0005-0000-0000-000043000000}"/>
    <cellStyle name="Prozent 3" xfId="81" xr:uid="{00000000-0005-0000-0000-000044000000}"/>
    <cellStyle name="Schlecht 2" xfId="32" xr:uid="{00000000-0005-0000-0000-000046000000}"/>
    <cellStyle name="Schlecht 3" xfId="97" xr:uid="{00000000-0005-0000-0000-000047000000}"/>
    <cellStyle name="St0" xfId="77" xr:uid="{00000000-0005-0000-0000-000048000000}"/>
    <cellStyle name="Standard 10" xfId="78" xr:uid="{00000000-0005-0000-0000-00004A000000}"/>
    <cellStyle name="Standard 11" xfId="98" xr:uid="{00000000-0005-0000-0000-00004B000000}"/>
    <cellStyle name="Standard 12" xfId="99" xr:uid="{00000000-0005-0000-0000-00004C000000}"/>
    <cellStyle name="Standard 13" xfId="100" xr:uid="{00000000-0005-0000-0000-00004D000000}"/>
    <cellStyle name="Standard 14" xfId="101" xr:uid="{00000000-0005-0000-0000-00004E000000}"/>
    <cellStyle name="Standard 15" xfId="102" xr:uid="{00000000-0005-0000-0000-00004F000000}"/>
    <cellStyle name="Standard 16" xfId="103" xr:uid="{00000000-0005-0000-0000-000050000000}"/>
    <cellStyle name="Standard 17" xfId="104" xr:uid="{00000000-0005-0000-0000-000051000000}"/>
    <cellStyle name="Standard 18" xfId="105" xr:uid="{00000000-0005-0000-0000-000052000000}"/>
    <cellStyle name="Standard 19" xfId="106" xr:uid="{00000000-0005-0000-0000-000053000000}"/>
    <cellStyle name="Standard 2" xfId="33" xr:uid="{00000000-0005-0000-0000-000054000000}"/>
    <cellStyle name="Standard 2 2" xfId="34" xr:uid="{00000000-0005-0000-0000-000055000000}"/>
    <cellStyle name="Standard 20" xfId="107" xr:uid="{00000000-0005-0000-0000-000056000000}"/>
    <cellStyle name="Standard 21" xfId="119" xr:uid="{00000000-0005-0000-0000-000057000000}"/>
    <cellStyle name="Standard 3" xfId="35" xr:uid="{00000000-0005-0000-0000-000058000000}"/>
    <cellStyle name="Standard 3 2" xfId="36" xr:uid="{00000000-0005-0000-0000-000059000000}"/>
    <cellStyle name="Standard 4" xfId="37" xr:uid="{00000000-0005-0000-0000-00005A000000}"/>
    <cellStyle name="Standard 5" xfId="38" xr:uid="{00000000-0005-0000-0000-00005B000000}"/>
    <cellStyle name="Standard 6" xfId="79" xr:uid="{00000000-0005-0000-0000-00005C000000}"/>
    <cellStyle name="Standard 7" xfId="108" xr:uid="{00000000-0005-0000-0000-00005D000000}"/>
    <cellStyle name="Standard 8" xfId="109" xr:uid="{00000000-0005-0000-0000-00005E000000}"/>
    <cellStyle name="Standard 9" xfId="110" xr:uid="{00000000-0005-0000-0000-00005F000000}"/>
    <cellStyle name="Titel3" xfId="39" xr:uid="{00000000-0005-0000-0000-000060000000}"/>
    <cellStyle name="Title" xfId="40" builtinId="15" customBuiltin="1"/>
    <cellStyle name="Total" xfId="20" builtinId="25" customBuiltin="1"/>
    <cellStyle name="Überschrift 1 2" xfId="42" xr:uid="{00000000-0005-0000-0000-000063000000}"/>
    <cellStyle name="Überschrift 1 3" xfId="111" xr:uid="{00000000-0005-0000-0000-000064000000}"/>
    <cellStyle name="Überschrift 2 2" xfId="44" xr:uid="{00000000-0005-0000-0000-000066000000}"/>
    <cellStyle name="Überschrift 2 3" xfId="112" xr:uid="{00000000-0005-0000-0000-000067000000}"/>
    <cellStyle name="Überschrift 3 2" xfId="46" xr:uid="{00000000-0005-0000-0000-000069000000}"/>
    <cellStyle name="Überschrift 3 3" xfId="113" xr:uid="{00000000-0005-0000-0000-00006A000000}"/>
    <cellStyle name="Überschrift 4 2" xfId="48" xr:uid="{00000000-0005-0000-0000-00006C000000}"/>
    <cellStyle name="Überschrift 4 3" xfId="114" xr:uid="{00000000-0005-0000-0000-00006D000000}"/>
    <cellStyle name="Überschrift 5" xfId="49" xr:uid="{00000000-0005-0000-0000-00006E000000}"/>
    <cellStyle name="Überschrift 6" xfId="115" xr:uid="{00000000-0005-0000-0000-00006F000000}"/>
    <cellStyle name="Verknüpfte Zelle 2" xfId="51" xr:uid="{00000000-0005-0000-0000-000071000000}"/>
    <cellStyle name="Verknüpfte Zelle 3" xfId="116" xr:uid="{00000000-0005-0000-0000-000072000000}"/>
    <cellStyle name="Warnender Text 2" xfId="53" xr:uid="{00000000-0005-0000-0000-000074000000}"/>
    <cellStyle name="Warnender Text 3" xfId="117" xr:uid="{00000000-0005-0000-0000-000075000000}"/>
    <cellStyle name="Warning Text" xfId="52" builtinId="11" customBuiltin="1"/>
    <cellStyle name="Zelle überprüfen 2" xfId="55" xr:uid="{00000000-0005-0000-0000-000077000000}"/>
    <cellStyle name="Zelle überprüfen 3" xfId="118" xr:uid="{00000000-0005-0000-0000-000078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5EB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V/300-KRW/FKF/Kantone%20Finanzzahlen/ALLEab04-erweite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LLEab04-erweite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04"/>
      <sheetName val="Ergebnisse Spalte C"/>
      <sheetName val="Ergebnisse Spalte E"/>
      <sheetName val="Ergebnisse Spalte G"/>
      <sheetName val="Ergebnisse Spalte I"/>
      <sheetName val="Übersicht Saldo L. R. "/>
      <sheetName val="Finanzierungsfehlbetrag"/>
      <sheetName val="Selbstfinanzierungsgrad"/>
      <sheetName val="UBS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 04"/>
      <sheetName val="Ergebnisse Spalte C"/>
      <sheetName val="Ergebnisse Spalte E"/>
      <sheetName val="Ergebnisse Spalte G"/>
      <sheetName val="Ergebnisse Spalte I"/>
      <sheetName val="Übersicht Saldo L. R. "/>
      <sheetName val="Finanzierungsfehlbetrag"/>
      <sheetName val="Selbstfinanzierungsgrad"/>
      <sheetName val="UBS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U186"/>
  <sheetViews>
    <sheetView zoomScale="115" zoomScaleNormal="11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L29" sqref="L29"/>
    </sheetView>
  </sheetViews>
  <sheetFormatPr baseColWidth="10" defaultColWidth="11.5" defaultRowHeight="13"/>
  <cols>
    <col min="1" max="1" width="17.1640625" style="624" customWidth="1"/>
    <col min="2" max="2" width="1.6640625" style="624" customWidth="1"/>
    <col min="3" max="3" width="44.6640625" style="624" customWidth="1"/>
    <col min="4" max="5" width="12.6640625" style="624" customWidth="1"/>
    <col min="6" max="6" width="11.5" style="624" customWidth="1"/>
    <col min="7" max="16384" width="11.5" style="624"/>
  </cols>
  <sheetData>
    <row r="1" spans="1:47" s="617" customFormat="1" ht="18" customHeight="1">
      <c r="A1" s="611" t="s">
        <v>3</v>
      </c>
      <c r="B1" s="612" t="s">
        <v>169</v>
      </c>
      <c r="C1" s="613" t="s">
        <v>38</v>
      </c>
      <c r="D1" s="615" t="s">
        <v>37</v>
      </c>
      <c r="E1" s="614" t="s">
        <v>2</v>
      </c>
      <c r="F1" s="615" t="s">
        <v>37</v>
      </c>
      <c r="G1" s="614" t="s">
        <v>2</v>
      </c>
      <c r="H1" s="616"/>
      <c r="I1" s="616"/>
      <c r="J1" s="616"/>
      <c r="K1" s="616"/>
      <c r="L1" s="616"/>
      <c r="M1" s="616"/>
      <c r="N1" s="616"/>
      <c r="O1" s="616"/>
      <c r="P1" s="616"/>
      <c r="Q1" s="616"/>
      <c r="R1" s="616"/>
      <c r="S1" s="616"/>
      <c r="T1" s="616"/>
      <c r="U1" s="616"/>
      <c r="V1" s="616"/>
      <c r="W1" s="616"/>
      <c r="X1" s="616"/>
      <c r="Y1" s="616"/>
      <c r="Z1" s="616"/>
      <c r="AA1" s="616"/>
      <c r="AB1" s="616"/>
      <c r="AC1" s="616"/>
      <c r="AD1" s="616"/>
      <c r="AE1" s="616"/>
      <c r="AF1" s="616"/>
      <c r="AG1" s="616"/>
      <c r="AH1" s="616"/>
      <c r="AI1" s="616"/>
      <c r="AJ1" s="616"/>
      <c r="AK1" s="616"/>
      <c r="AL1" s="616"/>
      <c r="AM1" s="616"/>
      <c r="AN1" s="616"/>
      <c r="AO1" s="616"/>
      <c r="AP1" s="616"/>
      <c r="AQ1" s="616"/>
      <c r="AR1" s="616"/>
      <c r="AS1" s="616"/>
      <c r="AT1" s="616"/>
      <c r="AU1" s="616"/>
    </row>
    <row r="2" spans="1:47" s="623" customFormat="1" ht="15" customHeight="1">
      <c r="A2" s="618"/>
      <c r="B2" s="619"/>
      <c r="C2" s="620" t="s">
        <v>0</v>
      </c>
      <c r="D2" s="622">
        <v>2012</v>
      </c>
      <c r="E2" s="621">
        <v>2013</v>
      </c>
      <c r="F2" s="622">
        <v>2013</v>
      </c>
      <c r="G2" s="621">
        <v>2014</v>
      </c>
    </row>
    <row r="3" spans="1:47" ht="15" customHeight="1">
      <c r="A3" s="792" t="s">
        <v>24</v>
      </c>
      <c r="B3" s="793"/>
      <c r="C3" s="793"/>
      <c r="E3" s="625" t="s">
        <v>470</v>
      </c>
    </row>
    <row r="4" spans="1:47" s="630" customFormat="1" ht="12.75" customHeight="1">
      <c r="A4" s="626">
        <v>30</v>
      </c>
      <c r="B4" s="627"/>
      <c r="C4" s="628" t="s">
        <v>1</v>
      </c>
      <c r="D4" s="98">
        <v>4782409.41</v>
      </c>
      <c r="E4" s="100">
        <v>4827007.1900000004</v>
      </c>
      <c r="F4" s="98">
        <v>4727960.2231999999</v>
      </c>
      <c r="G4" s="629">
        <v>4944121.8540000003</v>
      </c>
    </row>
    <row r="5" spans="1:47" s="630" customFormat="1" ht="12.75" customHeight="1">
      <c r="A5" s="631">
        <v>31</v>
      </c>
      <c r="B5" s="632"/>
      <c r="C5" s="633" t="s">
        <v>4</v>
      </c>
      <c r="D5" s="105">
        <v>2742025.9</v>
      </c>
      <c r="E5" s="106">
        <v>2633519.2799999998</v>
      </c>
      <c r="F5" s="104">
        <v>2856763.2608499997</v>
      </c>
      <c r="G5" s="629">
        <v>2972686.1919999998</v>
      </c>
    </row>
    <row r="6" spans="1:47" s="630" customFormat="1" ht="12.75" customHeight="1">
      <c r="A6" s="634" t="s">
        <v>229</v>
      </c>
      <c r="B6" s="635"/>
      <c r="C6" s="636" t="s">
        <v>230</v>
      </c>
      <c r="D6" s="150">
        <v>194592.14</v>
      </c>
      <c r="E6" s="155">
        <v>202593.45</v>
      </c>
      <c r="F6" s="104">
        <v>207716.98300000001</v>
      </c>
      <c r="G6" s="155">
        <v>213736.65</v>
      </c>
    </row>
    <row r="7" spans="1:47" s="630" customFormat="1" ht="12.75" customHeight="1">
      <c r="A7" s="634" t="s">
        <v>371</v>
      </c>
      <c r="B7" s="635"/>
      <c r="C7" s="636" t="s">
        <v>372</v>
      </c>
      <c r="D7" s="150">
        <v>-15285</v>
      </c>
      <c r="E7" s="155">
        <v>3557.7</v>
      </c>
      <c r="F7" s="104">
        <v>3809.96198</v>
      </c>
      <c r="G7" s="155">
        <v>916.6</v>
      </c>
    </row>
    <row r="8" spans="1:47" s="630" customFormat="1" ht="12.75" customHeight="1">
      <c r="A8" s="637">
        <v>330</v>
      </c>
      <c r="B8" s="632"/>
      <c r="C8" s="633" t="s">
        <v>231</v>
      </c>
      <c r="D8" s="105">
        <v>454103.66</v>
      </c>
      <c r="E8" s="113">
        <v>457275.69</v>
      </c>
      <c r="F8" s="104">
        <v>457455.2279</v>
      </c>
      <c r="G8" s="113">
        <v>460653.49</v>
      </c>
    </row>
    <row r="9" spans="1:47" s="630" customFormat="1" ht="12.75" customHeight="1">
      <c r="A9" s="637">
        <v>332</v>
      </c>
      <c r="B9" s="632"/>
      <c r="C9" s="633" t="s">
        <v>232</v>
      </c>
      <c r="D9" s="105">
        <v>28316.63</v>
      </c>
      <c r="E9" s="113">
        <v>25766.37</v>
      </c>
      <c r="F9" s="104">
        <v>25865.21572</v>
      </c>
      <c r="G9" s="113">
        <v>25828.402999999998</v>
      </c>
    </row>
    <row r="10" spans="1:47" s="630" customFormat="1" ht="12.75" customHeight="1">
      <c r="A10" s="637">
        <v>339</v>
      </c>
      <c r="B10" s="632"/>
      <c r="C10" s="633" t="s">
        <v>233</v>
      </c>
      <c r="D10" s="105">
        <v>0</v>
      </c>
      <c r="E10" s="113">
        <v>0</v>
      </c>
      <c r="F10" s="104">
        <v>0</v>
      </c>
      <c r="G10" s="113">
        <v>0</v>
      </c>
    </row>
    <row r="11" spans="1:47" s="630" customFormat="1" ht="12.75" customHeight="1">
      <c r="A11" s="631">
        <v>350</v>
      </c>
      <c r="B11" s="632"/>
      <c r="C11" s="633" t="s">
        <v>234</v>
      </c>
      <c r="D11" s="105">
        <v>38305.53</v>
      </c>
      <c r="E11" s="113">
        <v>6133.82</v>
      </c>
      <c r="F11" s="104">
        <v>55525.049079999997</v>
      </c>
      <c r="G11" s="113">
        <v>31780.174999999999</v>
      </c>
    </row>
    <row r="12" spans="1:47" s="641" customFormat="1" ht="14">
      <c r="A12" s="638">
        <v>351</v>
      </c>
      <c r="B12" s="639"/>
      <c r="C12" s="640" t="s">
        <v>272</v>
      </c>
      <c r="D12" s="119">
        <v>27451</v>
      </c>
      <c r="E12" s="120">
        <v>32186</v>
      </c>
      <c r="F12" s="104">
        <v>35368.328130000002</v>
      </c>
      <c r="G12" s="120">
        <v>25265</v>
      </c>
    </row>
    <row r="13" spans="1:47" s="630" customFormat="1" ht="12.75" customHeight="1">
      <c r="A13" s="631">
        <v>36</v>
      </c>
      <c r="B13" s="632"/>
      <c r="C13" s="633" t="s">
        <v>5</v>
      </c>
      <c r="D13" s="104">
        <v>5213950.72</v>
      </c>
      <c r="E13" s="113">
        <v>5435767.7199999997</v>
      </c>
      <c r="F13" s="104">
        <v>5246448.0929700006</v>
      </c>
      <c r="G13" s="629">
        <v>5330363.2910000002</v>
      </c>
    </row>
    <row r="14" spans="1:47" s="630" customFormat="1" ht="14">
      <c r="A14" s="642" t="s">
        <v>173</v>
      </c>
      <c r="B14" s="632"/>
      <c r="C14" s="643" t="s">
        <v>174</v>
      </c>
      <c r="D14" s="130">
        <v>582912.71730999998</v>
      </c>
      <c r="E14" s="155">
        <v>541380.30000000005</v>
      </c>
      <c r="F14" s="130">
        <v>620336.25003</v>
      </c>
      <c r="G14" s="629">
        <v>545493.6</v>
      </c>
    </row>
    <row r="15" spans="1:47" s="630" customFormat="1" ht="14">
      <c r="A15" s="642" t="s">
        <v>175</v>
      </c>
      <c r="B15" s="632"/>
      <c r="C15" s="643" t="s">
        <v>176</v>
      </c>
      <c r="D15" s="130">
        <v>174866.70465999999</v>
      </c>
      <c r="E15" s="155">
        <v>197732.7</v>
      </c>
      <c r="F15" s="130">
        <v>210277.66071999999</v>
      </c>
      <c r="G15" s="155">
        <v>226242</v>
      </c>
    </row>
    <row r="16" spans="1:47" s="645" customFormat="1" ht="26.25" customHeight="1">
      <c r="A16" s="642" t="s">
        <v>146</v>
      </c>
      <c r="B16" s="644"/>
      <c r="C16" s="643" t="s">
        <v>148</v>
      </c>
      <c r="D16" s="126">
        <f>147.45+8.16+232757.23</f>
        <v>232912.84</v>
      </c>
      <c r="E16" s="127">
        <v>161967.883</v>
      </c>
      <c r="F16" s="126">
        <f>49.059+50+153712.415</f>
        <v>153811.47400000002</v>
      </c>
      <c r="G16" s="629">
        <v>100</v>
      </c>
    </row>
    <row r="17" spans="1:7" s="646" customFormat="1">
      <c r="A17" s="631">
        <v>37</v>
      </c>
      <c r="B17" s="632"/>
      <c r="C17" s="633" t="s">
        <v>6</v>
      </c>
      <c r="D17" s="104">
        <v>653620.4</v>
      </c>
      <c r="E17" s="157">
        <v>644945</v>
      </c>
      <c r="F17" s="104">
        <v>657872.87695000006</v>
      </c>
      <c r="G17" s="157">
        <v>649978.19999999995</v>
      </c>
    </row>
    <row r="18" spans="1:7" s="646" customFormat="1">
      <c r="A18" s="637" t="s">
        <v>196</v>
      </c>
      <c r="B18" s="632"/>
      <c r="C18" s="633" t="s">
        <v>197</v>
      </c>
      <c r="D18" s="130">
        <v>374798.07747000002</v>
      </c>
      <c r="E18" s="158">
        <v>376330</v>
      </c>
      <c r="F18" s="130">
        <v>386354.42679</v>
      </c>
      <c r="G18" s="158">
        <v>391122</v>
      </c>
    </row>
    <row r="19" spans="1:7" s="646" customFormat="1">
      <c r="A19" s="637" t="s">
        <v>198</v>
      </c>
      <c r="B19" s="632"/>
      <c r="C19" s="633" t="s">
        <v>199</v>
      </c>
      <c r="D19" s="130">
        <v>202763.38550999999</v>
      </c>
      <c r="E19" s="158">
        <v>203840</v>
      </c>
      <c r="F19" s="130">
        <v>198342.82053</v>
      </c>
      <c r="G19" s="158">
        <v>207890</v>
      </c>
    </row>
    <row r="20" spans="1:7" s="630" customFormat="1" ht="12.75" customHeight="1">
      <c r="A20" s="647">
        <v>39</v>
      </c>
      <c r="B20" s="648"/>
      <c r="C20" s="649" t="s">
        <v>8</v>
      </c>
      <c r="D20" s="134">
        <v>0</v>
      </c>
      <c r="E20" s="159">
        <v>0</v>
      </c>
      <c r="F20" s="134"/>
      <c r="G20" s="159">
        <v>0</v>
      </c>
    </row>
    <row r="21" spans="1:7" ht="12.75" customHeight="1">
      <c r="A21" s="650"/>
      <c r="B21" s="650"/>
      <c r="C21" s="651" t="s">
        <v>475</v>
      </c>
      <c r="D21" s="16">
        <f t="shared" ref="D21:G21" si="0">D4+D5+SUM(D8:D13)+D17</f>
        <v>13940183.250000002</v>
      </c>
      <c r="E21" s="16">
        <f t="shared" si="0"/>
        <v>14062601.07</v>
      </c>
      <c r="F21" s="16">
        <f t="shared" si="0"/>
        <v>14063258.274799999</v>
      </c>
      <c r="G21" s="16">
        <f t="shared" si="0"/>
        <v>14440676.605</v>
      </c>
    </row>
    <row r="22" spans="1:7" s="630" customFormat="1" ht="12.75" customHeight="1">
      <c r="A22" s="637" t="s">
        <v>416</v>
      </c>
      <c r="B22" s="632"/>
      <c r="C22" s="633" t="s">
        <v>235</v>
      </c>
      <c r="D22" s="260">
        <f>4640219.5+1130845.8</f>
        <v>5771065.2999999998</v>
      </c>
      <c r="E22" s="141">
        <f>4740000+1204400</f>
        <v>5944400</v>
      </c>
      <c r="F22" s="260">
        <f>4611178.82+1098122.031</f>
        <v>5709300.8509999998</v>
      </c>
      <c r="G22" s="141">
        <f>4758499+1210320</f>
        <v>5968819</v>
      </c>
    </row>
    <row r="23" spans="1:7" s="630" customFormat="1" ht="12.75" customHeight="1">
      <c r="A23" s="637" t="s">
        <v>417</v>
      </c>
      <c r="B23" s="632"/>
      <c r="C23" s="633" t="s">
        <v>236</v>
      </c>
      <c r="D23" s="260">
        <f>204627.4+304920.1</f>
        <v>509547.5</v>
      </c>
      <c r="E23" s="141">
        <f>210600+307250</f>
        <v>517850</v>
      </c>
      <c r="F23" s="260">
        <f>224796.317+313279.777</f>
        <v>538076.09400000004</v>
      </c>
      <c r="G23" s="141">
        <f>215600+307300</f>
        <v>522900</v>
      </c>
    </row>
    <row r="24" spans="1:7" s="652" customFormat="1" ht="12.75" customHeight="1">
      <c r="A24" s="631">
        <v>41</v>
      </c>
      <c r="B24" s="632"/>
      <c r="C24" s="633" t="s">
        <v>9</v>
      </c>
      <c r="D24" s="260">
        <v>201024.7</v>
      </c>
      <c r="E24" s="141">
        <v>196792</v>
      </c>
      <c r="F24" s="260">
        <v>200029.33756000001</v>
      </c>
      <c r="G24" s="141">
        <v>196229</v>
      </c>
    </row>
    <row r="25" spans="1:7" s="630" customFormat="1" ht="12.75" customHeight="1">
      <c r="A25" s="653">
        <v>42</v>
      </c>
      <c r="B25" s="654"/>
      <c r="C25" s="633" t="s">
        <v>10</v>
      </c>
      <c r="D25" s="152">
        <v>2723747.2</v>
      </c>
      <c r="E25" s="141">
        <v>2717450.0249999994</v>
      </c>
      <c r="F25" s="152">
        <v>2641740.3860300002</v>
      </c>
      <c r="G25" s="141">
        <v>2749027.5989999999</v>
      </c>
    </row>
    <row r="26" spans="1:7" s="655" customFormat="1" ht="12.75" customHeight="1">
      <c r="A26" s="638">
        <v>430</v>
      </c>
      <c r="B26" s="632"/>
      <c r="C26" s="633" t="s">
        <v>11</v>
      </c>
      <c r="D26" s="268">
        <v>235444.6</v>
      </c>
      <c r="E26" s="144">
        <v>174421.8</v>
      </c>
      <c r="F26" s="268">
        <v>254693.63738999999</v>
      </c>
      <c r="G26" s="144">
        <v>156230.6</v>
      </c>
    </row>
    <row r="27" spans="1:7" s="655" customFormat="1" ht="12.75" customHeight="1">
      <c r="A27" s="638">
        <v>431</v>
      </c>
      <c r="B27" s="632"/>
      <c r="C27" s="633" t="s">
        <v>377</v>
      </c>
      <c r="D27" s="268">
        <v>9581.6</v>
      </c>
      <c r="E27" s="144">
        <v>10298.1</v>
      </c>
      <c r="F27" s="268">
        <v>12608.366840000001</v>
      </c>
      <c r="G27" s="144">
        <v>8615</v>
      </c>
    </row>
    <row r="28" spans="1:7" s="655" customFormat="1" ht="12.75" customHeight="1">
      <c r="A28" s="638">
        <v>432</v>
      </c>
      <c r="B28" s="632"/>
      <c r="C28" s="633" t="s">
        <v>378</v>
      </c>
      <c r="D28" s="268">
        <v>1167.9000000000001</v>
      </c>
      <c r="E28" s="144">
        <v>0</v>
      </c>
      <c r="F28" s="268">
        <v>-1856.3805600000001</v>
      </c>
      <c r="G28" s="144">
        <v>0</v>
      </c>
    </row>
    <row r="29" spans="1:7" s="655" customFormat="1" ht="12.75" customHeight="1">
      <c r="A29" s="638">
        <v>439</v>
      </c>
      <c r="B29" s="632"/>
      <c r="C29" s="633" t="s">
        <v>379</v>
      </c>
      <c r="D29" s="268">
        <v>64102.6</v>
      </c>
      <c r="E29" s="144">
        <v>0</v>
      </c>
      <c r="F29" s="268">
        <v>64822.389640000001</v>
      </c>
      <c r="G29" s="629">
        <v>83622.058999999994</v>
      </c>
    </row>
    <row r="30" spans="1:7" s="630" customFormat="1" ht="14">
      <c r="A30" s="638">
        <v>450</v>
      </c>
      <c r="B30" s="639"/>
      <c r="C30" s="640" t="s">
        <v>271</v>
      </c>
      <c r="D30" s="104">
        <v>110439.4</v>
      </c>
      <c r="E30" s="106">
        <v>82563.495999999999</v>
      </c>
      <c r="F30" s="104">
        <v>20112.620859999999</v>
      </c>
      <c r="G30" s="629">
        <v>59177.387000000002</v>
      </c>
    </row>
    <row r="31" spans="1:7" s="641" customFormat="1" ht="14">
      <c r="A31" s="638">
        <v>451</v>
      </c>
      <c r="B31" s="639"/>
      <c r="C31" s="640" t="s">
        <v>14</v>
      </c>
      <c r="D31" s="279">
        <v>0</v>
      </c>
      <c r="E31" s="165">
        <v>0</v>
      </c>
      <c r="F31" s="279">
        <v>0</v>
      </c>
      <c r="G31" s="165">
        <v>0</v>
      </c>
    </row>
    <row r="32" spans="1:7" s="630" customFormat="1" ht="12.75" customHeight="1">
      <c r="A32" s="631">
        <v>46</v>
      </c>
      <c r="B32" s="632"/>
      <c r="C32" s="633" t="s">
        <v>15</v>
      </c>
      <c r="D32" s="152">
        <v>3432659.2</v>
      </c>
      <c r="E32" s="141">
        <v>3519723.4380000001</v>
      </c>
      <c r="F32" s="152">
        <v>3647671.6531099998</v>
      </c>
      <c r="G32" s="629">
        <v>3681137.5</v>
      </c>
    </row>
    <row r="33" spans="1:7" s="641" customFormat="1" ht="12.75" customHeight="1">
      <c r="A33" s="656" t="s">
        <v>16</v>
      </c>
      <c r="B33" s="635"/>
      <c r="C33" s="636" t="s">
        <v>17</v>
      </c>
      <c r="D33" s="152">
        <v>59225</v>
      </c>
      <c r="E33" s="143">
        <v>52874.5</v>
      </c>
      <c r="F33" s="152">
        <v>46151.389000000003</v>
      </c>
      <c r="G33" s="629">
        <v>29242.1</v>
      </c>
    </row>
    <row r="34" spans="1:7" s="630" customFormat="1" ht="15" customHeight="1">
      <c r="A34" s="631">
        <v>47</v>
      </c>
      <c r="B34" s="632"/>
      <c r="C34" s="633" t="s">
        <v>6</v>
      </c>
      <c r="D34" s="152">
        <v>653620.4</v>
      </c>
      <c r="E34" s="141">
        <v>644945</v>
      </c>
      <c r="F34" s="152">
        <v>657872.87694999995</v>
      </c>
      <c r="G34" s="141">
        <v>649978.19999999995</v>
      </c>
    </row>
    <row r="35" spans="1:7" s="630" customFormat="1" ht="15" customHeight="1">
      <c r="A35" s="647">
        <v>49</v>
      </c>
      <c r="B35" s="648"/>
      <c r="C35" s="649" t="s">
        <v>26</v>
      </c>
      <c r="D35" s="146">
        <v>0</v>
      </c>
      <c r="E35" s="147">
        <v>0</v>
      </c>
      <c r="F35" s="146">
        <v>0</v>
      </c>
      <c r="G35" s="147">
        <v>0</v>
      </c>
    </row>
    <row r="36" spans="1:7" s="660" customFormat="1" ht="13.5" customHeight="1">
      <c r="A36" s="657"/>
      <c r="B36" s="658"/>
      <c r="C36" s="659" t="s">
        <v>476</v>
      </c>
      <c r="D36" s="283">
        <f t="shared" ref="D36:G36" si="1">D22+D23+D24+D25+D26+D27+D28+D29+D30+D31+D32+D34</f>
        <v>13712400.4</v>
      </c>
      <c r="E36" s="283">
        <f t="shared" si="1"/>
        <v>13808443.858999997</v>
      </c>
      <c r="F36" s="283">
        <f t="shared" si="1"/>
        <v>13745071.832819998</v>
      </c>
      <c r="G36" s="283">
        <f t="shared" si="1"/>
        <v>14075736.344999999</v>
      </c>
    </row>
    <row r="37" spans="1:7" s="616" customFormat="1" ht="15" customHeight="1">
      <c r="A37" s="657"/>
      <c r="B37" s="658"/>
      <c r="C37" s="659" t="s">
        <v>19</v>
      </c>
      <c r="D37" s="283">
        <f t="shared" ref="D37:G37" si="2">D36-D21</f>
        <v>-227782.85000000149</v>
      </c>
      <c r="E37" s="283">
        <f t="shared" si="2"/>
        <v>-254157.21100000292</v>
      </c>
      <c r="F37" s="283">
        <f t="shared" si="2"/>
        <v>-318186.44198000059</v>
      </c>
      <c r="G37" s="283">
        <f t="shared" si="2"/>
        <v>-364940.26000000164</v>
      </c>
    </row>
    <row r="38" spans="1:7" s="641" customFormat="1" ht="15" customHeight="1">
      <c r="A38" s="637">
        <v>340</v>
      </c>
      <c r="B38" s="632"/>
      <c r="C38" s="633" t="s">
        <v>78</v>
      </c>
      <c r="D38" s="140">
        <v>138000.29999999999</v>
      </c>
      <c r="E38" s="141">
        <v>144558.70000000001</v>
      </c>
      <c r="F38" s="140">
        <v>134592.45150999998</v>
      </c>
      <c r="G38" s="141">
        <v>125754.72199999999</v>
      </c>
    </row>
    <row r="39" spans="1:7" s="641" customFormat="1" ht="15" customHeight="1">
      <c r="A39" s="637">
        <v>341</v>
      </c>
      <c r="B39" s="632"/>
      <c r="C39" s="633" t="s">
        <v>237</v>
      </c>
      <c r="D39" s="152">
        <v>4697.3999999999996</v>
      </c>
      <c r="E39" s="141">
        <v>342.3</v>
      </c>
      <c r="F39" s="152">
        <v>16217.326160000001</v>
      </c>
      <c r="G39" s="141">
        <v>475.6</v>
      </c>
    </row>
    <row r="40" spans="1:7" s="641" customFormat="1" ht="15" customHeight="1">
      <c r="A40" s="637">
        <v>342</v>
      </c>
      <c r="B40" s="632"/>
      <c r="C40" s="633" t="s">
        <v>238</v>
      </c>
      <c r="D40" s="152">
        <v>459.6</v>
      </c>
      <c r="E40" s="141">
        <v>695</v>
      </c>
      <c r="F40" s="152">
        <v>609.05331000000001</v>
      </c>
      <c r="G40" s="141">
        <v>720</v>
      </c>
    </row>
    <row r="41" spans="1:7" s="641" customFormat="1" ht="15" customHeight="1">
      <c r="A41" s="637">
        <v>343</v>
      </c>
      <c r="B41" s="632"/>
      <c r="C41" s="633" t="s">
        <v>239</v>
      </c>
      <c r="D41" s="152">
        <v>3870.7</v>
      </c>
      <c r="E41" s="141">
        <v>6905</v>
      </c>
      <c r="F41" s="152">
        <v>8651.0919300000005</v>
      </c>
      <c r="G41" s="141">
        <v>9954.7999999999993</v>
      </c>
    </row>
    <row r="42" spans="1:7" s="641" customFormat="1" ht="15" customHeight="1">
      <c r="A42" s="637">
        <v>344</v>
      </c>
      <c r="B42" s="632"/>
      <c r="C42" s="633" t="s">
        <v>83</v>
      </c>
      <c r="D42" s="152">
        <v>67743.199999999997</v>
      </c>
      <c r="E42" s="141">
        <v>0</v>
      </c>
      <c r="F42" s="152">
        <v>2335.9804900000004</v>
      </c>
      <c r="G42" s="141">
        <v>0</v>
      </c>
    </row>
    <row r="43" spans="1:7" s="641" customFormat="1" ht="15" customHeight="1">
      <c r="A43" s="637">
        <v>349</v>
      </c>
      <c r="B43" s="632"/>
      <c r="C43" s="633" t="s">
        <v>240</v>
      </c>
      <c r="D43" s="152">
        <v>2740.4</v>
      </c>
      <c r="E43" s="141">
        <v>2303</v>
      </c>
      <c r="F43" s="152">
        <v>1134.28448</v>
      </c>
      <c r="G43" s="141">
        <v>2375</v>
      </c>
    </row>
    <row r="44" spans="1:7" s="630" customFormat="1" ht="15" customHeight="1">
      <c r="A44" s="631">
        <v>440</v>
      </c>
      <c r="B44" s="632"/>
      <c r="C44" s="633" t="s">
        <v>79</v>
      </c>
      <c r="D44" s="140">
        <v>54837.3</v>
      </c>
      <c r="E44" s="141">
        <v>55400.4</v>
      </c>
      <c r="F44" s="140">
        <v>47168.648130000001</v>
      </c>
      <c r="G44" s="141">
        <v>45581.9</v>
      </c>
    </row>
    <row r="45" spans="1:7" s="630" customFormat="1" ht="15" customHeight="1">
      <c r="A45" s="631">
        <v>441</v>
      </c>
      <c r="B45" s="632"/>
      <c r="C45" s="633" t="s">
        <v>80</v>
      </c>
      <c r="D45" s="140">
        <v>8024.8</v>
      </c>
      <c r="E45" s="141">
        <v>413.3</v>
      </c>
      <c r="F45" s="140">
        <v>4907.1659500000005</v>
      </c>
      <c r="G45" s="141">
        <v>2966</v>
      </c>
    </row>
    <row r="46" spans="1:7" s="630" customFormat="1" ht="15" customHeight="1">
      <c r="A46" s="631">
        <v>442</v>
      </c>
      <c r="B46" s="632"/>
      <c r="C46" s="633" t="s">
        <v>81</v>
      </c>
      <c r="D46" s="140">
        <v>468.8</v>
      </c>
      <c r="E46" s="141">
        <v>25</v>
      </c>
      <c r="F46" s="140">
        <v>519.27589</v>
      </c>
      <c r="G46" s="141">
        <v>93</v>
      </c>
    </row>
    <row r="47" spans="1:7" s="630" customFormat="1" ht="15" customHeight="1">
      <c r="A47" s="631">
        <v>443</v>
      </c>
      <c r="B47" s="632"/>
      <c r="C47" s="633" t="s">
        <v>82</v>
      </c>
      <c r="D47" s="140">
        <v>23332.2</v>
      </c>
      <c r="E47" s="141">
        <v>22637.5</v>
      </c>
      <c r="F47" s="140">
        <v>24203.587390000001</v>
      </c>
      <c r="G47" s="141">
        <v>23182.9</v>
      </c>
    </row>
    <row r="48" spans="1:7" s="630" customFormat="1" ht="15" customHeight="1">
      <c r="A48" s="631">
        <v>444</v>
      </c>
      <c r="B48" s="632"/>
      <c r="C48" s="633" t="s">
        <v>83</v>
      </c>
      <c r="D48" s="140">
        <v>101119.4</v>
      </c>
      <c r="E48" s="141">
        <v>3000</v>
      </c>
      <c r="F48" s="140">
        <v>7875.6852500000005</v>
      </c>
      <c r="G48" s="141">
        <v>3250</v>
      </c>
    </row>
    <row r="49" spans="1:7" s="630" customFormat="1" ht="15" customHeight="1">
      <c r="A49" s="631">
        <v>445</v>
      </c>
      <c r="B49" s="632"/>
      <c r="C49" s="633" t="s">
        <v>84</v>
      </c>
      <c r="D49" s="140">
        <v>41990.2</v>
      </c>
      <c r="E49" s="141">
        <v>40486</v>
      </c>
      <c r="F49" s="140">
        <v>37639.009030000001</v>
      </c>
      <c r="G49" s="141">
        <v>32886</v>
      </c>
    </row>
    <row r="50" spans="1:7" s="630" customFormat="1" ht="15" customHeight="1">
      <c r="A50" s="631">
        <v>446</v>
      </c>
      <c r="B50" s="632"/>
      <c r="C50" s="633" t="s">
        <v>85</v>
      </c>
      <c r="D50" s="140">
        <v>281330.40000000002</v>
      </c>
      <c r="E50" s="141">
        <v>275529</v>
      </c>
      <c r="F50" s="140">
        <v>274894.61749999999</v>
      </c>
      <c r="G50" s="141">
        <v>271635</v>
      </c>
    </row>
    <row r="51" spans="1:7" s="630" customFormat="1" ht="15" customHeight="1">
      <c r="A51" s="631">
        <v>447</v>
      </c>
      <c r="B51" s="632"/>
      <c r="C51" s="633" t="s">
        <v>86</v>
      </c>
      <c r="D51" s="140">
        <v>31066.5</v>
      </c>
      <c r="E51" s="141">
        <v>24836</v>
      </c>
      <c r="F51" s="140">
        <v>31858.369469999998</v>
      </c>
      <c r="G51" s="141">
        <v>30146.74</v>
      </c>
    </row>
    <row r="52" spans="1:7" s="630" customFormat="1" ht="15" customHeight="1">
      <c r="A52" s="631">
        <v>448</v>
      </c>
      <c r="B52" s="632"/>
      <c r="C52" s="633" t="s">
        <v>87</v>
      </c>
      <c r="D52" s="140">
        <v>3527</v>
      </c>
      <c r="E52" s="141">
        <v>2764.4</v>
      </c>
      <c r="F52" s="140">
        <v>3669.7180499999999</v>
      </c>
      <c r="G52" s="141">
        <v>1479.5</v>
      </c>
    </row>
    <row r="53" spans="1:7" s="630" customFormat="1" ht="15" customHeight="1">
      <c r="A53" s="631">
        <v>449</v>
      </c>
      <c r="B53" s="632"/>
      <c r="C53" s="633" t="s">
        <v>88</v>
      </c>
      <c r="D53" s="140">
        <v>5224.5</v>
      </c>
      <c r="E53" s="141">
        <v>1437</v>
      </c>
      <c r="F53" s="140">
        <v>11400.486949999999</v>
      </c>
      <c r="G53" s="141">
        <v>225</v>
      </c>
    </row>
    <row r="54" spans="1:7" s="641" customFormat="1" ht="13.5" customHeight="1">
      <c r="A54" s="661" t="s">
        <v>12</v>
      </c>
      <c r="B54" s="662"/>
      <c r="C54" s="662" t="s">
        <v>13</v>
      </c>
      <c r="D54" s="170">
        <v>5208</v>
      </c>
      <c r="E54" s="171">
        <v>476</v>
      </c>
      <c r="F54" s="170">
        <v>11097.94267</v>
      </c>
      <c r="G54" s="171">
        <v>225</v>
      </c>
    </row>
    <row r="55" spans="1:7" ht="15" customHeight="1">
      <c r="A55" s="663"/>
      <c r="B55" s="663"/>
      <c r="C55" s="651" t="s">
        <v>20</v>
      </c>
      <c r="D55" s="16">
        <f t="shared" ref="D55:E55" si="3">SUM(D44:D53)-SUM(D38:D43)</f>
        <v>333409.50000000012</v>
      </c>
      <c r="E55" s="16">
        <f t="shared" si="3"/>
        <v>271724.60000000003</v>
      </c>
      <c r="F55" s="16">
        <f t="shared" ref="F55:G55" si="4">SUM(F44:F53)-SUM(F38:F43)</f>
        <v>280596.37572999997</v>
      </c>
      <c r="G55" s="16">
        <f t="shared" si="4"/>
        <v>272165.91799999995</v>
      </c>
    </row>
    <row r="56" spans="1:7" ht="14.25" customHeight="1">
      <c r="A56" s="663"/>
      <c r="B56" s="663"/>
      <c r="C56" s="651" t="s">
        <v>21</v>
      </c>
      <c r="D56" s="16">
        <f t="shared" ref="D56:G56" si="5">D55+D37</f>
        <v>105626.64999999863</v>
      </c>
      <c r="E56" s="16">
        <f t="shared" si="5"/>
        <v>17567.388999997114</v>
      </c>
      <c r="F56" s="16">
        <f t="shared" si="5"/>
        <v>-37590.066250000615</v>
      </c>
      <c r="G56" s="16">
        <f t="shared" si="5"/>
        <v>-92774.342000001692</v>
      </c>
    </row>
    <row r="57" spans="1:7" s="630" customFormat="1" ht="15.75" customHeight="1">
      <c r="A57" s="664">
        <v>380</v>
      </c>
      <c r="B57" s="665"/>
      <c r="C57" s="666" t="s">
        <v>484</v>
      </c>
      <c r="D57" s="290">
        <v>0</v>
      </c>
      <c r="E57" s="291">
        <v>0</v>
      </c>
      <c r="F57" s="290">
        <v>0</v>
      </c>
      <c r="G57" s="291">
        <v>0</v>
      </c>
    </row>
    <row r="58" spans="1:7" s="630" customFormat="1" ht="15.75" customHeight="1">
      <c r="A58" s="664">
        <v>381</v>
      </c>
      <c r="B58" s="665"/>
      <c r="C58" s="666" t="s">
        <v>485</v>
      </c>
      <c r="D58" s="290">
        <v>0</v>
      </c>
      <c r="E58" s="291">
        <v>0</v>
      </c>
      <c r="F58" s="290">
        <v>0</v>
      </c>
      <c r="G58" s="291">
        <v>-150000</v>
      </c>
    </row>
    <row r="59" spans="1:7" s="641" customFormat="1" ht="14">
      <c r="A59" s="638">
        <v>383</v>
      </c>
      <c r="B59" s="639"/>
      <c r="C59" s="640" t="s">
        <v>57</v>
      </c>
      <c r="D59" s="261">
        <v>0</v>
      </c>
      <c r="E59" s="165">
        <v>0</v>
      </c>
      <c r="F59" s="261">
        <v>0</v>
      </c>
      <c r="G59" s="165">
        <v>0</v>
      </c>
    </row>
    <row r="60" spans="1:7" s="641" customFormat="1" ht="14">
      <c r="A60" s="638">
        <v>3840</v>
      </c>
      <c r="B60" s="639"/>
      <c r="C60" s="640" t="s">
        <v>241</v>
      </c>
      <c r="D60" s="272">
        <v>0</v>
      </c>
      <c r="E60" s="172">
        <v>0</v>
      </c>
      <c r="F60" s="272">
        <v>0</v>
      </c>
      <c r="G60" s="172">
        <v>0</v>
      </c>
    </row>
    <row r="61" spans="1:7" s="641" customFormat="1" ht="14">
      <c r="A61" s="638">
        <v>3841</v>
      </c>
      <c r="B61" s="639"/>
      <c r="C61" s="640" t="s">
        <v>242</v>
      </c>
      <c r="D61" s="272">
        <v>0</v>
      </c>
      <c r="E61" s="172">
        <v>0</v>
      </c>
      <c r="F61" s="272">
        <v>0</v>
      </c>
      <c r="G61" s="172">
        <v>0</v>
      </c>
    </row>
    <row r="62" spans="1:7" s="641" customFormat="1" ht="14">
      <c r="A62" s="667">
        <v>386</v>
      </c>
      <c r="B62" s="668"/>
      <c r="C62" s="669" t="s">
        <v>243</v>
      </c>
      <c r="D62" s="272">
        <v>0</v>
      </c>
      <c r="E62" s="172">
        <v>0</v>
      </c>
      <c r="F62" s="272">
        <v>0</v>
      </c>
      <c r="G62" s="172">
        <v>0</v>
      </c>
    </row>
    <row r="63" spans="1:7" s="641" customFormat="1" ht="28">
      <c r="A63" s="638">
        <v>387</v>
      </c>
      <c r="B63" s="639"/>
      <c r="C63" s="640" t="s">
        <v>58</v>
      </c>
      <c r="D63" s="272">
        <v>0</v>
      </c>
      <c r="E63" s="172">
        <v>0</v>
      </c>
      <c r="F63" s="272">
        <v>0</v>
      </c>
      <c r="G63" s="172">
        <v>0</v>
      </c>
    </row>
    <row r="64" spans="1:7" s="641" customFormat="1">
      <c r="A64" s="637">
        <v>389</v>
      </c>
      <c r="B64" s="670"/>
      <c r="C64" s="633" t="s">
        <v>7</v>
      </c>
      <c r="D64" s="152">
        <v>0</v>
      </c>
      <c r="E64" s="141">
        <v>0</v>
      </c>
      <c r="F64" s="152">
        <v>0</v>
      </c>
      <c r="G64" s="141">
        <v>0</v>
      </c>
    </row>
    <row r="65" spans="1:7" s="630" customFormat="1">
      <c r="A65" s="631" t="s">
        <v>471</v>
      </c>
      <c r="B65" s="632"/>
      <c r="C65" s="633" t="s">
        <v>244</v>
      </c>
      <c r="D65" s="152">
        <v>0</v>
      </c>
      <c r="E65" s="141">
        <v>0</v>
      </c>
      <c r="F65" s="152">
        <v>0</v>
      </c>
      <c r="G65" s="141">
        <v>0</v>
      </c>
    </row>
    <row r="66" spans="1:7" s="673" customFormat="1" ht="14">
      <c r="A66" s="671" t="s">
        <v>472</v>
      </c>
      <c r="B66" s="672"/>
      <c r="C66" s="640" t="s">
        <v>245</v>
      </c>
      <c r="D66" s="260">
        <v>0</v>
      </c>
      <c r="E66" s="165">
        <v>0</v>
      </c>
      <c r="F66" s="260">
        <v>0</v>
      </c>
      <c r="G66" s="165">
        <v>0</v>
      </c>
    </row>
    <row r="67" spans="1:7" s="630" customFormat="1">
      <c r="A67" s="671">
        <v>481</v>
      </c>
      <c r="B67" s="632"/>
      <c r="C67" s="633" t="s">
        <v>246</v>
      </c>
      <c r="D67" s="152">
        <v>0</v>
      </c>
      <c r="E67" s="141">
        <v>0</v>
      </c>
      <c r="F67" s="152">
        <v>0</v>
      </c>
      <c r="G67" s="141">
        <v>0</v>
      </c>
    </row>
    <row r="68" spans="1:7" s="630" customFormat="1">
      <c r="A68" s="671">
        <v>482</v>
      </c>
      <c r="B68" s="632"/>
      <c r="C68" s="633" t="s">
        <v>247</v>
      </c>
      <c r="D68" s="152">
        <v>0</v>
      </c>
      <c r="E68" s="141">
        <v>0</v>
      </c>
      <c r="F68" s="152">
        <v>0</v>
      </c>
      <c r="G68" s="141">
        <v>0</v>
      </c>
    </row>
    <row r="69" spans="1:7" s="630" customFormat="1">
      <c r="A69" s="671">
        <v>483</v>
      </c>
      <c r="B69" s="632"/>
      <c r="C69" s="633" t="s">
        <v>248</v>
      </c>
      <c r="D69" s="152">
        <v>0</v>
      </c>
      <c r="E69" s="141">
        <v>0</v>
      </c>
      <c r="F69" s="152">
        <v>0</v>
      </c>
      <c r="G69" s="141">
        <v>0</v>
      </c>
    </row>
    <row r="70" spans="1:7" s="630" customFormat="1">
      <c r="A70" s="671">
        <v>484</v>
      </c>
      <c r="B70" s="632"/>
      <c r="C70" s="633" t="s">
        <v>249</v>
      </c>
      <c r="D70" s="152">
        <v>0</v>
      </c>
      <c r="E70" s="141">
        <v>0</v>
      </c>
      <c r="F70" s="152">
        <v>0</v>
      </c>
      <c r="G70" s="141">
        <v>0</v>
      </c>
    </row>
    <row r="71" spans="1:7" s="630" customFormat="1">
      <c r="A71" s="671">
        <v>485</v>
      </c>
      <c r="B71" s="632"/>
      <c r="C71" s="633" t="s">
        <v>250</v>
      </c>
      <c r="D71" s="152">
        <v>0</v>
      </c>
      <c r="E71" s="141">
        <v>0</v>
      </c>
      <c r="F71" s="152">
        <v>0</v>
      </c>
      <c r="G71" s="141">
        <v>0</v>
      </c>
    </row>
    <row r="72" spans="1:7" s="630" customFormat="1">
      <c r="A72" s="671">
        <v>486</v>
      </c>
      <c r="B72" s="632"/>
      <c r="C72" s="633" t="s">
        <v>251</v>
      </c>
      <c r="D72" s="152">
        <v>0</v>
      </c>
      <c r="E72" s="141">
        <v>0</v>
      </c>
      <c r="F72" s="152">
        <v>0</v>
      </c>
      <c r="G72" s="141">
        <v>0</v>
      </c>
    </row>
    <row r="73" spans="1:7" s="641" customFormat="1">
      <c r="A73" s="671">
        <v>487</v>
      </c>
      <c r="B73" s="635"/>
      <c r="C73" s="633" t="s">
        <v>64</v>
      </c>
      <c r="D73" s="140">
        <v>0</v>
      </c>
      <c r="E73" s="141">
        <v>0</v>
      </c>
      <c r="F73" s="140">
        <v>0</v>
      </c>
      <c r="G73" s="141">
        <v>0</v>
      </c>
    </row>
    <row r="74" spans="1:7" s="641" customFormat="1">
      <c r="A74" s="671">
        <v>489</v>
      </c>
      <c r="B74" s="674"/>
      <c r="C74" s="649" t="s">
        <v>18</v>
      </c>
      <c r="D74" s="140">
        <v>0</v>
      </c>
      <c r="E74" s="141">
        <v>0</v>
      </c>
      <c r="F74" s="140">
        <v>0</v>
      </c>
      <c r="G74" s="141">
        <v>0</v>
      </c>
    </row>
    <row r="75" spans="1:7" s="641" customFormat="1">
      <c r="A75" s="675" t="s">
        <v>381</v>
      </c>
      <c r="B75" s="674"/>
      <c r="C75" s="662" t="s">
        <v>382</v>
      </c>
      <c r="D75" s="152">
        <v>0</v>
      </c>
      <c r="E75" s="141">
        <v>0</v>
      </c>
      <c r="F75" s="152">
        <v>0</v>
      </c>
      <c r="G75" s="141">
        <v>0</v>
      </c>
    </row>
    <row r="76" spans="1:7">
      <c r="A76" s="650"/>
      <c r="B76" s="650"/>
      <c r="C76" s="651" t="s">
        <v>22</v>
      </c>
      <c r="D76" s="16">
        <f t="shared" ref="D76:E76" si="6">SUM(D65:D74)-SUM(D57:D64)</f>
        <v>0</v>
      </c>
      <c r="E76" s="16">
        <f t="shared" si="6"/>
        <v>0</v>
      </c>
      <c r="F76" s="16">
        <f t="shared" ref="F76:G76" si="7">SUM(F65:F74)-SUM(F57:F64)</f>
        <v>0</v>
      </c>
      <c r="G76" s="16">
        <f t="shared" si="7"/>
        <v>150000</v>
      </c>
    </row>
    <row r="77" spans="1:7">
      <c r="A77" s="676"/>
      <c r="B77" s="676"/>
      <c r="C77" s="651" t="s">
        <v>23</v>
      </c>
      <c r="D77" s="16">
        <f t="shared" ref="D77:G77" si="8">D56+D76</f>
        <v>105626.64999999863</v>
      </c>
      <c r="E77" s="16">
        <f t="shared" si="8"/>
        <v>17567.388999997114</v>
      </c>
      <c r="F77" s="16">
        <f t="shared" si="8"/>
        <v>-37590.066250000615</v>
      </c>
      <c r="G77" s="16">
        <f t="shared" si="8"/>
        <v>57225.657999998308</v>
      </c>
    </row>
    <row r="78" spans="1:7">
      <c r="A78" s="677">
        <v>3</v>
      </c>
      <c r="B78" s="677"/>
      <c r="C78" s="678" t="s">
        <v>479</v>
      </c>
      <c r="D78" s="679">
        <f t="shared" ref="D78:E78" si="9">D20+D21+SUM(D38:D43)+SUM(D57:D64)</f>
        <v>14157694.850000001</v>
      </c>
      <c r="E78" s="679">
        <f t="shared" si="9"/>
        <v>14217405.07</v>
      </c>
      <c r="F78" s="679">
        <f t="shared" ref="F78:G78" si="10">F20+F21+SUM(F38:F43)+SUM(F57:F64)</f>
        <v>14226798.462679999</v>
      </c>
      <c r="G78" s="679">
        <f t="shared" si="10"/>
        <v>14429956.727</v>
      </c>
    </row>
    <row r="79" spans="1:7" ht="14" customHeight="1">
      <c r="A79" s="677">
        <v>4</v>
      </c>
      <c r="B79" s="677"/>
      <c r="C79" s="678" t="s">
        <v>480</v>
      </c>
      <c r="D79" s="679">
        <f t="shared" ref="D79:G79" si="11">D35+D36+SUM(D44:D53)+SUM(D65:D74)</f>
        <v>14263321.5</v>
      </c>
      <c r="E79" s="679">
        <f t="shared" si="11"/>
        <v>14234972.458999997</v>
      </c>
      <c r="F79" s="679">
        <f t="shared" si="11"/>
        <v>14189208.396429999</v>
      </c>
      <c r="G79" s="679">
        <f t="shared" si="11"/>
        <v>14487182.384999998</v>
      </c>
    </row>
    <row r="80" spans="1:7">
      <c r="C80" s="680"/>
      <c r="D80" s="86"/>
      <c r="E80" s="86"/>
    </row>
    <row r="81" spans="1:7">
      <c r="A81" s="794" t="s">
        <v>25</v>
      </c>
      <c r="B81" s="795"/>
      <c r="C81" s="795"/>
      <c r="D81" s="88"/>
      <c r="E81" s="87"/>
    </row>
    <row r="82" spans="1:7" s="630" customFormat="1">
      <c r="A82" s="681">
        <v>50</v>
      </c>
      <c r="B82" s="682"/>
      <c r="C82" s="682" t="s">
        <v>252</v>
      </c>
      <c r="D82" s="152">
        <v>552906</v>
      </c>
      <c r="E82" s="141">
        <v>518703</v>
      </c>
      <c r="F82" s="183">
        <v>619146.24438000005</v>
      </c>
      <c r="G82" s="183">
        <v>426479.1</v>
      </c>
    </row>
    <row r="83" spans="1:7" s="630" customFormat="1">
      <c r="A83" s="681">
        <v>51</v>
      </c>
      <c r="B83" s="682"/>
      <c r="C83" s="682" t="s">
        <v>253</v>
      </c>
      <c r="D83" s="152">
        <v>721</v>
      </c>
      <c r="E83" s="141">
        <v>400</v>
      </c>
      <c r="F83" s="152">
        <v>172.78870000000001</v>
      </c>
      <c r="G83" s="141">
        <v>1495.7</v>
      </c>
    </row>
    <row r="84" spans="1:7" s="630" customFormat="1">
      <c r="A84" s="681">
        <v>52</v>
      </c>
      <c r="B84" s="682"/>
      <c r="C84" s="682" t="s">
        <v>254</v>
      </c>
      <c r="D84" s="152">
        <v>22315</v>
      </c>
      <c r="E84" s="141">
        <v>50440.6</v>
      </c>
      <c r="F84" s="152">
        <v>26002.60139</v>
      </c>
      <c r="G84" s="141">
        <v>42830.2</v>
      </c>
    </row>
    <row r="85" spans="1:7" s="630" customFormat="1">
      <c r="A85" s="683">
        <v>54</v>
      </c>
      <c r="B85" s="684"/>
      <c r="C85" s="684" t="s">
        <v>89</v>
      </c>
      <c r="D85" s="250">
        <v>14124</v>
      </c>
      <c r="E85" s="143">
        <v>104775</v>
      </c>
      <c r="F85" s="250">
        <v>12106.468800000001</v>
      </c>
      <c r="G85" s="143">
        <v>52625</v>
      </c>
    </row>
    <row r="86" spans="1:7" s="630" customFormat="1">
      <c r="A86" s="683">
        <v>55</v>
      </c>
      <c r="B86" s="684"/>
      <c r="C86" s="684" t="s">
        <v>181</v>
      </c>
      <c r="D86" s="250">
        <v>2</v>
      </c>
      <c r="E86" s="143">
        <v>0</v>
      </c>
      <c r="F86" s="250">
        <v>0</v>
      </c>
      <c r="G86" s="143">
        <v>200</v>
      </c>
    </row>
    <row r="87" spans="1:7" s="630" customFormat="1">
      <c r="A87" s="683">
        <v>56</v>
      </c>
      <c r="B87" s="684"/>
      <c r="C87" s="684" t="s">
        <v>255</v>
      </c>
      <c r="D87" s="250">
        <v>226384</v>
      </c>
      <c r="E87" s="143">
        <v>273530.7</v>
      </c>
      <c r="F87" s="250">
        <v>208015.25093000001</v>
      </c>
      <c r="G87" s="629">
        <v>276350.7</v>
      </c>
    </row>
    <row r="88" spans="1:7" s="630" customFormat="1">
      <c r="A88" s="681">
        <v>57</v>
      </c>
      <c r="B88" s="682"/>
      <c r="C88" s="682" t="s">
        <v>150</v>
      </c>
      <c r="D88" s="152">
        <v>42564</v>
      </c>
      <c r="E88" s="141">
        <v>36728</v>
      </c>
      <c r="F88" s="152">
        <v>31354.210850000003</v>
      </c>
      <c r="G88" s="141">
        <v>31730</v>
      </c>
    </row>
    <row r="89" spans="1:7" s="630" customFormat="1">
      <c r="A89" s="681">
        <v>580</v>
      </c>
      <c r="B89" s="682"/>
      <c r="C89" s="682" t="s">
        <v>256</v>
      </c>
      <c r="D89" s="152">
        <v>0</v>
      </c>
      <c r="E89" s="141">
        <v>0</v>
      </c>
      <c r="F89" s="152">
        <v>0</v>
      </c>
      <c r="G89" s="141">
        <v>0</v>
      </c>
    </row>
    <row r="90" spans="1:7" s="630" customFormat="1">
      <c r="A90" s="681">
        <v>582</v>
      </c>
      <c r="B90" s="682"/>
      <c r="C90" s="682" t="s">
        <v>257</v>
      </c>
      <c r="D90" s="152">
        <v>0</v>
      </c>
      <c r="E90" s="141">
        <v>0</v>
      </c>
      <c r="F90" s="152">
        <v>0</v>
      </c>
      <c r="G90" s="141">
        <v>0</v>
      </c>
    </row>
    <row r="91" spans="1:7" s="630" customFormat="1">
      <c r="A91" s="681">
        <v>584</v>
      </c>
      <c r="B91" s="682"/>
      <c r="C91" s="682" t="s">
        <v>258</v>
      </c>
      <c r="D91" s="152">
        <v>0</v>
      </c>
      <c r="E91" s="141">
        <v>0</v>
      </c>
      <c r="F91" s="152">
        <v>0</v>
      </c>
      <c r="G91" s="141">
        <v>0</v>
      </c>
    </row>
    <row r="92" spans="1:7" s="630" customFormat="1">
      <c r="A92" s="681">
        <v>585</v>
      </c>
      <c r="B92" s="682"/>
      <c r="C92" s="682" t="s">
        <v>259</v>
      </c>
      <c r="D92" s="152">
        <v>0</v>
      </c>
      <c r="E92" s="141">
        <v>0</v>
      </c>
      <c r="F92" s="152">
        <v>0</v>
      </c>
      <c r="G92" s="141">
        <v>0</v>
      </c>
    </row>
    <row r="93" spans="1:7" s="630" customFormat="1">
      <c r="A93" s="681">
        <v>586</v>
      </c>
      <c r="B93" s="682"/>
      <c r="C93" s="682" t="s">
        <v>260</v>
      </c>
      <c r="D93" s="152">
        <v>0</v>
      </c>
      <c r="E93" s="141">
        <v>0</v>
      </c>
      <c r="F93" s="152">
        <v>0</v>
      </c>
      <c r="G93" s="141">
        <v>0</v>
      </c>
    </row>
    <row r="94" spans="1:7" s="630" customFormat="1">
      <c r="A94" s="685">
        <v>589</v>
      </c>
      <c r="B94" s="686"/>
      <c r="C94" s="686" t="s">
        <v>261</v>
      </c>
      <c r="D94" s="273">
        <v>0</v>
      </c>
      <c r="E94" s="147">
        <v>0</v>
      </c>
      <c r="F94" s="273">
        <v>0</v>
      </c>
      <c r="G94" s="147">
        <v>0</v>
      </c>
    </row>
    <row r="95" spans="1:7">
      <c r="A95" s="687">
        <v>5</v>
      </c>
      <c r="B95" s="688"/>
      <c r="C95" s="688" t="s">
        <v>133</v>
      </c>
      <c r="D95" s="689">
        <f t="shared" ref="D95:G95" si="12">SUM(D82:D94)</f>
        <v>859016</v>
      </c>
      <c r="E95" s="689">
        <f t="shared" si="12"/>
        <v>984577.3</v>
      </c>
      <c r="F95" s="689">
        <f t="shared" si="12"/>
        <v>896797.56505000009</v>
      </c>
      <c r="G95" s="689">
        <f t="shared" si="12"/>
        <v>831710.7</v>
      </c>
    </row>
    <row r="96" spans="1:7" s="630" customFormat="1">
      <c r="A96" s="681">
        <v>60</v>
      </c>
      <c r="B96" s="682"/>
      <c r="C96" s="682" t="s">
        <v>262</v>
      </c>
      <c r="D96" s="152">
        <v>69934</v>
      </c>
      <c r="E96" s="141">
        <v>100</v>
      </c>
      <c r="F96" s="152">
        <v>11221.70909</v>
      </c>
      <c r="G96" s="141">
        <v>160</v>
      </c>
    </row>
    <row r="97" spans="1:7" s="630" customFormat="1">
      <c r="A97" s="681">
        <v>61</v>
      </c>
      <c r="B97" s="682"/>
      <c r="C97" s="682" t="s">
        <v>263</v>
      </c>
      <c r="D97" s="152">
        <v>18926</v>
      </c>
      <c r="E97" s="141">
        <v>6900</v>
      </c>
      <c r="F97" s="152">
        <v>129.14599999999999</v>
      </c>
      <c r="G97" s="141">
        <v>1495.7</v>
      </c>
    </row>
    <row r="98" spans="1:7" s="630" customFormat="1">
      <c r="A98" s="681">
        <v>62</v>
      </c>
      <c r="B98" s="682"/>
      <c r="C98" s="682" t="s">
        <v>264</v>
      </c>
      <c r="D98" s="152">
        <v>477</v>
      </c>
      <c r="E98" s="141">
        <v>551.20000000000005</v>
      </c>
      <c r="F98" s="152">
        <v>180.65885</v>
      </c>
      <c r="G98" s="141">
        <v>576.5</v>
      </c>
    </row>
    <row r="99" spans="1:7" s="630" customFormat="1">
      <c r="A99" s="681">
        <v>63</v>
      </c>
      <c r="B99" s="682"/>
      <c r="C99" s="682" t="s">
        <v>265</v>
      </c>
      <c r="D99" s="152">
        <v>56404</v>
      </c>
      <c r="E99" s="141">
        <v>55011.3</v>
      </c>
      <c r="F99" s="152">
        <v>39170.721979999995</v>
      </c>
      <c r="G99" s="629">
        <v>34758.300000000003</v>
      </c>
    </row>
    <row r="100" spans="1:7" s="630" customFormat="1">
      <c r="A100" s="681">
        <v>64</v>
      </c>
      <c r="B100" s="682"/>
      <c r="C100" s="682" t="s">
        <v>185</v>
      </c>
      <c r="D100" s="152">
        <v>138641</v>
      </c>
      <c r="E100" s="141">
        <v>108798</v>
      </c>
      <c r="F100" s="152">
        <v>211159.95454000001</v>
      </c>
      <c r="G100" s="141">
        <v>105327.5</v>
      </c>
    </row>
    <row r="101" spans="1:7" s="630" customFormat="1">
      <c r="A101" s="681">
        <v>65</v>
      </c>
      <c r="B101" s="682"/>
      <c r="C101" s="682" t="s">
        <v>186</v>
      </c>
      <c r="D101" s="152">
        <v>375</v>
      </c>
      <c r="E101" s="141">
        <v>0</v>
      </c>
      <c r="F101" s="152">
        <v>0</v>
      </c>
      <c r="G101" s="141">
        <v>0</v>
      </c>
    </row>
    <row r="102" spans="1:7" s="630" customFormat="1">
      <c r="A102" s="681">
        <v>66</v>
      </c>
      <c r="B102" s="682"/>
      <c r="C102" s="682" t="s">
        <v>266</v>
      </c>
      <c r="D102" s="152">
        <v>13086</v>
      </c>
      <c r="E102" s="141">
        <v>200</v>
      </c>
      <c r="F102" s="152">
        <v>850.43333999999993</v>
      </c>
      <c r="G102" s="141">
        <v>5600</v>
      </c>
    </row>
    <row r="103" spans="1:7" s="630" customFormat="1">
      <c r="A103" s="681">
        <v>67</v>
      </c>
      <c r="B103" s="682"/>
      <c r="C103" s="682" t="s">
        <v>150</v>
      </c>
      <c r="D103" s="140">
        <v>42564</v>
      </c>
      <c r="E103" s="138">
        <v>36728</v>
      </c>
      <c r="F103" s="140">
        <v>31354.210850000003</v>
      </c>
      <c r="G103" s="138">
        <v>31730</v>
      </c>
    </row>
    <row r="104" spans="1:7" s="630" customFormat="1" ht="28">
      <c r="A104" s="690" t="s">
        <v>268</v>
      </c>
      <c r="B104" s="682"/>
      <c r="C104" s="691" t="s">
        <v>267</v>
      </c>
      <c r="D104" s="261">
        <v>0</v>
      </c>
      <c r="E104" s="202">
        <v>0</v>
      </c>
      <c r="F104" s="261">
        <v>0</v>
      </c>
      <c r="G104" s="202">
        <v>0</v>
      </c>
    </row>
    <row r="105" spans="1:7" s="630" customFormat="1" ht="42">
      <c r="A105" s="692" t="s">
        <v>269</v>
      </c>
      <c r="B105" s="686"/>
      <c r="C105" s="693" t="s">
        <v>270</v>
      </c>
      <c r="D105" s="198">
        <v>0</v>
      </c>
      <c r="E105" s="199">
        <v>0</v>
      </c>
      <c r="F105" s="198">
        <v>0</v>
      </c>
      <c r="G105" s="199">
        <v>0</v>
      </c>
    </row>
    <row r="106" spans="1:7">
      <c r="A106" s="687">
        <v>6</v>
      </c>
      <c r="B106" s="688"/>
      <c r="C106" s="688" t="s">
        <v>134</v>
      </c>
      <c r="D106" s="689">
        <f t="shared" ref="D106:G106" si="13">SUM(D96:D105)</f>
        <v>340407</v>
      </c>
      <c r="E106" s="689">
        <f t="shared" si="13"/>
        <v>208288.5</v>
      </c>
      <c r="F106" s="689">
        <f t="shared" si="13"/>
        <v>294066.83464999998</v>
      </c>
      <c r="G106" s="689">
        <f t="shared" si="13"/>
        <v>179648</v>
      </c>
    </row>
    <row r="107" spans="1:7">
      <c r="A107" s="694" t="s">
        <v>387</v>
      </c>
      <c r="B107" s="694"/>
      <c r="C107" s="688" t="s">
        <v>145</v>
      </c>
      <c r="D107" s="689">
        <f t="shared" ref="D107:G107" si="14">(D95-D88)-(D106-D103)</f>
        <v>518609</v>
      </c>
      <c r="E107" s="689">
        <f t="shared" si="14"/>
        <v>776288.8</v>
      </c>
      <c r="F107" s="689">
        <f t="shared" si="14"/>
        <v>602730.73040000012</v>
      </c>
      <c r="G107" s="689">
        <f t="shared" si="14"/>
        <v>652062.69999999995</v>
      </c>
    </row>
    <row r="108" spans="1:7">
      <c r="A108" s="695" t="s">
        <v>407</v>
      </c>
      <c r="B108" s="695"/>
      <c r="C108" s="696" t="s">
        <v>151</v>
      </c>
      <c r="D108" s="697">
        <f t="shared" ref="D108:G108" si="15">D107-D85-D86+D100+D101</f>
        <v>643499</v>
      </c>
      <c r="E108" s="697">
        <f t="shared" si="15"/>
        <v>780311.8</v>
      </c>
      <c r="F108" s="697">
        <f t="shared" si="15"/>
        <v>801784.21614000015</v>
      </c>
      <c r="G108" s="697">
        <f t="shared" si="15"/>
        <v>704565.2</v>
      </c>
    </row>
    <row r="109" spans="1:7">
      <c r="C109" s="680"/>
      <c r="D109" s="86"/>
      <c r="E109" s="86"/>
    </row>
    <row r="110" spans="1:7">
      <c r="A110" s="698" t="s">
        <v>96</v>
      </c>
      <c r="B110" s="699"/>
      <c r="C110" s="698"/>
      <c r="D110" s="86"/>
      <c r="E110" s="86"/>
    </row>
    <row r="111" spans="1:7" s="630" customFormat="1">
      <c r="A111" s="700">
        <v>10</v>
      </c>
      <c r="B111" s="701"/>
      <c r="C111" s="701" t="s">
        <v>27</v>
      </c>
      <c r="D111" s="336">
        <f t="shared" ref="D111:G111" si="16">D112+D117</f>
        <v>7703314.4700000007</v>
      </c>
      <c r="E111" s="337">
        <f t="shared" si="16"/>
        <v>0</v>
      </c>
      <c r="F111" s="337">
        <f t="shared" si="16"/>
        <v>6590996.6641600002</v>
      </c>
      <c r="G111" s="337">
        <f t="shared" si="16"/>
        <v>0</v>
      </c>
    </row>
    <row r="112" spans="1:7" s="630" customFormat="1">
      <c r="A112" s="702" t="s">
        <v>288</v>
      </c>
      <c r="B112" s="703"/>
      <c r="C112" s="703" t="s">
        <v>289</v>
      </c>
      <c r="D112" s="336">
        <f t="shared" ref="D112:G112" si="17">D113+D114+D115+D116</f>
        <v>6444255.7300000004</v>
      </c>
      <c r="E112" s="337">
        <f t="shared" si="17"/>
        <v>0</v>
      </c>
      <c r="F112" s="337">
        <f t="shared" si="17"/>
        <v>5287710.3342599999</v>
      </c>
      <c r="G112" s="337">
        <f t="shared" si="17"/>
        <v>0</v>
      </c>
    </row>
    <row r="113" spans="1:7" s="630" customFormat="1">
      <c r="A113" s="704" t="s">
        <v>466</v>
      </c>
      <c r="B113" s="705"/>
      <c r="C113" s="705" t="s">
        <v>290</v>
      </c>
      <c r="D113" s="150">
        <f>2337111.5+3158380</f>
        <v>5495491.5</v>
      </c>
      <c r="E113" s="155">
        <v>0</v>
      </c>
      <c r="F113" s="150">
        <f>1425640.78+3049351.193</f>
        <v>4474991.9730000002</v>
      </c>
      <c r="G113" s="155"/>
    </row>
    <row r="114" spans="1:7" s="673" customFormat="1" ht="15" customHeight="1">
      <c r="A114" s="706">
        <v>102</v>
      </c>
      <c r="B114" s="707"/>
      <c r="C114" s="707" t="s">
        <v>291</v>
      </c>
      <c r="D114" s="184">
        <v>228381.4</v>
      </c>
      <c r="E114" s="275"/>
      <c r="F114" s="184">
        <v>180191.96059999999</v>
      </c>
      <c r="G114" s="275"/>
    </row>
    <row r="115" spans="1:7" s="630" customFormat="1">
      <c r="A115" s="704">
        <v>104</v>
      </c>
      <c r="B115" s="705"/>
      <c r="C115" s="705" t="s">
        <v>273</v>
      </c>
      <c r="D115" s="150">
        <v>654889.79</v>
      </c>
      <c r="E115" s="155"/>
      <c r="F115" s="150">
        <v>571282.70698999998</v>
      </c>
      <c r="G115" s="155"/>
    </row>
    <row r="116" spans="1:7" s="630" customFormat="1">
      <c r="A116" s="704">
        <v>106</v>
      </c>
      <c r="B116" s="705"/>
      <c r="C116" s="705" t="s">
        <v>481</v>
      </c>
      <c r="D116" s="150">
        <v>65493.04</v>
      </c>
      <c r="E116" s="155"/>
      <c r="F116" s="150">
        <v>61243.693670000001</v>
      </c>
      <c r="G116" s="155"/>
    </row>
    <row r="117" spans="1:7" s="630" customFormat="1">
      <c r="A117" s="702" t="s">
        <v>292</v>
      </c>
      <c r="B117" s="703"/>
      <c r="C117" s="703" t="s">
        <v>293</v>
      </c>
      <c r="D117" s="336">
        <f t="shared" ref="D117:G117" si="18">D118+D119+D120</f>
        <v>1259058.74</v>
      </c>
      <c r="E117" s="337">
        <f t="shared" si="18"/>
        <v>0</v>
      </c>
      <c r="F117" s="337">
        <f t="shared" si="18"/>
        <v>1303286.3299</v>
      </c>
      <c r="G117" s="337">
        <f t="shared" si="18"/>
        <v>0</v>
      </c>
    </row>
    <row r="118" spans="1:7" s="630" customFormat="1">
      <c r="A118" s="704">
        <v>107</v>
      </c>
      <c r="B118" s="705"/>
      <c r="C118" s="705" t="s">
        <v>294</v>
      </c>
      <c r="D118" s="150">
        <v>227186.79</v>
      </c>
      <c r="E118" s="155">
        <v>0</v>
      </c>
      <c r="F118" s="150">
        <v>284028.6397</v>
      </c>
      <c r="G118" s="155"/>
    </row>
    <row r="119" spans="1:7" s="630" customFormat="1">
      <c r="A119" s="704">
        <v>108</v>
      </c>
      <c r="B119" s="705"/>
      <c r="C119" s="705" t="s">
        <v>295</v>
      </c>
      <c r="D119" s="150">
        <v>1031871.95</v>
      </c>
      <c r="E119" s="155">
        <v>0</v>
      </c>
      <c r="F119" s="150">
        <v>1019257.6902000001</v>
      </c>
      <c r="G119" s="155"/>
    </row>
    <row r="120" spans="1:7" s="709" customFormat="1" ht="14">
      <c r="A120" s="706">
        <v>109</v>
      </c>
      <c r="B120" s="708"/>
      <c r="C120" s="708" t="s">
        <v>281</v>
      </c>
      <c r="D120" s="124">
        <v>0</v>
      </c>
      <c r="E120" s="274">
        <v>0</v>
      </c>
      <c r="F120" s="124">
        <v>0</v>
      </c>
      <c r="G120" s="274"/>
    </row>
    <row r="121" spans="1:7" s="630" customFormat="1">
      <c r="A121" s="702">
        <v>14</v>
      </c>
      <c r="B121" s="703"/>
      <c r="C121" s="703" t="s">
        <v>28</v>
      </c>
      <c r="D121" s="336">
        <f t="shared" ref="D121:G121" si="19">SUM(D122:D130)</f>
        <v>14222351.800000001</v>
      </c>
      <c r="E121" s="336">
        <f t="shared" si="19"/>
        <v>0</v>
      </c>
      <c r="F121" s="336">
        <f t="shared" si="19"/>
        <v>14237719.720179999</v>
      </c>
      <c r="G121" s="336">
        <f t="shared" si="19"/>
        <v>0</v>
      </c>
    </row>
    <row r="122" spans="1:7" s="630" customFormat="1">
      <c r="A122" s="710" t="s">
        <v>467</v>
      </c>
      <c r="B122" s="711"/>
      <c r="C122" s="711" t="s">
        <v>274</v>
      </c>
      <c r="D122" s="105">
        <f>7563305.6+76635.6</f>
        <v>7639941.1999999993</v>
      </c>
      <c r="E122" s="113">
        <v>0</v>
      </c>
      <c r="F122" s="105">
        <f>7716008.296+76489.441</f>
        <v>7792497.7369999997</v>
      </c>
      <c r="G122" s="113"/>
    </row>
    <row r="123" spans="1:7" s="630" customFormat="1">
      <c r="A123" s="710">
        <v>144</v>
      </c>
      <c r="B123" s="711"/>
      <c r="C123" s="711" t="s">
        <v>89</v>
      </c>
      <c r="D123" s="105">
        <f>67132.38+1409666.55</f>
        <v>1476798.9300000002</v>
      </c>
      <c r="E123" s="113">
        <v>0</v>
      </c>
      <c r="F123" s="150">
        <f>1219157.17435 + 73292.384</f>
        <v>1292449.5583500001</v>
      </c>
      <c r="G123" s="113"/>
    </row>
    <row r="124" spans="1:7" s="630" customFormat="1">
      <c r="A124" s="710">
        <v>145</v>
      </c>
      <c r="B124" s="711"/>
      <c r="C124" s="711" t="s">
        <v>90</v>
      </c>
      <c r="D124" s="105">
        <v>2522663.9700000002</v>
      </c>
      <c r="E124" s="210">
        <v>0</v>
      </c>
      <c r="F124" s="150">
        <v>2522619.74071</v>
      </c>
      <c r="G124" s="210"/>
    </row>
    <row r="125" spans="1:7" s="630" customFormat="1">
      <c r="A125" s="710">
        <v>146</v>
      </c>
      <c r="B125" s="711"/>
      <c r="C125" s="711" t="s">
        <v>275</v>
      </c>
      <c r="D125" s="105">
        <v>2582947.7000000002</v>
      </c>
      <c r="E125" s="210">
        <v>0</v>
      </c>
      <c r="F125" s="150">
        <v>2630152.6841199999</v>
      </c>
      <c r="G125" s="210"/>
    </row>
    <row r="126" spans="1:7" s="709" customFormat="1" ht="29.5" customHeight="1">
      <c r="A126" s="712" t="s">
        <v>468</v>
      </c>
      <c r="B126" s="713"/>
      <c r="C126" s="713" t="s">
        <v>276</v>
      </c>
      <c r="D126" s="117">
        <v>0</v>
      </c>
      <c r="E126" s="276">
        <v>0</v>
      </c>
      <c r="F126" s="117">
        <v>0</v>
      </c>
      <c r="G126" s="276"/>
    </row>
    <row r="127" spans="1:7" s="630" customFormat="1">
      <c r="A127" s="710">
        <v>1484</v>
      </c>
      <c r="B127" s="711"/>
      <c r="C127" s="711" t="s">
        <v>277</v>
      </c>
      <c r="D127" s="105">
        <v>0</v>
      </c>
      <c r="E127" s="210">
        <v>0</v>
      </c>
      <c r="F127" s="105">
        <v>0</v>
      </c>
      <c r="G127" s="210"/>
    </row>
    <row r="128" spans="1:7" s="630" customFormat="1">
      <c r="A128" s="710">
        <v>1485</v>
      </c>
      <c r="B128" s="711"/>
      <c r="C128" s="711" t="s">
        <v>278</v>
      </c>
      <c r="D128" s="105">
        <v>0</v>
      </c>
      <c r="E128" s="210">
        <v>0</v>
      </c>
      <c r="F128" s="105">
        <v>0</v>
      </c>
      <c r="G128" s="210"/>
    </row>
    <row r="129" spans="1:7" s="630" customFormat="1">
      <c r="A129" s="710">
        <v>1486</v>
      </c>
      <c r="B129" s="711"/>
      <c r="C129" s="711" t="s">
        <v>280</v>
      </c>
      <c r="D129" s="105">
        <v>0</v>
      </c>
      <c r="E129" s="210">
        <v>0</v>
      </c>
      <c r="F129" s="105">
        <v>0</v>
      </c>
      <c r="G129" s="210"/>
    </row>
    <row r="130" spans="1:7" s="630" customFormat="1">
      <c r="A130" s="714">
        <v>1489</v>
      </c>
      <c r="B130" s="715"/>
      <c r="C130" s="715" t="s">
        <v>279</v>
      </c>
      <c r="D130" s="135">
        <v>0</v>
      </c>
      <c r="E130" s="277">
        <v>0</v>
      </c>
      <c r="F130" s="135">
        <v>0</v>
      </c>
      <c r="G130" s="277"/>
    </row>
    <row r="131" spans="1:7">
      <c r="A131" s="716">
        <v>1</v>
      </c>
      <c r="B131" s="717"/>
      <c r="C131" s="716" t="s">
        <v>29</v>
      </c>
      <c r="D131" s="718">
        <f>D111+D121</f>
        <v>21925666.270000003</v>
      </c>
      <c r="E131" s="718">
        <f>E111+E121</f>
        <v>0</v>
      </c>
      <c r="F131" s="718">
        <f t="shared" ref="F131:G131" si="20">F111+F121</f>
        <v>20828716.384339999</v>
      </c>
      <c r="G131" s="718">
        <f t="shared" si="20"/>
        <v>0</v>
      </c>
    </row>
    <row r="132" spans="1:7">
      <c r="C132" s="680"/>
      <c r="D132" s="86"/>
      <c r="E132" s="86"/>
    </row>
    <row r="133" spans="1:7" s="630" customFormat="1">
      <c r="A133" s="700">
        <v>20</v>
      </c>
      <c r="B133" s="701"/>
      <c r="C133" s="701" t="s">
        <v>30</v>
      </c>
      <c r="D133" s="338">
        <f>D134+D140</f>
        <v>13483912.328</v>
      </c>
      <c r="E133" s="339"/>
      <c r="F133" s="338">
        <f>F134+F140</f>
        <v>12374766.418639999</v>
      </c>
      <c r="G133" s="339"/>
    </row>
    <row r="134" spans="1:7" s="630" customFormat="1">
      <c r="A134" s="719" t="s">
        <v>286</v>
      </c>
      <c r="B134" s="703"/>
      <c r="C134" s="703" t="s">
        <v>283</v>
      </c>
      <c r="D134" s="336">
        <f t="shared" ref="D134:G134" si="21">D135+D136+D138+D139</f>
        <v>6894121.9399999995</v>
      </c>
      <c r="E134" s="337">
        <f t="shared" si="21"/>
        <v>0</v>
      </c>
      <c r="F134" s="336">
        <f t="shared" si="21"/>
        <v>5144853.3460499998</v>
      </c>
      <c r="G134" s="337">
        <f t="shared" si="21"/>
        <v>0</v>
      </c>
    </row>
    <row r="135" spans="1:7" s="641" customFormat="1">
      <c r="A135" s="720">
        <v>200</v>
      </c>
      <c r="B135" s="711"/>
      <c r="C135" s="711" t="s">
        <v>31</v>
      </c>
      <c r="D135" s="105">
        <v>1722016.76</v>
      </c>
      <c r="E135" s="113">
        <v>0</v>
      </c>
      <c r="F135" s="150">
        <v>1683595.4460400001</v>
      </c>
      <c r="G135" s="113"/>
    </row>
    <row r="136" spans="1:7" s="641" customFormat="1">
      <c r="A136" s="720">
        <v>201</v>
      </c>
      <c r="B136" s="711"/>
      <c r="C136" s="711" t="s">
        <v>32</v>
      </c>
      <c r="D136" s="105">
        <v>710859.08</v>
      </c>
      <c r="E136" s="113">
        <v>0</v>
      </c>
      <c r="F136" s="150">
        <v>1439749.49474</v>
      </c>
      <c r="G136" s="113"/>
    </row>
    <row r="137" spans="1:7" s="641" customFormat="1">
      <c r="A137" s="721" t="s">
        <v>91</v>
      </c>
      <c r="B137" s="705"/>
      <c r="C137" s="705" t="s">
        <v>92</v>
      </c>
      <c r="D137" s="150">
        <v>0</v>
      </c>
      <c r="E137" s="155">
        <v>0</v>
      </c>
      <c r="F137" s="150">
        <v>159.48400000000001</v>
      </c>
      <c r="G137" s="155"/>
    </row>
    <row r="138" spans="1:7" s="641" customFormat="1">
      <c r="A138" s="720">
        <v>204</v>
      </c>
      <c r="B138" s="711"/>
      <c r="C138" s="711" t="s">
        <v>282</v>
      </c>
      <c r="D138" s="105">
        <v>1999378.7</v>
      </c>
      <c r="E138" s="113">
        <v>0</v>
      </c>
      <c r="F138" s="150">
        <v>1589217.121</v>
      </c>
      <c r="G138" s="113"/>
    </row>
    <row r="139" spans="1:7" s="641" customFormat="1">
      <c r="A139" s="720">
        <v>205</v>
      </c>
      <c r="B139" s="711"/>
      <c r="C139" s="711" t="s">
        <v>296</v>
      </c>
      <c r="D139" s="105">
        <v>2461867.4</v>
      </c>
      <c r="E139" s="113">
        <v>0</v>
      </c>
      <c r="F139" s="150">
        <v>432291.28427</v>
      </c>
      <c r="G139" s="113"/>
    </row>
    <row r="140" spans="1:7" s="641" customFormat="1">
      <c r="A140" s="719" t="s">
        <v>287</v>
      </c>
      <c r="B140" s="703"/>
      <c r="C140" s="703" t="s">
        <v>284</v>
      </c>
      <c r="D140" s="336">
        <f t="shared" ref="D140:G140" si="22">D141+D143+D144</f>
        <v>6589790.3880000003</v>
      </c>
      <c r="E140" s="337">
        <f t="shared" si="22"/>
        <v>0</v>
      </c>
      <c r="F140" s="337">
        <f t="shared" si="22"/>
        <v>7229913.07259</v>
      </c>
      <c r="G140" s="337">
        <f t="shared" si="22"/>
        <v>0</v>
      </c>
    </row>
    <row r="141" spans="1:7" s="641" customFormat="1">
      <c r="A141" s="720">
        <v>206</v>
      </c>
      <c r="B141" s="711"/>
      <c r="C141" s="711" t="s">
        <v>33</v>
      </c>
      <c r="D141" s="105">
        <v>4532292.9879999999</v>
      </c>
      <c r="E141" s="210"/>
      <c r="F141" s="150">
        <v>5070657.6646499997</v>
      </c>
      <c r="G141" s="210"/>
    </row>
    <row r="142" spans="1:7" s="641" customFormat="1">
      <c r="A142" s="721" t="s">
        <v>93</v>
      </c>
      <c r="B142" s="705"/>
      <c r="C142" s="705" t="s">
        <v>94</v>
      </c>
      <c r="D142" s="150">
        <v>705475.55</v>
      </c>
      <c r="E142" s="213"/>
      <c r="F142" s="150">
        <v>672288.28300000005</v>
      </c>
      <c r="G142" s="213"/>
    </row>
    <row r="143" spans="1:7" s="641" customFormat="1">
      <c r="A143" s="720">
        <v>208</v>
      </c>
      <c r="B143" s="711"/>
      <c r="C143" s="711" t="s">
        <v>297</v>
      </c>
      <c r="D143" s="105">
        <v>1507069.4</v>
      </c>
      <c r="E143" s="210">
        <v>0</v>
      </c>
      <c r="F143" s="150">
        <v>1311395.2092200001</v>
      </c>
      <c r="G143" s="210"/>
    </row>
    <row r="144" spans="1:7" s="645" customFormat="1" ht="28">
      <c r="A144" s="712">
        <v>209</v>
      </c>
      <c r="B144" s="713"/>
      <c r="C144" s="713" t="s">
        <v>285</v>
      </c>
      <c r="D144" s="117">
        <v>550428</v>
      </c>
      <c r="E144" s="276">
        <v>0</v>
      </c>
      <c r="F144" s="184">
        <v>847860.19871999999</v>
      </c>
      <c r="G144" s="276"/>
    </row>
    <row r="145" spans="1:7" s="630" customFormat="1">
      <c r="A145" s="719">
        <v>29</v>
      </c>
      <c r="B145" s="703"/>
      <c r="C145" s="703" t="s">
        <v>36</v>
      </c>
      <c r="D145" s="209">
        <v>8441753.6300000008</v>
      </c>
      <c r="E145" s="210">
        <v>0</v>
      </c>
      <c r="F145" s="150">
        <v>8453949.96545</v>
      </c>
      <c r="G145" s="210"/>
    </row>
    <row r="146" spans="1:7" s="630" customFormat="1">
      <c r="A146" s="722" t="s">
        <v>190</v>
      </c>
      <c r="B146" s="723"/>
      <c r="C146" s="723" t="s">
        <v>191</v>
      </c>
      <c r="D146" s="169">
        <v>6152258.6900000004</v>
      </c>
      <c r="E146" s="174">
        <v>0</v>
      </c>
      <c r="F146" s="169">
        <v>6043124.0659999996</v>
      </c>
      <c r="G146" s="174"/>
    </row>
    <row r="147" spans="1:7">
      <c r="A147" s="716">
        <v>2</v>
      </c>
      <c r="B147" s="717"/>
      <c r="C147" s="724" t="s">
        <v>34</v>
      </c>
      <c r="D147" s="718">
        <f>D133+D145</f>
        <v>21925665.958000001</v>
      </c>
      <c r="E147" s="718">
        <f>E133+E145</f>
        <v>0</v>
      </c>
      <c r="F147" s="718">
        <f t="shared" ref="F147:G147" si="23">F133+F145</f>
        <v>20828716.384089999</v>
      </c>
      <c r="G147" s="718">
        <f t="shared" si="23"/>
        <v>0</v>
      </c>
    </row>
    <row r="148" spans="1:7" ht="7.5" customHeight="1"/>
    <row r="149" spans="1:7" ht="13.5" customHeight="1">
      <c r="A149" s="725" t="s">
        <v>95</v>
      </c>
      <c r="B149" s="726"/>
      <c r="C149" s="727" t="s">
        <v>138</v>
      </c>
      <c r="D149" s="726"/>
      <c r="E149" s="726"/>
      <c r="F149" s="726"/>
      <c r="G149" s="726"/>
    </row>
    <row r="150" spans="1:7">
      <c r="A150" s="728" t="s">
        <v>402</v>
      </c>
      <c r="B150" s="729"/>
      <c r="C150" s="730" t="s">
        <v>153</v>
      </c>
      <c r="D150" s="55">
        <f t="shared" ref="D150:E150" si="24">D77+SUM(D8:D12)-D30-D31+D16-D33+D59+D63-D73+D64-D74-D54+D20-D35</f>
        <v>711843.90999999852</v>
      </c>
      <c r="E150" s="55">
        <f t="shared" si="24"/>
        <v>564983.15599999705</v>
      </c>
      <c r="F150" s="55">
        <f t="shared" ref="F150:G150" si="25">F77+SUM(F8:F12)-F30-F31+F16-F33+F59+F63-F73+F64-F74-F54+F20-F35</f>
        <v>613073.2760499994</v>
      </c>
      <c r="G150" s="55">
        <f t="shared" si="25"/>
        <v>512208.23899999831</v>
      </c>
    </row>
    <row r="151" spans="1:7">
      <c r="A151" s="731" t="s">
        <v>403</v>
      </c>
      <c r="B151" s="726"/>
      <c r="C151" s="732" t="s">
        <v>154</v>
      </c>
      <c r="D151" s="258">
        <f t="shared" ref="D151:G151" si="26">IF(D177=0,0,D150/D177)</f>
        <v>5.2304154571035988E-2</v>
      </c>
      <c r="E151" s="258">
        <f t="shared" si="26"/>
        <v>4.1573363829065471E-2</v>
      </c>
      <c r="F151" s="258">
        <f t="shared" si="26"/>
        <v>4.5307669384696436E-2</v>
      </c>
      <c r="G151" s="258">
        <f t="shared" si="26"/>
        <v>3.7016743566973556E-2</v>
      </c>
    </row>
    <row r="152" spans="1:7" s="736" customFormat="1" ht="28">
      <c r="A152" s="733" t="s">
        <v>404</v>
      </c>
      <c r="B152" s="734"/>
      <c r="C152" s="735" t="s">
        <v>161</v>
      </c>
      <c r="D152" s="242">
        <f t="shared" ref="D152:G152" si="27">IF(D107=0,0,D150/D107)</f>
        <v>1.3726023073259401</v>
      </c>
      <c r="E152" s="242">
        <f t="shared" si="27"/>
        <v>0.7278002155898643</v>
      </c>
      <c r="F152" s="242">
        <f t="shared" si="27"/>
        <v>1.0171594795625163</v>
      </c>
      <c r="G152" s="242">
        <f t="shared" si="27"/>
        <v>0.78551991855997649</v>
      </c>
    </row>
    <row r="153" spans="1:7" s="736" customFormat="1" ht="28">
      <c r="A153" s="737" t="s">
        <v>404</v>
      </c>
      <c r="B153" s="738"/>
      <c r="C153" s="739" t="s">
        <v>162</v>
      </c>
      <c r="D153" s="245">
        <f t="shared" ref="D153:G153" si="28">IF(0=D108,0,D150/D108)</f>
        <v>1.1062082613958972</v>
      </c>
      <c r="E153" s="245">
        <f t="shared" si="28"/>
        <v>0.72404794596211031</v>
      </c>
      <c r="F153" s="245">
        <f t="shared" si="28"/>
        <v>0.76463624964020271</v>
      </c>
      <c r="G153" s="245">
        <f t="shared" si="28"/>
        <v>0.72698486811440355</v>
      </c>
    </row>
    <row r="154" spans="1:7" ht="28">
      <c r="A154" s="740" t="s">
        <v>412</v>
      </c>
      <c r="B154" s="741"/>
      <c r="C154" s="742" t="s">
        <v>163</v>
      </c>
      <c r="D154" s="56">
        <f t="shared" ref="D154:G154" si="29">D150-D107</f>
        <v>193234.90999999852</v>
      </c>
      <c r="E154" s="56">
        <f t="shared" si="29"/>
        <v>-211305.644000003</v>
      </c>
      <c r="F154" s="56">
        <f t="shared" si="29"/>
        <v>10342.545649999287</v>
      </c>
      <c r="G154" s="56">
        <f t="shared" si="29"/>
        <v>-139854.46100000164</v>
      </c>
    </row>
    <row r="155" spans="1:7" ht="28">
      <c r="A155" s="737" t="s">
        <v>413</v>
      </c>
      <c r="B155" s="738"/>
      <c r="C155" s="739" t="s">
        <v>164</v>
      </c>
      <c r="D155" s="59">
        <f t="shared" ref="D155:G155" si="30">D150-D108</f>
        <v>68344.909999998519</v>
      </c>
      <c r="E155" s="59">
        <f t="shared" si="30"/>
        <v>-215328.644000003</v>
      </c>
      <c r="F155" s="59">
        <f t="shared" si="30"/>
        <v>-188710.94009000075</v>
      </c>
      <c r="G155" s="59">
        <f t="shared" si="30"/>
        <v>-192356.96100000164</v>
      </c>
    </row>
    <row r="156" spans="1:7">
      <c r="A156" s="728" t="s">
        <v>391</v>
      </c>
      <c r="B156" s="729"/>
      <c r="C156" s="730" t="s">
        <v>35</v>
      </c>
      <c r="D156" s="47">
        <f t="shared" ref="D156:G156" si="31">D135+D136-D137+D141-D142</f>
        <v>6259693.2779999999</v>
      </c>
      <c r="E156" s="47">
        <f t="shared" si="31"/>
        <v>0</v>
      </c>
      <c r="F156" s="47">
        <f t="shared" si="31"/>
        <v>7521554.8384299995</v>
      </c>
      <c r="G156" s="47">
        <f t="shared" si="31"/>
        <v>0</v>
      </c>
    </row>
    <row r="157" spans="1:7">
      <c r="A157" s="743" t="s">
        <v>399</v>
      </c>
      <c r="B157" s="744"/>
      <c r="C157" s="745" t="s">
        <v>132</v>
      </c>
      <c r="D157" s="241">
        <f t="shared" ref="D157:G157" si="32">IF(D177=0,0,D156/D177)</f>
        <v>0.45994347943468061</v>
      </c>
      <c r="E157" s="241">
        <f t="shared" si="32"/>
        <v>0</v>
      </c>
      <c r="F157" s="241">
        <f t="shared" si="32"/>
        <v>0.55586197146629091</v>
      </c>
      <c r="G157" s="241">
        <f t="shared" si="32"/>
        <v>0</v>
      </c>
    </row>
    <row r="158" spans="1:7">
      <c r="A158" s="728" t="s">
        <v>392</v>
      </c>
      <c r="B158" s="729"/>
      <c r="C158" s="730" t="s">
        <v>393</v>
      </c>
      <c r="D158" s="47">
        <f t="shared" ref="D158:G158" si="33">D133-D142-D111</f>
        <v>5075122.3079999983</v>
      </c>
      <c r="E158" s="47">
        <f t="shared" si="33"/>
        <v>0</v>
      </c>
      <c r="F158" s="47">
        <f t="shared" si="33"/>
        <v>5111481.4714799989</v>
      </c>
      <c r="G158" s="47">
        <f t="shared" si="33"/>
        <v>0</v>
      </c>
    </row>
    <row r="159" spans="1:7">
      <c r="A159" s="731" t="s">
        <v>395</v>
      </c>
      <c r="B159" s="726"/>
      <c r="C159" s="732" t="s">
        <v>394</v>
      </c>
      <c r="D159" s="40">
        <f t="shared" ref="D159:G159" si="34">D121-D123-D124-D142-D145</f>
        <v>1075659.7199999988</v>
      </c>
      <c r="E159" s="40">
        <f t="shared" si="34"/>
        <v>0</v>
      </c>
      <c r="F159" s="40">
        <f t="shared" si="34"/>
        <v>1296412.1726699993</v>
      </c>
      <c r="G159" s="40">
        <f t="shared" si="34"/>
        <v>0</v>
      </c>
    </row>
    <row r="160" spans="1:7">
      <c r="A160" s="731" t="s">
        <v>400</v>
      </c>
      <c r="B160" s="726"/>
      <c r="C160" s="732" t="s">
        <v>115</v>
      </c>
      <c r="D160" s="240">
        <f t="shared" ref="D160" si="35">IF(D175=0,0,1000*(D158/D175))</f>
        <v>3603.9783468257338</v>
      </c>
      <c r="E160" s="240">
        <f t="shared" ref="E160:G160" si="36">IF(E175=0,"-",1000*E158/E175)</f>
        <v>0</v>
      </c>
      <c r="F160" s="240">
        <f t="shared" si="36"/>
        <v>3594.8375031067685</v>
      </c>
      <c r="G160" s="240">
        <f t="shared" si="36"/>
        <v>0</v>
      </c>
    </row>
    <row r="161" spans="1:7">
      <c r="A161" s="731" t="s">
        <v>400</v>
      </c>
      <c r="B161" s="726"/>
      <c r="C161" s="732" t="s">
        <v>139</v>
      </c>
      <c r="D161" s="40">
        <f t="shared" ref="D161:G161" si="37">IF(D175=0,0,1000*(D159/D175))</f>
        <v>763.85436727737454</v>
      </c>
      <c r="E161" s="40">
        <f t="shared" si="37"/>
        <v>0</v>
      </c>
      <c r="F161" s="40">
        <f t="shared" si="37"/>
        <v>911.7495825430143</v>
      </c>
      <c r="G161" s="40">
        <f t="shared" si="37"/>
        <v>0</v>
      </c>
    </row>
    <row r="162" spans="1:7">
      <c r="A162" s="743" t="s">
        <v>401</v>
      </c>
      <c r="B162" s="744"/>
      <c r="C162" s="745" t="s">
        <v>116</v>
      </c>
      <c r="D162" s="241">
        <f t="shared" ref="D162:G162" si="38">IF((D22+D23+D65+D66)=0,0,D158/(D22+D23+D65+D66))</f>
        <v>0.80806164455799578</v>
      </c>
      <c r="E162" s="241">
        <f t="shared" si="38"/>
        <v>0</v>
      </c>
      <c r="F162" s="241">
        <f t="shared" si="38"/>
        <v>0.81818041659402363</v>
      </c>
      <c r="G162" s="241">
        <f t="shared" si="38"/>
        <v>0</v>
      </c>
    </row>
    <row r="163" spans="1:7">
      <c r="A163" s="731" t="s">
        <v>409</v>
      </c>
      <c r="B163" s="726"/>
      <c r="C163" s="732" t="s">
        <v>137</v>
      </c>
      <c r="D163" s="55">
        <f t="shared" ref="D163:G163" si="39">D145</f>
        <v>8441753.6300000008</v>
      </c>
      <c r="E163" s="55">
        <f t="shared" si="39"/>
        <v>0</v>
      </c>
      <c r="F163" s="55">
        <f t="shared" si="39"/>
        <v>8453949.96545</v>
      </c>
      <c r="G163" s="55">
        <f t="shared" si="39"/>
        <v>0</v>
      </c>
    </row>
    <row r="164" spans="1:7" ht="28">
      <c r="A164" s="737" t="s">
        <v>408</v>
      </c>
      <c r="B164" s="746"/>
      <c r="C164" s="747" t="s">
        <v>117</v>
      </c>
      <c r="D164" s="245">
        <f>IF(D178=0,0,D146/D178)</f>
        <v>0.45558536520064874</v>
      </c>
      <c r="E164" s="245">
        <f>IF(E178=0,0,E146/E178)</f>
        <v>0</v>
      </c>
      <c r="F164" s="245">
        <f t="shared" ref="F164:G164" si="40">IF(F178=0,0,F146/F178)</f>
        <v>0.44536496481013632</v>
      </c>
      <c r="G164" s="245">
        <f t="shared" si="40"/>
        <v>0</v>
      </c>
    </row>
    <row r="165" spans="1:7">
      <c r="A165" s="748" t="s">
        <v>493</v>
      </c>
      <c r="B165" s="749"/>
      <c r="C165" s="750" t="s">
        <v>118</v>
      </c>
      <c r="D165" s="259">
        <f t="shared" ref="D165:G165" si="41">IF(D177=0,0,D180/D177)</f>
        <v>5.4319424399408733E-2</v>
      </c>
      <c r="E165" s="259">
        <f t="shared" si="41"/>
        <v>5.0131888626083178E-2</v>
      </c>
      <c r="F165" s="259">
        <f t="shared" si="41"/>
        <v>5.0135800048957083E-2</v>
      </c>
      <c r="G165" s="259">
        <f t="shared" si="41"/>
        <v>3.8845463853361503E-2</v>
      </c>
    </row>
    <row r="166" spans="1:7">
      <c r="A166" s="731" t="s">
        <v>411</v>
      </c>
      <c r="B166" s="726"/>
      <c r="C166" s="732" t="s">
        <v>20</v>
      </c>
      <c r="D166" s="55">
        <f t="shared" ref="D166:G166" si="42">D55</f>
        <v>333409.50000000012</v>
      </c>
      <c r="E166" s="55">
        <f t="shared" si="42"/>
        <v>271724.60000000003</v>
      </c>
      <c r="F166" s="55">
        <f t="shared" si="42"/>
        <v>280596.37572999997</v>
      </c>
      <c r="G166" s="55">
        <f t="shared" si="42"/>
        <v>272165.91799999995</v>
      </c>
    </row>
    <row r="167" spans="1:7">
      <c r="A167" s="743" t="s">
        <v>410</v>
      </c>
      <c r="B167" s="744"/>
      <c r="C167" s="745" t="s">
        <v>119</v>
      </c>
      <c r="D167" s="241">
        <f t="shared" ref="D167:G167" si="43">IF(0=D111,0,(D44+D45+D46+D47+D48)/D111)</f>
        <v>2.4376844633735947E-2</v>
      </c>
      <c r="E167" s="241">
        <f t="shared" si="43"/>
        <v>0</v>
      </c>
      <c r="F167" s="241">
        <f t="shared" si="43"/>
        <v>1.2846973974427198E-2</v>
      </c>
      <c r="G167" s="241">
        <f t="shared" si="43"/>
        <v>0</v>
      </c>
    </row>
    <row r="168" spans="1:7">
      <c r="A168" s="731" t="s">
        <v>396</v>
      </c>
      <c r="B168" s="729"/>
      <c r="C168" s="730" t="s">
        <v>397</v>
      </c>
      <c r="D168" s="55">
        <f t="shared" ref="D168:G168" si="44">D38-D44</f>
        <v>83162.999999999985</v>
      </c>
      <c r="E168" s="55">
        <f t="shared" si="44"/>
        <v>89158.300000000017</v>
      </c>
      <c r="F168" s="55">
        <f t="shared" si="44"/>
        <v>87423.803379999983</v>
      </c>
      <c r="G168" s="55">
        <f t="shared" si="44"/>
        <v>80172.821999999986</v>
      </c>
    </row>
    <row r="169" spans="1:7">
      <c r="A169" s="743" t="s">
        <v>398</v>
      </c>
      <c r="B169" s="744"/>
      <c r="C169" s="745" t="s">
        <v>120</v>
      </c>
      <c r="D169" s="258">
        <f t="shared" ref="D169:G169" si="45">IF(D177=0,0,D168/D177)</f>
        <v>6.1105677037976971E-3</v>
      </c>
      <c r="E169" s="258">
        <f t="shared" si="45"/>
        <v>6.5605680539633435E-3</v>
      </c>
      <c r="F169" s="258">
        <f t="shared" si="45"/>
        <v>6.4608407096360008E-3</v>
      </c>
      <c r="G169" s="258">
        <f t="shared" si="45"/>
        <v>5.7940044049440316E-3</v>
      </c>
    </row>
    <row r="170" spans="1:7">
      <c r="A170" s="731" t="s">
        <v>366</v>
      </c>
      <c r="B170" s="726"/>
      <c r="C170" s="732" t="s">
        <v>364</v>
      </c>
      <c r="D170" s="55">
        <f t="shared" ref="D170:E170" si="46">SUM(D82:D87)+SUM(D89:D94)</f>
        <v>816452</v>
      </c>
      <c r="E170" s="55">
        <f t="shared" si="46"/>
        <v>947849.3</v>
      </c>
      <c r="F170" s="55">
        <f t="shared" ref="F170:G170" si="47">SUM(F82:F87)+SUM(F89:F94)</f>
        <v>865443.35420000006</v>
      </c>
      <c r="G170" s="55">
        <f t="shared" si="47"/>
        <v>799980.7</v>
      </c>
    </row>
    <row r="171" spans="1:7">
      <c r="A171" s="731" t="s">
        <v>367</v>
      </c>
      <c r="B171" s="726"/>
      <c r="C171" s="732" t="s">
        <v>365</v>
      </c>
      <c r="D171" s="40">
        <f t="shared" ref="D171:E171" si="48">SUM(D96:D102)+SUM(D104:D105)</f>
        <v>297843</v>
      </c>
      <c r="E171" s="40">
        <f t="shared" si="48"/>
        <v>171560.5</v>
      </c>
      <c r="F171" s="40">
        <f t="shared" ref="F171:G171" si="49">SUM(F96:F102)+SUM(F104:F105)</f>
        <v>262712.6238</v>
      </c>
      <c r="G171" s="40">
        <f t="shared" si="49"/>
        <v>147918</v>
      </c>
    </row>
    <row r="172" spans="1:7">
      <c r="A172" s="748" t="s">
        <v>368</v>
      </c>
      <c r="B172" s="749"/>
      <c r="C172" s="750" t="s">
        <v>121</v>
      </c>
      <c r="D172" s="259">
        <f t="shared" ref="D172:G172" si="50">IF(D184=0,0,D170/D184)</f>
        <v>6.0536316162417815E-2</v>
      </c>
      <c r="E172" s="259">
        <f t="shared" si="50"/>
        <v>6.8518787786004592E-2</v>
      </c>
      <c r="F172" s="259">
        <f t="shared" si="50"/>
        <v>6.3170136153134673E-2</v>
      </c>
      <c r="G172" s="259">
        <f t="shared" si="50"/>
        <v>5.6997293499231258E-2</v>
      </c>
    </row>
    <row r="173" spans="1:7">
      <c r="C173" s="751"/>
    </row>
    <row r="174" spans="1:7">
      <c r="A174" s="752" t="s">
        <v>97</v>
      </c>
      <c r="B174" s="753"/>
      <c r="C174" s="754"/>
      <c r="D174" s="86"/>
      <c r="E174" s="86"/>
      <c r="F174" s="86"/>
      <c r="G174" s="86"/>
    </row>
    <row r="175" spans="1:7" s="630" customFormat="1">
      <c r="A175" s="755" t="s">
        <v>386</v>
      </c>
      <c r="B175" s="753"/>
      <c r="C175" s="756" t="s">
        <v>187</v>
      </c>
      <c r="D175" s="334">
        <v>1408200</v>
      </c>
      <c r="E175" s="341">
        <v>1409607</v>
      </c>
      <c r="F175" s="341">
        <v>1421895</v>
      </c>
      <c r="G175" s="341">
        <v>1436100</v>
      </c>
    </row>
    <row r="176" spans="1:7">
      <c r="A176" s="752" t="s">
        <v>98</v>
      </c>
      <c r="B176" s="753"/>
      <c r="C176" s="756"/>
      <c r="D176" s="753"/>
      <c r="E176" s="753"/>
      <c r="F176" s="753"/>
      <c r="G176" s="753"/>
    </row>
    <row r="177" spans="1:7">
      <c r="A177" s="755" t="s">
        <v>380</v>
      </c>
      <c r="B177" s="753"/>
      <c r="C177" s="756" t="s">
        <v>99</v>
      </c>
      <c r="D177" s="757">
        <f t="shared" ref="D177:E177" si="51">SUM(D22:D32)+SUM(D44:D53)+SUM(D65:D72)+D75</f>
        <v>13609701.1</v>
      </c>
      <c r="E177" s="757">
        <f t="shared" si="51"/>
        <v>13590027.458999997</v>
      </c>
      <c r="F177" s="757">
        <f t="shared" ref="F177:G177" si="52">SUM(F22:F32)+SUM(F44:F53)+SUM(F65:F72)+F75</f>
        <v>13531335.519479999</v>
      </c>
      <c r="G177" s="757">
        <f t="shared" si="52"/>
        <v>13837204.184999999</v>
      </c>
    </row>
    <row r="178" spans="1:7">
      <c r="A178" s="755" t="s">
        <v>385</v>
      </c>
      <c r="B178" s="753"/>
      <c r="C178" s="756" t="s">
        <v>100</v>
      </c>
      <c r="D178" s="757">
        <f t="shared" ref="D178:G178" si="53">D78-D17-D20-D59-D63-D64</f>
        <v>13504074.450000001</v>
      </c>
      <c r="E178" s="757">
        <f t="shared" si="53"/>
        <v>13572460.07</v>
      </c>
      <c r="F178" s="757">
        <f t="shared" si="53"/>
        <v>13568925.585729999</v>
      </c>
      <c r="G178" s="757">
        <f t="shared" si="53"/>
        <v>13779978.527000001</v>
      </c>
    </row>
    <row r="179" spans="1:7">
      <c r="A179" s="755"/>
      <c r="B179" s="753"/>
      <c r="C179" s="756" t="s">
        <v>388</v>
      </c>
      <c r="D179" s="757">
        <f t="shared" ref="D179:G179" si="54">D178+D170</f>
        <v>14320526.450000001</v>
      </c>
      <c r="E179" s="757">
        <f t="shared" si="54"/>
        <v>14520309.370000001</v>
      </c>
      <c r="F179" s="757">
        <f t="shared" si="54"/>
        <v>14434368.939929999</v>
      </c>
      <c r="G179" s="757">
        <f t="shared" si="54"/>
        <v>14579959.227</v>
      </c>
    </row>
    <row r="180" spans="1:7">
      <c r="A180" s="755" t="s">
        <v>389</v>
      </c>
      <c r="B180" s="753"/>
      <c r="C180" s="756" t="s">
        <v>390</v>
      </c>
      <c r="D180" s="757">
        <f t="shared" ref="D180:G180" si="55">D38-D44+D8+D9+D10+D16-D33</f>
        <v>739271.12999999989</v>
      </c>
      <c r="E180" s="757">
        <f t="shared" si="55"/>
        <v>681293.74300000002</v>
      </c>
      <c r="F180" s="757">
        <f t="shared" si="55"/>
        <v>678404.33200000005</v>
      </c>
      <c r="G180" s="757">
        <f t="shared" si="55"/>
        <v>537512.61499999999</v>
      </c>
    </row>
    <row r="181" spans="1:7" ht="27.5" customHeight="1">
      <c r="A181" s="758" t="s">
        <v>376</v>
      </c>
      <c r="B181" s="759"/>
      <c r="C181" s="760" t="s">
        <v>374</v>
      </c>
      <c r="D181" s="73">
        <f t="shared" ref="D181:E181" si="56">D22+D23+D24+D25+D26+D29+SUM(D44:D47)+SUM(D49:D53)-D54+D32-D33+SUM(D65:D70)+D72</f>
        <v>13322959.799999997</v>
      </c>
      <c r="E181" s="73">
        <f t="shared" si="56"/>
        <v>13440815.362999998</v>
      </c>
      <c r="F181" s="73">
        <f t="shared" ref="F181:G181" si="57">F22+F23+F24+F25+F26+F29+SUM(F44:F47)+SUM(F49:F53)-F54+F32-F33+SUM(F65:F70)+F72</f>
        <v>13435345.895419998</v>
      </c>
      <c r="G181" s="73">
        <f t="shared" si="57"/>
        <v>13736694.698000001</v>
      </c>
    </row>
    <row r="182" spans="1:7">
      <c r="A182" s="761" t="s">
        <v>375</v>
      </c>
      <c r="B182" s="759"/>
      <c r="C182" s="760" t="s">
        <v>170</v>
      </c>
      <c r="D182" s="73">
        <f t="shared" ref="D182:G182" si="58">D181+D171</f>
        <v>13620802.799999997</v>
      </c>
      <c r="E182" s="73">
        <f t="shared" si="58"/>
        <v>13612375.862999998</v>
      </c>
      <c r="F182" s="73">
        <f t="shared" si="58"/>
        <v>13698058.519219998</v>
      </c>
      <c r="G182" s="73">
        <f t="shared" si="58"/>
        <v>13884612.698000001</v>
      </c>
    </row>
    <row r="183" spans="1:7">
      <c r="A183" s="761" t="s">
        <v>369</v>
      </c>
      <c r="B183" s="759"/>
      <c r="C183" s="760" t="s">
        <v>370</v>
      </c>
      <c r="D183" s="73">
        <f t="shared" ref="D183:F183" si="59">D4+D5-D7+D38+D39+D40+D41+D43+D13-D16+D57+D58+D60+D62</f>
        <v>12670526.59</v>
      </c>
      <c r="E183" s="73">
        <f t="shared" si="59"/>
        <v>12885572.607000001</v>
      </c>
      <c r="F183" s="73">
        <f t="shared" si="59"/>
        <v>12834754.34843</v>
      </c>
      <c r="G183" s="73">
        <f>G4+G5-G7+G38+G39+G40+G41+G43+G13-G16+G57+G58+G60+G62</f>
        <v>13235434.859000001</v>
      </c>
    </row>
    <row r="184" spans="1:7">
      <c r="A184" s="761" t="s">
        <v>373</v>
      </c>
      <c r="B184" s="759"/>
      <c r="C184" s="760" t="s">
        <v>171</v>
      </c>
      <c r="D184" s="73">
        <f t="shared" ref="D184:G184" si="60">D183+D170</f>
        <v>13486978.59</v>
      </c>
      <c r="E184" s="73">
        <f t="shared" si="60"/>
        <v>13833421.907000002</v>
      </c>
      <c r="F184" s="73">
        <f t="shared" si="60"/>
        <v>13700197.70263</v>
      </c>
      <c r="G184" s="73">
        <f t="shared" si="60"/>
        <v>14035415.559</v>
      </c>
    </row>
    <row r="185" spans="1:7">
      <c r="A185" s="761"/>
      <c r="B185" s="759"/>
      <c r="C185" s="760" t="s">
        <v>405</v>
      </c>
      <c r="D185" s="73">
        <f t="shared" ref="D185:G186" si="61">D181-D183</f>
        <v>652433.20999999717</v>
      </c>
      <c r="E185" s="73">
        <f t="shared" si="61"/>
        <v>555242.75599999726</v>
      </c>
      <c r="F185" s="73">
        <f t="shared" si="61"/>
        <v>600591.54698999785</v>
      </c>
      <c r="G185" s="73">
        <f t="shared" si="61"/>
        <v>501259.83899999969</v>
      </c>
    </row>
    <row r="186" spans="1:7">
      <c r="A186" s="761"/>
      <c r="B186" s="759"/>
      <c r="C186" s="760" t="s">
        <v>406</v>
      </c>
      <c r="D186" s="73">
        <f t="shared" si="61"/>
        <v>133824.20999999717</v>
      </c>
      <c r="E186" s="73">
        <f t="shared" si="61"/>
        <v>-221046.04400000349</v>
      </c>
      <c r="F186" s="73">
        <f t="shared" si="61"/>
        <v>-2139.1834100019187</v>
      </c>
      <c r="G186" s="73">
        <f t="shared" si="61"/>
        <v>-150802.86099999957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5" right="0.25" top="0.75" bottom="0.75" header="0.3" footer="0.3"/>
  <pageSetup paperSize="8" fitToHeight="0" orientation="landscape" r:id="rId1"/>
  <headerFooter alignWithMargins="0">
    <oddHeader>&amp;LFachgruppe für kantonale Finanzfragen (FkF)
Groupe d'études pour les finances cantonales
&amp;CKanton ZH&amp;RZürich, &amp;D</oddHeader>
    <oddFooter>&amp;L&amp;Z&amp;F</oddFooter>
  </headerFooter>
  <rowBreaks count="2" manualBreakCount="2">
    <brk id="79" max="17" man="1"/>
    <brk id="148" max="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W186"/>
  <sheetViews>
    <sheetView view="pageLayout" topLeftCell="A172" zoomScaleNormal="100" workbookViewId="0">
      <selection activeCell="I186" sqref="I185:I186"/>
    </sheetView>
  </sheetViews>
  <sheetFormatPr baseColWidth="10" defaultColWidth="11.5" defaultRowHeight="13"/>
  <cols>
    <col min="1" max="1" width="16.33203125" style="6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9" s="2" customFormat="1" ht="18" customHeight="1">
      <c r="A1" s="219" t="s">
        <v>219</v>
      </c>
      <c r="B1" s="44" t="s">
        <v>217</v>
      </c>
      <c r="C1" s="44" t="s">
        <v>218</v>
      </c>
      <c r="D1" s="28" t="s">
        <v>172</v>
      </c>
      <c r="E1" s="24" t="s">
        <v>2</v>
      </c>
      <c r="F1" s="28" t="s">
        <v>172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s="3" customFormat="1" ht="15" customHeight="1">
      <c r="A2" s="220"/>
      <c r="B2" s="26"/>
      <c r="C2" s="42" t="s">
        <v>215</v>
      </c>
      <c r="D2" s="29">
        <v>2012</v>
      </c>
      <c r="E2" s="27">
        <v>2013</v>
      </c>
      <c r="F2" s="29">
        <v>2013</v>
      </c>
      <c r="G2" s="27">
        <v>2014</v>
      </c>
    </row>
    <row r="3" spans="1:49" ht="15" customHeight="1">
      <c r="A3" s="800" t="s">
        <v>40</v>
      </c>
      <c r="B3" s="797"/>
      <c r="C3" s="797"/>
      <c r="E3" s="85" t="s">
        <v>470</v>
      </c>
      <c r="G3" s="85" t="s">
        <v>470</v>
      </c>
    </row>
    <row r="4" spans="1:49" s="62" customFormat="1" ht="12.75" customHeight="1">
      <c r="A4" s="160">
        <v>30</v>
      </c>
      <c r="B4" s="96"/>
      <c r="C4" s="97" t="s">
        <v>41</v>
      </c>
      <c r="D4" s="98">
        <v>1158331.8999999999</v>
      </c>
      <c r="E4" s="100">
        <v>1173958.3999999999</v>
      </c>
      <c r="F4" s="98">
        <v>1179831</v>
      </c>
      <c r="G4" s="100">
        <v>1174614</v>
      </c>
    </row>
    <row r="5" spans="1:49" s="62" customFormat="1" ht="12.75" customHeight="1">
      <c r="A5" s="145">
        <v>31</v>
      </c>
      <c r="B5" s="102"/>
      <c r="C5" s="103" t="s">
        <v>42</v>
      </c>
      <c r="D5" s="105">
        <v>318554</v>
      </c>
      <c r="E5" s="106">
        <v>323472</v>
      </c>
      <c r="F5" s="105">
        <v>319170</v>
      </c>
      <c r="G5" s="106">
        <v>323144</v>
      </c>
    </row>
    <row r="6" spans="1:49" s="62" customFormat="1" ht="12.75" customHeight="1">
      <c r="A6" s="107" t="s">
        <v>298</v>
      </c>
      <c r="B6" s="108"/>
      <c r="C6" s="109" t="s">
        <v>299</v>
      </c>
      <c r="D6" s="150">
        <v>49697.8</v>
      </c>
      <c r="E6" s="155"/>
      <c r="F6" s="150">
        <v>45853</v>
      </c>
      <c r="G6" s="155">
        <v>43868</v>
      </c>
    </row>
    <row r="7" spans="1:49" s="62" customFormat="1" ht="12.75" customHeight="1">
      <c r="A7" s="107" t="s">
        <v>415</v>
      </c>
      <c r="B7" s="108"/>
      <c r="C7" s="109" t="s">
        <v>414</v>
      </c>
      <c r="D7" s="150">
        <v>13764.4</v>
      </c>
      <c r="E7" s="155"/>
      <c r="F7" s="150">
        <v>2331</v>
      </c>
      <c r="G7" s="155">
        <v>0</v>
      </c>
    </row>
    <row r="8" spans="1:49" s="62" customFormat="1" ht="12.75" customHeight="1">
      <c r="A8" s="145">
        <v>330</v>
      </c>
      <c r="B8" s="102"/>
      <c r="C8" s="103" t="s">
        <v>300</v>
      </c>
      <c r="D8" s="105">
        <v>61027.6</v>
      </c>
      <c r="E8" s="113">
        <v>66129</v>
      </c>
      <c r="F8" s="105">
        <v>64408</v>
      </c>
      <c r="G8" s="113">
        <v>78570</v>
      </c>
    </row>
    <row r="9" spans="1:49" s="62" customFormat="1" ht="12.75" customHeight="1">
      <c r="A9" s="145">
        <v>332</v>
      </c>
      <c r="B9" s="102"/>
      <c r="C9" s="103" t="s">
        <v>301</v>
      </c>
      <c r="D9" s="105"/>
      <c r="E9" s="113"/>
      <c r="F9" s="105"/>
      <c r="G9" s="113"/>
    </row>
    <row r="10" spans="1:49" s="62" customFormat="1" ht="12.75" customHeight="1">
      <c r="A10" s="145">
        <v>339</v>
      </c>
      <c r="B10" s="102"/>
      <c r="C10" s="103" t="s">
        <v>302</v>
      </c>
      <c r="D10" s="105">
        <v>0</v>
      </c>
      <c r="E10" s="113"/>
      <c r="F10" s="105"/>
      <c r="G10" s="113"/>
    </row>
    <row r="11" spans="1:49" s="203" customFormat="1" ht="28.25" customHeight="1">
      <c r="A11" s="114">
        <v>350</v>
      </c>
      <c r="B11" s="216"/>
      <c r="C11" s="116" t="s">
        <v>303</v>
      </c>
      <c r="D11" s="117"/>
      <c r="E11" s="249">
        <v>0</v>
      </c>
      <c r="F11" s="117"/>
      <c r="G11" s="249"/>
    </row>
    <row r="12" spans="1:49" s="63" customFormat="1" ht="28">
      <c r="A12" s="114">
        <v>351</v>
      </c>
      <c r="B12" s="115"/>
      <c r="C12" s="116" t="s">
        <v>304</v>
      </c>
      <c r="D12" s="119">
        <v>60782.7</v>
      </c>
      <c r="E12" s="296">
        <v>38853</v>
      </c>
      <c r="F12" s="119">
        <v>40181</v>
      </c>
      <c r="G12" s="296">
        <v>27759</v>
      </c>
    </row>
    <row r="13" spans="1:49" s="62" customFormat="1" ht="12.75" customHeight="1">
      <c r="A13" s="145">
        <v>36</v>
      </c>
      <c r="B13" s="102"/>
      <c r="C13" s="103" t="s">
        <v>43</v>
      </c>
      <c r="D13" s="150">
        <v>1277176.3999999999</v>
      </c>
      <c r="E13" s="113">
        <v>1332254</v>
      </c>
      <c r="F13" s="150">
        <v>1321565</v>
      </c>
      <c r="G13" s="113">
        <v>1327486</v>
      </c>
    </row>
    <row r="14" spans="1:49" s="62" customFormat="1" ht="12.75" customHeight="1">
      <c r="A14" s="121" t="s">
        <v>177</v>
      </c>
      <c r="B14" s="102"/>
      <c r="C14" s="122" t="s">
        <v>179</v>
      </c>
      <c r="D14" s="150">
        <v>241570</v>
      </c>
      <c r="E14" s="113">
        <v>267841.59999999998</v>
      </c>
      <c r="F14" s="150">
        <v>262748</v>
      </c>
      <c r="G14" s="113">
        <v>255699</v>
      </c>
    </row>
    <row r="15" spans="1:49" s="62" customFormat="1" ht="12.75" customHeight="1">
      <c r="A15" s="121" t="s">
        <v>178</v>
      </c>
      <c r="B15" s="102"/>
      <c r="C15" s="122" t="s">
        <v>180</v>
      </c>
      <c r="D15" s="150">
        <v>33878</v>
      </c>
      <c r="E15" s="113">
        <v>31421</v>
      </c>
      <c r="F15" s="150">
        <v>35198</v>
      </c>
      <c r="G15" s="113">
        <v>36719</v>
      </c>
    </row>
    <row r="16" spans="1:49" s="64" customFormat="1" ht="26.25" customHeight="1">
      <c r="A16" s="121" t="s">
        <v>147</v>
      </c>
      <c r="B16" s="123"/>
      <c r="C16" s="122" t="s">
        <v>149</v>
      </c>
      <c r="D16" s="125">
        <v>32494</v>
      </c>
      <c r="E16" s="127">
        <v>42931.5</v>
      </c>
      <c r="F16" s="125">
        <v>41161</v>
      </c>
      <c r="G16" s="127">
        <v>47856</v>
      </c>
    </row>
    <row r="17" spans="1:7" s="65" customFormat="1">
      <c r="A17" s="145">
        <v>37</v>
      </c>
      <c r="B17" s="102"/>
      <c r="C17" s="103" t="s">
        <v>44</v>
      </c>
      <c r="D17" s="128">
        <v>218860</v>
      </c>
      <c r="E17" s="157">
        <v>228228.7</v>
      </c>
      <c r="F17" s="128">
        <v>221888</v>
      </c>
      <c r="G17" s="157">
        <v>225791</v>
      </c>
    </row>
    <row r="18" spans="1:7" s="65" customFormat="1">
      <c r="A18" s="112" t="s">
        <v>200</v>
      </c>
      <c r="B18" s="108"/>
      <c r="C18" s="109" t="s">
        <v>201</v>
      </c>
      <c r="D18" s="129">
        <v>20</v>
      </c>
      <c r="E18" s="157">
        <v>200</v>
      </c>
      <c r="F18" s="129">
        <v>145</v>
      </c>
      <c r="G18" s="157">
        <v>150</v>
      </c>
    </row>
    <row r="19" spans="1:7" s="65" customFormat="1">
      <c r="A19" s="112" t="s">
        <v>216</v>
      </c>
      <c r="B19" s="108"/>
      <c r="C19" s="109" t="s">
        <v>202</v>
      </c>
      <c r="D19" s="129">
        <v>0</v>
      </c>
      <c r="E19" s="157"/>
      <c r="F19" s="129"/>
      <c r="G19" s="157"/>
    </row>
    <row r="20" spans="1:7" s="62" customFormat="1" ht="12.75" customHeight="1">
      <c r="A20" s="222">
        <v>39</v>
      </c>
      <c r="B20" s="132"/>
      <c r="C20" s="133" t="s">
        <v>45</v>
      </c>
      <c r="D20" s="135">
        <v>24977</v>
      </c>
      <c r="E20" s="159">
        <v>26483.8</v>
      </c>
      <c r="F20" s="135">
        <v>26574</v>
      </c>
      <c r="G20" s="159">
        <v>26634</v>
      </c>
    </row>
    <row r="21" spans="1:7" ht="12.75" customHeight="1">
      <c r="A21" s="223"/>
      <c r="B21" s="7"/>
      <c r="C21" s="8" t="s">
        <v>478</v>
      </c>
      <c r="D21" s="15">
        <f t="shared" ref="D21:E21" si="0">D4+D5+SUM(D8:D13)+D17</f>
        <v>3094732.5999999996</v>
      </c>
      <c r="E21" s="15">
        <f t="shared" si="0"/>
        <v>3162895.1</v>
      </c>
      <c r="F21" s="15">
        <f t="shared" ref="F21:G21" si="1">F4+F5+SUM(F8:F13)+F17</f>
        <v>3147043</v>
      </c>
      <c r="G21" s="15">
        <f t="shared" si="1"/>
        <v>3157364</v>
      </c>
    </row>
    <row r="22" spans="1:7" s="203" customFormat="1" ht="12.75" customHeight="1">
      <c r="A22" s="114" t="s">
        <v>416</v>
      </c>
      <c r="B22" s="216"/>
      <c r="C22" s="116" t="s">
        <v>305</v>
      </c>
      <c r="D22" s="117">
        <v>930024.6</v>
      </c>
      <c r="E22" s="218">
        <v>923400</v>
      </c>
      <c r="F22" s="117">
        <v>938146</v>
      </c>
      <c r="G22" s="249">
        <v>947950</v>
      </c>
    </row>
    <row r="23" spans="1:7" s="203" customFormat="1" ht="14">
      <c r="A23" s="114" t="s">
        <v>417</v>
      </c>
      <c r="B23" s="216"/>
      <c r="C23" s="116" t="s">
        <v>306</v>
      </c>
      <c r="D23" s="117">
        <v>189937.7</v>
      </c>
      <c r="E23" s="218">
        <v>190660</v>
      </c>
      <c r="F23" s="117">
        <v>198840</v>
      </c>
      <c r="G23" s="249">
        <v>212498</v>
      </c>
    </row>
    <row r="24" spans="1:7" s="67" customFormat="1" ht="12.75" customHeight="1">
      <c r="A24" s="145">
        <v>41</v>
      </c>
      <c r="B24" s="102"/>
      <c r="C24" s="103" t="s">
        <v>46</v>
      </c>
      <c r="D24" s="105">
        <v>59665</v>
      </c>
      <c r="E24" s="141">
        <v>58371</v>
      </c>
      <c r="F24" s="105">
        <v>59150</v>
      </c>
      <c r="G24" s="113">
        <v>59983</v>
      </c>
    </row>
    <row r="25" spans="1:7" s="62" customFormat="1" ht="12.75" customHeight="1">
      <c r="A25" s="224">
        <v>42</v>
      </c>
      <c r="B25" s="162"/>
      <c r="C25" s="103" t="s">
        <v>47</v>
      </c>
      <c r="D25" s="105">
        <v>210168</v>
      </c>
      <c r="E25" s="141">
        <v>208532</v>
      </c>
      <c r="F25" s="105">
        <v>222705</v>
      </c>
      <c r="G25" s="113">
        <v>215461</v>
      </c>
    </row>
    <row r="26" spans="1:7" s="68" customFormat="1" ht="12.75" customHeight="1">
      <c r="A26" s="114">
        <v>430</v>
      </c>
      <c r="B26" s="102"/>
      <c r="C26" s="103" t="s">
        <v>491</v>
      </c>
      <c r="D26" s="128">
        <v>1996</v>
      </c>
      <c r="E26" s="144">
        <v>1997</v>
      </c>
      <c r="F26" s="128">
        <v>1926</v>
      </c>
      <c r="G26" s="157">
        <v>2065</v>
      </c>
    </row>
    <row r="27" spans="1:7" s="68" customFormat="1" ht="12.75" customHeight="1">
      <c r="A27" s="114">
        <v>431</v>
      </c>
      <c r="B27" s="102"/>
      <c r="C27" s="103" t="s">
        <v>419</v>
      </c>
      <c r="D27" s="128">
        <v>78</v>
      </c>
      <c r="E27" s="144">
        <v>285</v>
      </c>
      <c r="F27" s="128">
        <v>34</v>
      </c>
      <c r="G27" s="157">
        <v>120</v>
      </c>
    </row>
    <row r="28" spans="1:7" s="68" customFormat="1" ht="12.75" customHeight="1">
      <c r="A28" s="114">
        <v>432</v>
      </c>
      <c r="B28" s="102"/>
      <c r="C28" s="103" t="s">
        <v>420</v>
      </c>
      <c r="D28" s="128">
        <v>0</v>
      </c>
      <c r="E28" s="144">
        <v>0</v>
      </c>
      <c r="F28" s="128">
        <v>0</v>
      </c>
      <c r="G28" s="157"/>
    </row>
    <row r="29" spans="1:7" s="68" customFormat="1" ht="12.75" customHeight="1">
      <c r="A29" s="114">
        <v>439</v>
      </c>
      <c r="B29" s="102"/>
      <c r="C29" s="103" t="s">
        <v>421</v>
      </c>
      <c r="D29" s="128">
        <v>0</v>
      </c>
      <c r="E29" s="144">
        <v>0</v>
      </c>
      <c r="F29" s="128"/>
      <c r="G29" s="157"/>
    </row>
    <row r="30" spans="1:7" s="62" customFormat="1" ht="28">
      <c r="A30" s="114">
        <v>450</v>
      </c>
      <c r="B30" s="115"/>
      <c r="C30" s="116" t="s">
        <v>307</v>
      </c>
      <c r="D30" s="104">
        <v>0</v>
      </c>
      <c r="E30" s="106">
        <v>0</v>
      </c>
      <c r="F30" s="104"/>
      <c r="G30" s="106"/>
    </row>
    <row r="31" spans="1:7" s="63" customFormat="1" ht="28">
      <c r="A31" s="114">
        <v>451</v>
      </c>
      <c r="B31" s="115"/>
      <c r="C31" s="116" t="s">
        <v>48</v>
      </c>
      <c r="D31" s="117">
        <v>50802.6</v>
      </c>
      <c r="E31" s="141">
        <v>76202</v>
      </c>
      <c r="F31" s="117">
        <v>27059</v>
      </c>
      <c r="G31" s="113">
        <v>33840</v>
      </c>
    </row>
    <row r="32" spans="1:7" s="69" customFormat="1" ht="12.75" customHeight="1">
      <c r="A32" s="145">
        <v>46</v>
      </c>
      <c r="B32" s="102"/>
      <c r="C32" s="103" t="s">
        <v>49</v>
      </c>
      <c r="D32" s="163">
        <v>1376356</v>
      </c>
      <c r="E32" s="141">
        <v>1372599</v>
      </c>
      <c r="F32" s="105">
        <v>1402509</v>
      </c>
      <c r="G32" s="113">
        <v>1378706</v>
      </c>
    </row>
    <row r="33" spans="1:7" s="64" customFormat="1" ht="14">
      <c r="A33" s="121" t="s">
        <v>51</v>
      </c>
      <c r="B33" s="215"/>
      <c r="C33" s="122" t="s">
        <v>50</v>
      </c>
      <c r="D33" s="124">
        <v>0</v>
      </c>
      <c r="E33" s="217">
        <v>0</v>
      </c>
      <c r="F33" s="124">
        <v>0</v>
      </c>
      <c r="G33" s="156">
        <v>0</v>
      </c>
    </row>
    <row r="34" spans="1:7" s="62" customFormat="1" ht="15" customHeight="1">
      <c r="A34" s="145">
        <v>47</v>
      </c>
      <c r="B34" s="102"/>
      <c r="C34" s="103" t="s">
        <v>44</v>
      </c>
      <c r="D34" s="105">
        <v>219610</v>
      </c>
      <c r="E34" s="141">
        <v>228229</v>
      </c>
      <c r="F34" s="105">
        <v>223175</v>
      </c>
      <c r="G34" s="113">
        <v>225791</v>
      </c>
    </row>
    <row r="35" spans="1:7" s="62" customFormat="1" ht="15" customHeight="1">
      <c r="A35" s="222">
        <v>49</v>
      </c>
      <c r="B35" s="132"/>
      <c r="C35" s="133" t="s">
        <v>45</v>
      </c>
      <c r="D35" s="135">
        <v>24977</v>
      </c>
      <c r="E35" s="147">
        <v>26483.7</v>
      </c>
      <c r="F35" s="135">
        <v>26574</v>
      </c>
      <c r="G35" s="159">
        <v>26634</v>
      </c>
    </row>
    <row r="36" spans="1:7" s="4" customFormat="1" ht="13.5" customHeight="1">
      <c r="A36" s="223"/>
      <c r="B36" s="10"/>
      <c r="C36" s="8" t="s">
        <v>477</v>
      </c>
      <c r="D36" s="15">
        <f>D22+D23+D24+D25+D26+D27+D28+D29+D30+D31+D32+D34</f>
        <v>3038637.9000000004</v>
      </c>
      <c r="E36" s="15">
        <f>E22+E23+E24+E25+E26+E27+E28+E29+E30+E31+E32+E34</f>
        <v>3060275</v>
      </c>
      <c r="F36" s="15">
        <f>F22+F23+F24+F25+F26+F27+F28+F29+F30+F31+F32+F34</f>
        <v>3073544</v>
      </c>
      <c r="G36" s="15">
        <f>G22+G23+G24+G25+G26+G27+G28+G29+G30+G31+G32+G34</f>
        <v>3076414</v>
      </c>
    </row>
    <row r="37" spans="1:7" s="5" customFormat="1" ht="15" customHeight="1">
      <c r="A37" s="223"/>
      <c r="B37" s="10"/>
      <c r="C37" s="8" t="s">
        <v>52</v>
      </c>
      <c r="D37" s="16">
        <f t="shared" ref="D37:E37" si="2">D36-D21</f>
        <v>-56094.699999999255</v>
      </c>
      <c r="E37" s="16">
        <f t="shared" si="2"/>
        <v>-102620.10000000009</v>
      </c>
      <c r="F37" s="16">
        <f t="shared" ref="F37:G37" si="3">F36-F21</f>
        <v>-73499</v>
      </c>
      <c r="G37" s="16">
        <f t="shared" si="3"/>
        <v>-80950</v>
      </c>
    </row>
    <row r="38" spans="1:7" s="63" customFormat="1" ht="15" customHeight="1">
      <c r="A38" s="145">
        <v>340</v>
      </c>
      <c r="B38" s="102"/>
      <c r="C38" s="103" t="s">
        <v>101</v>
      </c>
      <c r="D38" s="105">
        <v>16263</v>
      </c>
      <c r="E38" s="141">
        <v>14516.9</v>
      </c>
      <c r="F38" s="105">
        <v>13989</v>
      </c>
      <c r="G38" s="113">
        <v>4090</v>
      </c>
    </row>
    <row r="39" spans="1:7" s="63" customFormat="1" ht="15" customHeight="1">
      <c r="A39" s="145">
        <v>341</v>
      </c>
      <c r="B39" s="102"/>
      <c r="C39" s="103" t="s">
        <v>308</v>
      </c>
      <c r="D39" s="105">
        <v>0</v>
      </c>
      <c r="E39" s="141">
        <v>0</v>
      </c>
      <c r="F39" s="105">
        <v>0</v>
      </c>
      <c r="G39" s="113">
        <v>0</v>
      </c>
    </row>
    <row r="40" spans="1:7" s="64" customFormat="1" ht="15" customHeight="1">
      <c r="A40" s="114">
        <v>342</v>
      </c>
      <c r="B40" s="216"/>
      <c r="C40" s="116" t="s">
        <v>309</v>
      </c>
      <c r="D40" s="117">
        <v>0</v>
      </c>
      <c r="E40" s="218">
        <v>0</v>
      </c>
      <c r="F40" s="117">
        <v>0</v>
      </c>
      <c r="G40" s="249">
        <v>0</v>
      </c>
    </row>
    <row r="41" spans="1:7" s="63" customFormat="1" ht="15" customHeight="1">
      <c r="A41" s="145">
        <v>343</v>
      </c>
      <c r="B41" s="102"/>
      <c r="C41" s="103" t="s">
        <v>310</v>
      </c>
      <c r="D41" s="105">
        <v>0</v>
      </c>
      <c r="E41" s="141">
        <v>0</v>
      </c>
      <c r="F41" s="105">
        <v>0</v>
      </c>
      <c r="G41" s="113">
        <v>0</v>
      </c>
    </row>
    <row r="42" spans="1:7" s="64" customFormat="1" ht="15" customHeight="1">
      <c r="A42" s="114">
        <v>344</v>
      </c>
      <c r="B42" s="216"/>
      <c r="C42" s="116" t="s">
        <v>311</v>
      </c>
      <c r="D42" s="117">
        <v>0</v>
      </c>
      <c r="E42" s="218">
        <v>0</v>
      </c>
      <c r="F42" s="117">
        <v>0</v>
      </c>
      <c r="G42" s="249">
        <v>0</v>
      </c>
    </row>
    <row r="43" spans="1:7" s="63" customFormat="1" ht="15" customHeight="1">
      <c r="A43" s="145">
        <v>349</v>
      </c>
      <c r="B43" s="102"/>
      <c r="C43" s="103" t="s">
        <v>312</v>
      </c>
      <c r="D43" s="105">
        <v>13</v>
      </c>
      <c r="E43" s="141">
        <v>16</v>
      </c>
      <c r="F43" s="105">
        <v>21</v>
      </c>
      <c r="G43" s="113">
        <v>16</v>
      </c>
    </row>
    <row r="44" spans="1:7" s="62" customFormat="1" ht="15" customHeight="1">
      <c r="A44" s="145">
        <v>440</v>
      </c>
      <c r="B44" s="102"/>
      <c r="C44" s="103" t="s">
        <v>102</v>
      </c>
      <c r="D44" s="105">
        <v>22335.8</v>
      </c>
      <c r="E44" s="141">
        <v>18945</v>
      </c>
      <c r="F44" s="105">
        <v>20079</v>
      </c>
      <c r="G44" s="113">
        <v>17856</v>
      </c>
    </row>
    <row r="45" spans="1:7" s="203" customFormat="1" ht="15" customHeight="1">
      <c r="A45" s="114">
        <v>441</v>
      </c>
      <c r="B45" s="216"/>
      <c r="C45" s="116" t="s">
        <v>103</v>
      </c>
      <c r="D45" s="117">
        <v>626</v>
      </c>
      <c r="E45" s="139"/>
      <c r="F45" s="117">
        <v>778</v>
      </c>
      <c r="G45" s="120">
        <v>0</v>
      </c>
    </row>
    <row r="46" spans="1:7" s="203" customFormat="1" ht="15" customHeight="1">
      <c r="A46" s="114">
        <v>442</v>
      </c>
      <c r="B46" s="216"/>
      <c r="C46" s="116" t="s">
        <v>104</v>
      </c>
      <c r="D46" s="117">
        <v>460</v>
      </c>
      <c r="E46" s="218">
        <v>567</v>
      </c>
      <c r="F46" s="117">
        <v>475</v>
      </c>
      <c r="G46" s="249">
        <v>475</v>
      </c>
    </row>
    <row r="47" spans="1:7" s="62" customFormat="1" ht="15" customHeight="1">
      <c r="A47" s="145">
        <v>443</v>
      </c>
      <c r="B47" s="102"/>
      <c r="C47" s="103" t="s">
        <v>105</v>
      </c>
      <c r="D47" s="105">
        <v>0</v>
      </c>
      <c r="E47" s="172">
        <v>0</v>
      </c>
      <c r="F47" s="105">
        <v>0</v>
      </c>
      <c r="G47" s="269">
        <v>0</v>
      </c>
    </row>
    <row r="48" spans="1:7" s="62" customFormat="1" ht="15" customHeight="1">
      <c r="A48" s="145">
        <v>444</v>
      </c>
      <c r="B48" s="102"/>
      <c r="C48" s="103" t="s">
        <v>106</v>
      </c>
      <c r="D48" s="105">
        <v>0</v>
      </c>
      <c r="E48" s="172">
        <v>0</v>
      </c>
      <c r="F48" s="105">
        <v>0</v>
      </c>
      <c r="G48" s="269">
        <v>0</v>
      </c>
    </row>
    <row r="49" spans="1:7" s="62" customFormat="1" ht="15" customHeight="1">
      <c r="A49" s="145">
        <v>445</v>
      </c>
      <c r="B49" s="102"/>
      <c r="C49" s="103" t="s">
        <v>107</v>
      </c>
      <c r="D49" s="105">
        <v>3397.7</v>
      </c>
      <c r="E49" s="141">
        <v>3821</v>
      </c>
      <c r="F49" s="105">
        <v>3111</v>
      </c>
      <c r="G49" s="113">
        <v>3268</v>
      </c>
    </row>
    <row r="50" spans="1:7" s="62" customFormat="1" ht="15" customHeight="1">
      <c r="A50" s="145">
        <v>446</v>
      </c>
      <c r="B50" s="102"/>
      <c r="C50" s="103" t="s">
        <v>313</v>
      </c>
      <c r="D50" s="105">
        <v>48835</v>
      </c>
      <c r="E50" s="141">
        <v>49515</v>
      </c>
      <c r="F50" s="105">
        <v>55165</v>
      </c>
      <c r="G50" s="113">
        <v>56615</v>
      </c>
    </row>
    <row r="51" spans="1:7" s="203" customFormat="1" ht="15" customHeight="1">
      <c r="A51" s="114">
        <v>447</v>
      </c>
      <c r="B51" s="216"/>
      <c r="C51" s="116" t="s">
        <v>314</v>
      </c>
      <c r="D51" s="117">
        <v>7293</v>
      </c>
      <c r="E51" s="218">
        <v>6803</v>
      </c>
      <c r="F51" s="117">
        <v>7001</v>
      </c>
      <c r="G51" s="249">
        <v>7381</v>
      </c>
    </row>
    <row r="52" spans="1:7" s="62" customFormat="1" ht="15" customHeight="1">
      <c r="A52" s="145">
        <v>448</v>
      </c>
      <c r="B52" s="102"/>
      <c r="C52" s="103" t="s">
        <v>108</v>
      </c>
      <c r="D52" s="105">
        <v>0</v>
      </c>
      <c r="E52" s="172">
        <v>0</v>
      </c>
      <c r="F52" s="105">
        <v>0</v>
      </c>
      <c r="G52" s="269">
        <v>0</v>
      </c>
    </row>
    <row r="53" spans="1:7" s="203" customFormat="1" ht="15" customHeight="1">
      <c r="A53" s="114">
        <v>449</v>
      </c>
      <c r="B53" s="216"/>
      <c r="C53" s="116" t="s">
        <v>194</v>
      </c>
      <c r="D53" s="117">
        <v>0</v>
      </c>
      <c r="E53" s="139">
        <v>0</v>
      </c>
      <c r="F53" s="117">
        <v>0</v>
      </c>
      <c r="G53" s="120">
        <v>0</v>
      </c>
    </row>
    <row r="54" spans="1:7" s="63" customFormat="1" ht="13.5" customHeight="1">
      <c r="A54" s="166" t="s">
        <v>54</v>
      </c>
      <c r="B54" s="167"/>
      <c r="C54" s="167" t="s">
        <v>53</v>
      </c>
      <c r="D54" s="169">
        <v>0</v>
      </c>
      <c r="E54" s="173">
        <v>0</v>
      </c>
      <c r="F54" s="169"/>
      <c r="G54" s="370">
        <v>0</v>
      </c>
    </row>
    <row r="55" spans="1:7" ht="15" customHeight="1">
      <c r="A55" s="225"/>
      <c r="B55" s="10"/>
      <c r="C55" s="8" t="s">
        <v>55</v>
      </c>
      <c r="D55" s="15">
        <f t="shared" ref="D55:E55" si="4">SUM(D44:D53)-SUM(D38:D43)</f>
        <v>66671.5</v>
      </c>
      <c r="E55" s="15">
        <f t="shared" si="4"/>
        <v>65118.1</v>
      </c>
      <c r="F55" s="15">
        <f t="shared" ref="F55:G55" si="5">SUM(F44:F53)-SUM(F38:F43)</f>
        <v>72599</v>
      </c>
      <c r="G55" s="15">
        <f t="shared" si="5"/>
        <v>81489</v>
      </c>
    </row>
    <row r="56" spans="1:7" ht="14.25" customHeight="1">
      <c r="A56" s="225"/>
      <c r="B56" s="10"/>
      <c r="C56" s="8" t="s">
        <v>56</v>
      </c>
      <c r="D56" s="15">
        <f t="shared" ref="D56:E56" si="6">D55+D37</f>
        <v>10576.800000000745</v>
      </c>
      <c r="E56" s="15">
        <f t="shared" si="6"/>
        <v>-37502.000000000095</v>
      </c>
      <c r="F56" s="15">
        <f t="shared" ref="F56:G56" si="7">F55+F37</f>
        <v>-900</v>
      </c>
      <c r="G56" s="15">
        <f t="shared" si="7"/>
        <v>539</v>
      </c>
    </row>
    <row r="57" spans="1:7" s="62" customFormat="1" ht="15.75" customHeight="1">
      <c r="A57" s="293">
        <v>380</v>
      </c>
      <c r="B57" s="286"/>
      <c r="C57" s="287" t="s">
        <v>486</v>
      </c>
      <c r="D57" s="288">
        <v>0</v>
      </c>
      <c r="E57" s="291">
        <v>0</v>
      </c>
      <c r="F57" s="288"/>
      <c r="G57" s="291"/>
    </row>
    <row r="58" spans="1:7" s="62" customFormat="1" ht="15.75" customHeight="1">
      <c r="A58" s="293">
        <v>381</v>
      </c>
      <c r="B58" s="286"/>
      <c r="C58" s="287" t="s">
        <v>487</v>
      </c>
      <c r="D58" s="288">
        <v>0</v>
      </c>
      <c r="E58" s="291">
        <v>0</v>
      </c>
      <c r="F58" s="288"/>
      <c r="G58" s="291"/>
    </row>
    <row r="59" spans="1:7" s="63" customFormat="1" ht="27.5" customHeight="1">
      <c r="A59" s="114">
        <v>383</v>
      </c>
      <c r="B59" s="115"/>
      <c r="C59" s="116" t="s">
        <v>59</v>
      </c>
      <c r="D59" s="270">
        <v>0</v>
      </c>
      <c r="E59" s="165">
        <v>0</v>
      </c>
      <c r="F59" s="270"/>
      <c r="G59" s="165"/>
    </row>
    <row r="60" spans="1:7" s="63" customFormat="1" ht="14">
      <c r="A60" s="114">
        <v>3840</v>
      </c>
      <c r="B60" s="115"/>
      <c r="C60" s="116" t="s">
        <v>315</v>
      </c>
      <c r="D60" s="118">
        <v>0</v>
      </c>
      <c r="E60" s="149">
        <v>0</v>
      </c>
      <c r="F60" s="118"/>
      <c r="G60" s="149"/>
    </row>
    <row r="61" spans="1:7" s="63" customFormat="1" ht="26.5" customHeight="1">
      <c r="A61" s="114">
        <v>3841</v>
      </c>
      <c r="B61" s="115"/>
      <c r="C61" s="116" t="s">
        <v>316</v>
      </c>
      <c r="D61" s="118">
        <v>0</v>
      </c>
      <c r="E61" s="149">
        <v>0</v>
      </c>
      <c r="F61" s="118"/>
      <c r="G61" s="149"/>
    </row>
    <row r="62" spans="1:7" s="63" customFormat="1" ht="14">
      <c r="A62" s="177">
        <v>386</v>
      </c>
      <c r="B62" s="178"/>
      <c r="C62" s="179" t="s">
        <v>317</v>
      </c>
      <c r="D62" s="118">
        <v>0</v>
      </c>
      <c r="E62" s="149">
        <v>0</v>
      </c>
      <c r="F62" s="118"/>
      <c r="G62" s="149"/>
    </row>
    <row r="63" spans="1:7" s="63" customFormat="1" ht="27.5" customHeight="1">
      <c r="A63" s="114">
        <v>387</v>
      </c>
      <c r="B63" s="115"/>
      <c r="C63" s="116" t="s">
        <v>60</v>
      </c>
      <c r="D63" s="118">
        <v>0</v>
      </c>
      <c r="E63" s="149">
        <v>0</v>
      </c>
      <c r="F63" s="118"/>
      <c r="G63" s="149"/>
    </row>
    <row r="64" spans="1:7" s="63" customFormat="1">
      <c r="A64" s="145">
        <v>389</v>
      </c>
      <c r="B64" s="294"/>
      <c r="C64" s="103" t="s">
        <v>61</v>
      </c>
      <c r="D64" s="105">
        <v>0</v>
      </c>
      <c r="E64" s="141">
        <v>0</v>
      </c>
      <c r="F64" s="105"/>
      <c r="G64" s="141"/>
    </row>
    <row r="65" spans="1:7" s="203" customFormat="1" ht="14">
      <c r="A65" s="114" t="s">
        <v>471</v>
      </c>
      <c r="B65" s="216"/>
      <c r="C65" s="116" t="s">
        <v>318</v>
      </c>
      <c r="D65" s="117">
        <v>0</v>
      </c>
      <c r="E65" s="218">
        <v>0</v>
      </c>
      <c r="F65" s="117"/>
      <c r="G65" s="218"/>
    </row>
    <row r="66" spans="1:7" s="95" customFormat="1" ht="28">
      <c r="A66" s="114" t="s">
        <v>472</v>
      </c>
      <c r="B66" s="111"/>
      <c r="C66" s="116" t="s">
        <v>319</v>
      </c>
      <c r="D66" s="270">
        <v>0</v>
      </c>
      <c r="E66" s="165">
        <v>0</v>
      </c>
      <c r="F66" s="270"/>
      <c r="G66" s="165"/>
    </row>
    <row r="67" spans="1:7" s="62" customFormat="1">
      <c r="A67" s="114">
        <v>481</v>
      </c>
      <c r="B67" s="102"/>
      <c r="C67" s="103" t="s">
        <v>320</v>
      </c>
      <c r="D67" s="105">
        <v>0</v>
      </c>
      <c r="E67" s="141">
        <v>0</v>
      </c>
      <c r="F67" s="105"/>
      <c r="G67" s="141"/>
    </row>
    <row r="68" spans="1:7" s="62" customFormat="1">
      <c r="A68" s="114">
        <v>482</v>
      </c>
      <c r="B68" s="102"/>
      <c r="C68" s="103" t="s">
        <v>321</v>
      </c>
      <c r="D68" s="105">
        <v>0</v>
      </c>
      <c r="E68" s="141">
        <v>0</v>
      </c>
      <c r="F68" s="105"/>
      <c r="G68" s="141"/>
    </row>
    <row r="69" spans="1:7" s="62" customFormat="1">
      <c r="A69" s="114">
        <v>483</v>
      </c>
      <c r="B69" s="102"/>
      <c r="C69" s="103" t="s">
        <v>322</v>
      </c>
      <c r="D69" s="105">
        <v>0</v>
      </c>
      <c r="E69" s="141">
        <v>0</v>
      </c>
      <c r="F69" s="105"/>
      <c r="G69" s="141"/>
    </row>
    <row r="70" spans="1:7" s="62" customFormat="1">
      <c r="A70" s="114">
        <v>484</v>
      </c>
      <c r="B70" s="102"/>
      <c r="C70" s="103" t="s">
        <v>323</v>
      </c>
      <c r="D70" s="105">
        <v>0</v>
      </c>
      <c r="E70" s="141">
        <v>0</v>
      </c>
      <c r="F70" s="105"/>
      <c r="G70" s="141"/>
    </row>
    <row r="71" spans="1:7" s="203" customFormat="1" ht="28">
      <c r="A71" s="114">
        <v>485</v>
      </c>
      <c r="B71" s="216"/>
      <c r="C71" s="116" t="s">
        <v>324</v>
      </c>
      <c r="D71" s="117">
        <v>0</v>
      </c>
      <c r="E71" s="218">
        <v>0</v>
      </c>
      <c r="F71" s="117"/>
      <c r="G71" s="218"/>
    </row>
    <row r="72" spans="1:7" s="62" customFormat="1">
      <c r="A72" s="114">
        <v>486</v>
      </c>
      <c r="B72" s="102"/>
      <c r="C72" s="103" t="s">
        <v>325</v>
      </c>
      <c r="D72" s="105">
        <v>0</v>
      </c>
      <c r="E72" s="141">
        <v>0</v>
      </c>
      <c r="F72" s="105"/>
      <c r="G72" s="141"/>
    </row>
    <row r="73" spans="1:7" s="64" customFormat="1" ht="28">
      <c r="A73" s="114">
        <v>487</v>
      </c>
      <c r="B73" s="215"/>
      <c r="C73" s="116" t="s">
        <v>62</v>
      </c>
      <c r="D73" s="117">
        <v>0</v>
      </c>
      <c r="E73" s="218">
        <v>0</v>
      </c>
      <c r="F73" s="117"/>
      <c r="G73" s="218"/>
    </row>
    <row r="74" spans="1:7" s="63" customFormat="1" ht="15" customHeight="1">
      <c r="A74" s="114">
        <v>489</v>
      </c>
      <c r="B74" s="182"/>
      <c r="C74" s="133" t="s">
        <v>63</v>
      </c>
      <c r="D74" s="117">
        <v>0</v>
      </c>
      <c r="E74" s="218">
        <v>38000</v>
      </c>
      <c r="F74" s="117"/>
      <c r="G74" s="218"/>
    </row>
    <row r="75" spans="1:7" s="63" customFormat="1">
      <c r="A75" s="181" t="s">
        <v>383</v>
      </c>
      <c r="B75" s="182"/>
      <c r="C75" s="167" t="s">
        <v>384</v>
      </c>
      <c r="D75" s="105">
        <v>0</v>
      </c>
      <c r="E75" s="141">
        <v>0</v>
      </c>
      <c r="F75" s="105"/>
      <c r="G75" s="141"/>
    </row>
    <row r="76" spans="1:7">
      <c r="A76" s="223"/>
      <c r="B76" s="7"/>
      <c r="C76" s="8" t="s">
        <v>65</v>
      </c>
      <c r="D76" s="15">
        <f t="shared" ref="D76:E76" si="8">SUM(D65:D74)-SUM(D57:D64)</f>
        <v>0</v>
      </c>
      <c r="E76" s="15">
        <f t="shared" si="8"/>
        <v>38000</v>
      </c>
      <c r="F76" s="15">
        <f t="shared" ref="F76:G76" si="9">SUM(F65:F74)-SUM(F57:F64)</f>
        <v>0</v>
      </c>
      <c r="G76" s="15">
        <f t="shared" si="9"/>
        <v>0</v>
      </c>
    </row>
    <row r="77" spans="1:7">
      <c r="A77" s="226"/>
      <c r="B77" s="9"/>
      <c r="C77" s="8" t="s">
        <v>66</v>
      </c>
      <c r="D77" s="15">
        <f t="shared" ref="D77:E77" si="10">D56+D76</f>
        <v>10576.800000000745</v>
      </c>
      <c r="E77" s="15">
        <f t="shared" si="10"/>
        <v>497.99999999990541</v>
      </c>
      <c r="F77" s="15">
        <f t="shared" ref="F77:G77" si="11">F56+F76</f>
        <v>-900</v>
      </c>
      <c r="G77" s="15">
        <f t="shared" si="11"/>
        <v>539</v>
      </c>
    </row>
    <row r="78" spans="1:7">
      <c r="A78" s="227">
        <v>3</v>
      </c>
      <c r="B78" s="35"/>
      <c r="C78" s="36" t="s">
        <v>479</v>
      </c>
      <c r="D78" s="37">
        <f t="shared" ref="D78:E78" si="12">D20+D21+SUM(D38:D43)+SUM(D57:D64)</f>
        <v>3135985.5999999996</v>
      </c>
      <c r="E78" s="37">
        <f t="shared" si="12"/>
        <v>3203911.8</v>
      </c>
      <c r="F78" s="37">
        <f t="shared" ref="F78:G78" si="13">F20+F21+SUM(F38:F43)+SUM(F57:F64)</f>
        <v>3187627</v>
      </c>
      <c r="G78" s="37">
        <f t="shared" si="13"/>
        <v>3188104</v>
      </c>
    </row>
    <row r="79" spans="1:7">
      <c r="A79" s="227">
        <v>4</v>
      </c>
      <c r="B79" s="35"/>
      <c r="C79" s="36" t="s">
        <v>480</v>
      </c>
      <c r="D79" s="37">
        <f t="shared" ref="D79:E79" si="14">D35+D36+SUM(D44:D53)+SUM(D65:D74)</f>
        <v>3146562.4000000004</v>
      </c>
      <c r="E79" s="37">
        <f t="shared" si="14"/>
        <v>3204409.7</v>
      </c>
      <c r="F79" s="37">
        <f t="shared" ref="F79:G79" si="15">F35+F36+SUM(F44:F53)+SUM(F65:F74)</f>
        <v>3186727</v>
      </c>
      <c r="G79" s="37">
        <f t="shared" si="15"/>
        <v>3188643</v>
      </c>
    </row>
    <row r="80" spans="1:7">
      <c r="C80" s="11"/>
      <c r="D80" s="17"/>
      <c r="E80" s="86"/>
      <c r="F80" s="17"/>
      <c r="G80" s="86"/>
    </row>
    <row r="81" spans="1:7">
      <c r="A81" s="801" t="s">
        <v>67</v>
      </c>
      <c r="B81" s="799"/>
      <c r="C81" s="799"/>
      <c r="D81" s="88"/>
      <c r="E81" s="88"/>
      <c r="F81" s="88"/>
      <c r="G81" s="88"/>
    </row>
    <row r="82" spans="1:7" s="62" customFormat="1">
      <c r="A82" s="186">
        <v>50</v>
      </c>
      <c r="B82" s="187"/>
      <c r="C82" s="187" t="s">
        <v>326</v>
      </c>
      <c r="D82" s="105">
        <v>118053</v>
      </c>
      <c r="E82" s="141">
        <v>135870</v>
      </c>
      <c r="F82" s="105">
        <v>126747</v>
      </c>
      <c r="G82" s="113">
        <v>118367</v>
      </c>
    </row>
    <row r="83" spans="1:7" s="62" customFormat="1">
      <c r="A83" s="186">
        <v>51</v>
      </c>
      <c r="B83" s="187"/>
      <c r="C83" s="187" t="s">
        <v>327</v>
      </c>
      <c r="D83" s="105">
        <v>0</v>
      </c>
      <c r="E83" s="141">
        <v>0</v>
      </c>
      <c r="F83" s="105"/>
      <c r="G83" s="113"/>
    </row>
    <row r="84" spans="1:7" s="62" customFormat="1">
      <c r="A84" s="186">
        <v>52</v>
      </c>
      <c r="B84" s="187"/>
      <c r="C84" s="187" t="s">
        <v>328</v>
      </c>
      <c r="D84" s="105">
        <v>0</v>
      </c>
      <c r="E84" s="141">
        <v>0</v>
      </c>
      <c r="F84" s="105"/>
      <c r="G84" s="113"/>
    </row>
    <row r="85" spans="1:7" s="62" customFormat="1">
      <c r="A85" s="188">
        <v>54</v>
      </c>
      <c r="B85" s="189"/>
      <c r="C85" s="189" t="s">
        <v>142</v>
      </c>
      <c r="D85" s="150">
        <v>11899</v>
      </c>
      <c r="E85" s="141">
        <v>14067</v>
      </c>
      <c r="F85" s="150">
        <v>7858</v>
      </c>
      <c r="G85" s="113">
        <v>15517</v>
      </c>
    </row>
    <row r="86" spans="1:7" s="62" customFormat="1">
      <c r="A86" s="188">
        <v>55</v>
      </c>
      <c r="B86" s="189"/>
      <c r="C86" s="189" t="s">
        <v>182</v>
      </c>
      <c r="D86" s="150">
        <v>200</v>
      </c>
      <c r="E86" s="141">
        <v>1000</v>
      </c>
      <c r="F86" s="150">
        <v>460</v>
      </c>
      <c r="G86" s="113">
        <v>1000</v>
      </c>
    </row>
    <row r="87" spans="1:7" s="62" customFormat="1">
      <c r="A87" s="188">
        <v>56</v>
      </c>
      <c r="B87" s="189"/>
      <c r="C87" s="189" t="s">
        <v>329</v>
      </c>
      <c r="D87" s="150">
        <v>31216</v>
      </c>
      <c r="E87" s="141">
        <v>38714</v>
      </c>
      <c r="F87" s="150">
        <v>37229</v>
      </c>
      <c r="G87" s="113">
        <v>46844</v>
      </c>
    </row>
    <row r="88" spans="1:7" s="62" customFormat="1">
      <c r="A88" s="186">
        <v>57</v>
      </c>
      <c r="B88" s="187"/>
      <c r="C88" s="187" t="s">
        <v>152</v>
      </c>
      <c r="D88" s="105">
        <v>16970</v>
      </c>
      <c r="E88" s="141">
        <v>16853</v>
      </c>
      <c r="F88" s="105">
        <v>15303</v>
      </c>
      <c r="G88" s="113">
        <v>14805</v>
      </c>
    </row>
    <row r="89" spans="1:7" s="203" customFormat="1" ht="28">
      <c r="A89" s="192">
        <v>580</v>
      </c>
      <c r="B89" s="193"/>
      <c r="C89" s="193" t="s">
        <v>330</v>
      </c>
      <c r="D89" s="117">
        <v>0</v>
      </c>
      <c r="E89" s="218">
        <v>0</v>
      </c>
      <c r="F89" s="117">
        <v>0</v>
      </c>
      <c r="G89" s="249"/>
    </row>
    <row r="90" spans="1:7" s="203" customFormat="1" ht="28">
      <c r="A90" s="192">
        <v>582</v>
      </c>
      <c r="B90" s="193"/>
      <c r="C90" s="193" t="s">
        <v>331</v>
      </c>
      <c r="D90" s="117">
        <v>0</v>
      </c>
      <c r="E90" s="218">
        <v>0</v>
      </c>
      <c r="F90" s="117">
        <v>0</v>
      </c>
      <c r="G90" s="249"/>
    </row>
    <row r="91" spans="1:7" s="62" customFormat="1">
      <c r="A91" s="186">
        <v>584</v>
      </c>
      <c r="B91" s="187"/>
      <c r="C91" s="187" t="s">
        <v>332</v>
      </c>
      <c r="D91" s="105">
        <v>0</v>
      </c>
      <c r="E91" s="141">
        <v>0</v>
      </c>
      <c r="F91" s="105">
        <v>0</v>
      </c>
      <c r="G91" s="113"/>
    </row>
    <row r="92" spans="1:7" s="203" customFormat="1" ht="28">
      <c r="A92" s="192">
        <v>585</v>
      </c>
      <c r="B92" s="193"/>
      <c r="C92" s="193" t="s">
        <v>333</v>
      </c>
      <c r="D92" s="117">
        <v>0</v>
      </c>
      <c r="E92" s="218">
        <v>0</v>
      </c>
      <c r="F92" s="117">
        <v>0</v>
      </c>
      <c r="G92" s="249"/>
    </row>
    <row r="93" spans="1:7" s="62" customFormat="1">
      <c r="A93" s="186">
        <v>586</v>
      </c>
      <c r="B93" s="187"/>
      <c r="C93" s="187" t="s">
        <v>334</v>
      </c>
      <c r="D93" s="105">
        <v>0</v>
      </c>
      <c r="E93" s="141">
        <v>0</v>
      </c>
      <c r="F93" s="105">
        <v>0</v>
      </c>
      <c r="G93" s="113"/>
    </row>
    <row r="94" spans="1:7" s="62" customFormat="1">
      <c r="A94" s="190">
        <v>589</v>
      </c>
      <c r="B94" s="191"/>
      <c r="C94" s="191" t="s">
        <v>335</v>
      </c>
      <c r="D94" s="135">
        <v>0</v>
      </c>
      <c r="E94" s="147">
        <v>0</v>
      </c>
      <c r="F94" s="135">
        <v>0</v>
      </c>
      <c r="G94" s="159"/>
    </row>
    <row r="95" spans="1:7">
      <c r="A95" s="41">
        <v>5</v>
      </c>
      <c r="B95" s="32"/>
      <c r="C95" s="32" t="s">
        <v>135</v>
      </c>
      <c r="D95" s="33">
        <f t="shared" ref="D95:E95" si="16">SUM(D82:D94)</f>
        <v>178338</v>
      </c>
      <c r="E95" s="33">
        <f t="shared" si="16"/>
        <v>206504</v>
      </c>
      <c r="F95" s="33">
        <f t="shared" ref="F95:G95" si="17">SUM(F82:F94)</f>
        <v>187597</v>
      </c>
      <c r="G95" s="33">
        <f t="shared" si="17"/>
        <v>196533</v>
      </c>
    </row>
    <row r="96" spans="1:7" s="203" customFormat="1" ht="14">
      <c r="A96" s="192">
        <v>60</v>
      </c>
      <c r="B96" s="193"/>
      <c r="C96" s="193" t="s">
        <v>336</v>
      </c>
      <c r="D96" s="117">
        <v>629</v>
      </c>
      <c r="E96" s="218">
        <v>0</v>
      </c>
      <c r="F96" s="117">
        <v>0</v>
      </c>
      <c r="G96" s="249">
        <v>0</v>
      </c>
    </row>
    <row r="97" spans="1:7" s="203" customFormat="1" ht="14">
      <c r="A97" s="192">
        <v>61</v>
      </c>
      <c r="B97" s="193"/>
      <c r="C97" s="193" t="s">
        <v>337</v>
      </c>
      <c r="D97" s="117">
        <v>46</v>
      </c>
      <c r="E97" s="218">
        <v>0</v>
      </c>
      <c r="F97" s="117">
        <v>0</v>
      </c>
      <c r="G97" s="249">
        <v>0</v>
      </c>
    </row>
    <row r="98" spans="1:7" s="62" customFormat="1">
      <c r="A98" s="186">
        <v>62</v>
      </c>
      <c r="B98" s="187"/>
      <c r="C98" s="187" t="s">
        <v>338</v>
      </c>
      <c r="D98" s="105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339</v>
      </c>
      <c r="D99" s="105">
        <v>41281</v>
      </c>
      <c r="E99" s="141">
        <v>26530</v>
      </c>
      <c r="F99" s="105">
        <v>21335</v>
      </c>
      <c r="G99" s="113">
        <v>27086</v>
      </c>
    </row>
    <row r="100" spans="1:7" s="62" customFormat="1">
      <c r="A100" s="186">
        <v>64</v>
      </c>
      <c r="B100" s="187"/>
      <c r="C100" s="187" t="s">
        <v>183</v>
      </c>
      <c r="D100" s="105">
        <v>8381</v>
      </c>
      <c r="E100" s="141">
        <v>8088</v>
      </c>
      <c r="F100" s="105">
        <v>8537</v>
      </c>
      <c r="G100" s="113">
        <v>10303</v>
      </c>
    </row>
    <row r="101" spans="1:7" s="62" customFormat="1">
      <c r="A101" s="186">
        <v>65</v>
      </c>
      <c r="B101" s="187"/>
      <c r="C101" s="187" t="s">
        <v>184</v>
      </c>
      <c r="D101" s="105"/>
      <c r="E101" s="141">
        <v>0</v>
      </c>
      <c r="F101" s="105">
        <v>46</v>
      </c>
      <c r="G101" s="113">
        <v>0</v>
      </c>
    </row>
    <row r="102" spans="1:7" s="203" customFormat="1" ht="14">
      <c r="A102" s="192">
        <v>66</v>
      </c>
      <c r="B102" s="193"/>
      <c r="C102" s="193" t="s">
        <v>340</v>
      </c>
      <c r="D102" s="117">
        <v>452</v>
      </c>
      <c r="E102" s="218">
        <v>70</v>
      </c>
      <c r="F102" s="117">
        <v>294</v>
      </c>
      <c r="G102" s="249">
        <v>70</v>
      </c>
    </row>
    <row r="103" spans="1:7" s="62" customFormat="1">
      <c r="A103" s="186">
        <v>67</v>
      </c>
      <c r="B103" s="187"/>
      <c r="C103" s="187" t="s">
        <v>152</v>
      </c>
      <c r="D103" s="105">
        <v>16970</v>
      </c>
      <c r="E103" s="138">
        <v>16853</v>
      </c>
      <c r="F103" s="105">
        <v>15303</v>
      </c>
      <c r="G103" s="106">
        <v>14805</v>
      </c>
    </row>
    <row r="104" spans="1:7" s="62" customFormat="1" ht="42">
      <c r="A104" s="192" t="s">
        <v>268</v>
      </c>
      <c r="B104" s="187"/>
      <c r="C104" s="193" t="s">
        <v>341</v>
      </c>
      <c r="D104" s="105"/>
      <c r="E104" s="141"/>
      <c r="F104" s="105"/>
      <c r="G104" s="141"/>
    </row>
    <row r="105" spans="1:7" s="62" customFormat="1" ht="56.5" customHeight="1">
      <c r="A105" s="194" t="s">
        <v>363</v>
      </c>
      <c r="B105" s="191"/>
      <c r="C105" s="195" t="s">
        <v>342</v>
      </c>
      <c r="D105" s="135"/>
      <c r="E105" s="147"/>
      <c r="F105" s="135"/>
      <c r="G105" s="147"/>
    </row>
    <row r="106" spans="1:7">
      <c r="A106" s="41">
        <v>6</v>
      </c>
      <c r="B106" s="32"/>
      <c r="C106" s="32" t="s">
        <v>195</v>
      </c>
      <c r="D106" s="33">
        <f t="shared" ref="D106:E106" si="18">SUM(D96:D105)</f>
        <v>67759</v>
      </c>
      <c r="E106" s="33">
        <f t="shared" si="18"/>
        <v>51541</v>
      </c>
      <c r="F106" s="33">
        <f t="shared" ref="F106:G106" si="19">SUM(F96:F105)</f>
        <v>45515</v>
      </c>
      <c r="G106" s="33">
        <f t="shared" si="19"/>
        <v>52264</v>
      </c>
    </row>
    <row r="107" spans="1:7">
      <c r="A107" s="228" t="s">
        <v>387</v>
      </c>
      <c r="B107" s="31"/>
      <c r="C107" s="32" t="s">
        <v>68</v>
      </c>
      <c r="D107" s="33">
        <f t="shared" ref="D107:E107" si="20">(D95-D88)-(D106-D103)</f>
        <v>110579</v>
      </c>
      <c r="E107" s="33">
        <f t="shared" si="20"/>
        <v>154963</v>
      </c>
      <c r="F107" s="33">
        <f t="shared" ref="F107:G107" si="21">(F95-F88)-(F106-F103)</f>
        <v>142082</v>
      </c>
      <c r="G107" s="33">
        <f t="shared" si="21"/>
        <v>144269</v>
      </c>
    </row>
    <row r="108" spans="1:7">
      <c r="A108" s="229" t="s">
        <v>407</v>
      </c>
      <c r="B108" s="30"/>
      <c r="C108" s="49" t="s">
        <v>144</v>
      </c>
      <c r="D108" s="33">
        <f t="shared" ref="D108:E108" si="22">D107-D85-D86+D100+D101</f>
        <v>106861</v>
      </c>
      <c r="E108" s="33">
        <f t="shared" si="22"/>
        <v>147984</v>
      </c>
      <c r="F108" s="33">
        <f t="shared" ref="F108:G108" si="23">F107-F85-F86+F100+F101</f>
        <v>142347</v>
      </c>
      <c r="G108" s="33">
        <f t="shared" si="23"/>
        <v>138055</v>
      </c>
    </row>
    <row r="109" spans="1:7">
      <c r="C109" s="11"/>
      <c r="D109" s="17"/>
      <c r="E109" s="17"/>
      <c r="F109" s="17"/>
      <c r="G109" s="17"/>
    </row>
    <row r="110" spans="1:7">
      <c r="A110" s="230" t="s">
        <v>109</v>
      </c>
      <c r="B110" s="12"/>
      <c r="C110" s="21"/>
      <c r="D110" s="17"/>
      <c r="E110" s="17"/>
      <c r="F110" s="17"/>
      <c r="G110" s="17"/>
    </row>
    <row r="111" spans="1:7" s="62" customFormat="1">
      <c r="A111" s="256">
        <v>10</v>
      </c>
      <c r="B111" s="253"/>
      <c r="C111" s="253" t="s">
        <v>69</v>
      </c>
      <c r="D111" s="336">
        <f t="shared" ref="D111:E111" si="24">D112+D117</f>
        <v>2212674</v>
      </c>
      <c r="E111" s="337">
        <f t="shared" si="24"/>
        <v>0</v>
      </c>
      <c r="F111" s="336">
        <f t="shared" ref="F111:G111" si="25">F112+F117</f>
        <v>1790566</v>
      </c>
      <c r="G111" s="337">
        <f t="shared" si="25"/>
        <v>0</v>
      </c>
    </row>
    <row r="112" spans="1:7" s="62" customFormat="1">
      <c r="A112" s="254" t="s">
        <v>288</v>
      </c>
      <c r="B112" s="255"/>
      <c r="C112" s="255" t="s">
        <v>473</v>
      </c>
      <c r="D112" s="336">
        <f t="shared" ref="D112:E112" si="26">D113+D114+D115+D116</f>
        <v>1345526</v>
      </c>
      <c r="E112" s="337">
        <f t="shared" si="26"/>
        <v>0</v>
      </c>
      <c r="F112" s="336">
        <f t="shared" ref="F112:G112" si="27">F113+F114+F115+F116</f>
        <v>1178946</v>
      </c>
      <c r="G112" s="337">
        <f t="shared" si="27"/>
        <v>0</v>
      </c>
    </row>
    <row r="113" spans="1:7" s="62" customFormat="1">
      <c r="A113" s="212" t="s">
        <v>466</v>
      </c>
      <c r="B113" s="206"/>
      <c r="C113" s="206" t="s">
        <v>343</v>
      </c>
      <c r="D113" s="105">
        <v>1118527</v>
      </c>
      <c r="E113" s="113"/>
      <c r="F113" s="105">
        <v>976361</v>
      </c>
      <c r="G113" s="113"/>
    </row>
    <row r="114" spans="1:7" s="95" customFormat="1" ht="15" customHeight="1">
      <c r="A114" s="262">
        <v>102</v>
      </c>
      <c r="B114" s="265"/>
      <c r="C114" s="265" t="s">
        <v>344</v>
      </c>
      <c r="D114" s="270">
        <v>52261</v>
      </c>
      <c r="E114" s="271"/>
      <c r="F114" s="270">
        <v>37865</v>
      </c>
      <c r="G114" s="271"/>
    </row>
    <row r="115" spans="1:7" s="62" customFormat="1">
      <c r="A115" s="212">
        <v>104</v>
      </c>
      <c r="B115" s="206"/>
      <c r="C115" s="206" t="s">
        <v>345</v>
      </c>
      <c r="D115" s="105">
        <v>174738</v>
      </c>
      <c r="E115" s="113"/>
      <c r="F115" s="105">
        <v>159537</v>
      </c>
      <c r="G115" s="113"/>
    </row>
    <row r="116" spans="1:7" s="62" customFormat="1">
      <c r="A116" s="212">
        <v>106</v>
      </c>
      <c r="B116" s="206"/>
      <c r="C116" s="206" t="s">
        <v>482</v>
      </c>
      <c r="D116" s="105">
        <v>0</v>
      </c>
      <c r="E116" s="113"/>
      <c r="F116" s="105">
        <v>5183</v>
      </c>
      <c r="G116" s="113"/>
    </row>
    <row r="117" spans="1:7" s="62" customFormat="1">
      <c r="A117" s="254" t="s">
        <v>292</v>
      </c>
      <c r="B117" s="255"/>
      <c r="C117" s="255" t="s">
        <v>474</v>
      </c>
      <c r="D117" s="336">
        <f t="shared" ref="D117:E117" si="28">D118+D119+D120</f>
        <v>867148</v>
      </c>
      <c r="E117" s="337">
        <f t="shared" si="28"/>
        <v>0</v>
      </c>
      <c r="F117" s="336">
        <f t="shared" ref="F117:G117" si="29">F118+F119+F120</f>
        <v>611620</v>
      </c>
      <c r="G117" s="337">
        <f t="shared" si="29"/>
        <v>0</v>
      </c>
    </row>
    <row r="118" spans="1:7" s="62" customFormat="1">
      <c r="A118" s="212">
        <v>107</v>
      </c>
      <c r="B118" s="206"/>
      <c r="C118" s="206" t="s">
        <v>346</v>
      </c>
      <c r="D118" s="105">
        <v>847383</v>
      </c>
      <c r="E118" s="113"/>
      <c r="F118" s="105">
        <v>597373</v>
      </c>
      <c r="G118" s="113"/>
    </row>
    <row r="119" spans="1:7" s="62" customFormat="1">
      <c r="A119" s="212">
        <v>108</v>
      </c>
      <c r="B119" s="206"/>
      <c r="C119" s="206" t="s">
        <v>347</v>
      </c>
      <c r="D119" s="105">
        <v>19765</v>
      </c>
      <c r="E119" s="113"/>
      <c r="F119" s="105">
        <v>14247</v>
      </c>
      <c r="G119" s="113"/>
    </row>
    <row r="120" spans="1:7" s="203" customFormat="1" ht="28">
      <c r="A120" s="262">
        <v>109</v>
      </c>
      <c r="B120" s="263"/>
      <c r="C120" s="263" t="s">
        <v>348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70</v>
      </c>
      <c r="D121" s="336">
        <f t="shared" ref="D121:E121" si="30">SUM(D122:D130)</f>
        <v>799065</v>
      </c>
      <c r="E121" s="336">
        <f t="shared" si="30"/>
        <v>0</v>
      </c>
      <c r="F121" s="336">
        <f t="shared" ref="F121:G121" si="31">SUM(F122:F130)</f>
        <v>833440</v>
      </c>
      <c r="G121" s="336">
        <f t="shared" si="31"/>
        <v>0</v>
      </c>
    </row>
    <row r="122" spans="1:7" s="62" customFormat="1">
      <c r="A122" s="212" t="s">
        <v>467</v>
      </c>
      <c r="B122" s="206"/>
      <c r="C122" s="206" t="s">
        <v>349</v>
      </c>
      <c r="D122" s="105">
        <v>476955</v>
      </c>
      <c r="E122" s="113"/>
      <c r="F122" s="105">
        <v>513061</v>
      </c>
      <c r="G122" s="113"/>
    </row>
    <row r="123" spans="1:7" s="62" customFormat="1">
      <c r="A123" s="212">
        <v>144</v>
      </c>
      <c r="B123" s="206"/>
      <c r="C123" s="206" t="s">
        <v>142</v>
      </c>
      <c r="D123" s="105">
        <v>191065</v>
      </c>
      <c r="E123" s="113"/>
      <c r="F123" s="105">
        <v>188920</v>
      </c>
      <c r="G123" s="113"/>
    </row>
    <row r="124" spans="1:7" s="62" customFormat="1">
      <c r="A124" s="212">
        <v>145</v>
      </c>
      <c r="B124" s="206"/>
      <c r="C124" s="206" t="s">
        <v>143</v>
      </c>
      <c r="D124" s="105">
        <v>131045</v>
      </c>
      <c r="E124" s="210"/>
      <c r="F124" s="105">
        <v>131459</v>
      </c>
      <c r="G124" s="210"/>
    </row>
    <row r="125" spans="1:7" s="62" customFormat="1">
      <c r="A125" s="212">
        <v>146</v>
      </c>
      <c r="B125" s="206"/>
      <c r="C125" s="206" t="s">
        <v>350</v>
      </c>
      <c r="D125" s="105">
        <v>0</v>
      </c>
      <c r="E125" s="210"/>
      <c r="F125" s="105">
        <v>0</v>
      </c>
      <c r="G125" s="210"/>
    </row>
    <row r="126" spans="1:7" s="203" customFormat="1" ht="29.5" customHeight="1">
      <c r="A126" s="262" t="s">
        <v>468</v>
      </c>
      <c r="B126" s="263"/>
      <c r="C126" s="263" t="s">
        <v>351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352</v>
      </c>
      <c r="D127" s="105">
        <v>0</v>
      </c>
      <c r="E127" s="210"/>
      <c r="F127" s="105">
        <v>0</v>
      </c>
      <c r="G127" s="210"/>
    </row>
    <row r="128" spans="1:7" s="203" customFormat="1" ht="14">
      <c r="A128" s="262">
        <v>1485</v>
      </c>
      <c r="B128" s="263"/>
      <c r="C128" s="263" t="s">
        <v>353</v>
      </c>
      <c r="D128" s="117">
        <v>0</v>
      </c>
      <c r="E128" s="276"/>
      <c r="F128" s="117">
        <v>0</v>
      </c>
      <c r="G128" s="276"/>
    </row>
    <row r="129" spans="1:7" s="203" customFormat="1" ht="28">
      <c r="A129" s="262">
        <v>1486</v>
      </c>
      <c r="B129" s="263"/>
      <c r="C129" s="263" t="s">
        <v>354</v>
      </c>
      <c r="D129" s="117">
        <v>0</v>
      </c>
      <c r="E129" s="276"/>
      <c r="F129" s="117">
        <v>0</v>
      </c>
      <c r="G129" s="276"/>
    </row>
    <row r="130" spans="1:7" s="203" customFormat="1" ht="14">
      <c r="A130" s="304">
        <v>1489</v>
      </c>
      <c r="B130" s="305"/>
      <c r="C130" s="305" t="s">
        <v>355</v>
      </c>
      <c r="D130" s="278">
        <v>0</v>
      </c>
      <c r="E130" s="306"/>
      <c r="F130" s="278">
        <v>0</v>
      </c>
      <c r="G130" s="306"/>
    </row>
    <row r="131" spans="1:7">
      <c r="A131" s="231">
        <v>1</v>
      </c>
      <c r="B131" s="14"/>
      <c r="C131" s="13" t="s">
        <v>71</v>
      </c>
      <c r="D131" s="18">
        <f>D111+D121</f>
        <v>3011739</v>
      </c>
      <c r="E131" s="18">
        <f>E111+E121</f>
        <v>0</v>
      </c>
      <c r="F131" s="18">
        <f>F111+F121</f>
        <v>2624006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6">
        <v>20</v>
      </c>
      <c r="B133" s="253"/>
      <c r="C133" s="253" t="s">
        <v>72</v>
      </c>
      <c r="D133" s="338">
        <f t="shared" ref="D133:E133" si="32">D134+D140</f>
        <v>1473539</v>
      </c>
      <c r="E133" s="339">
        <f t="shared" si="32"/>
        <v>0</v>
      </c>
      <c r="F133" s="338">
        <f t="shared" ref="F133:G133" si="33">F134+F140</f>
        <v>1071812</v>
      </c>
      <c r="G133" s="339">
        <f t="shared" si="33"/>
        <v>0</v>
      </c>
    </row>
    <row r="134" spans="1:7" s="62" customFormat="1">
      <c r="A134" s="257" t="s">
        <v>286</v>
      </c>
      <c r="B134" s="255"/>
      <c r="C134" s="255" t="s">
        <v>356</v>
      </c>
      <c r="D134" s="336">
        <f t="shared" ref="D134:E134" si="34">D135+D136+D138+D139</f>
        <v>837454</v>
      </c>
      <c r="E134" s="337">
        <f t="shared" si="34"/>
        <v>0</v>
      </c>
      <c r="F134" s="336">
        <f t="shared" ref="F134:G134" si="35">F135+F136+F138+F139</f>
        <v>791066</v>
      </c>
      <c r="G134" s="337">
        <f t="shared" si="35"/>
        <v>0</v>
      </c>
    </row>
    <row r="135" spans="1:7" s="63" customFormat="1">
      <c r="A135" s="208">
        <v>200</v>
      </c>
      <c r="B135" s="206"/>
      <c r="C135" s="206" t="s">
        <v>73</v>
      </c>
      <c r="D135" s="105">
        <v>527173</v>
      </c>
      <c r="E135" s="113"/>
      <c r="F135" s="105">
        <v>455748</v>
      </c>
      <c r="G135" s="113"/>
    </row>
    <row r="136" spans="1:7" s="63" customFormat="1">
      <c r="A136" s="208">
        <v>201</v>
      </c>
      <c r="B136" s="206"/>
      <c r="C136" s="206" t="s">
        <v>357</v>
      </c>
      <c r="D136" s="105">
        <v>0</v>
      </c>
      <c r="E136" s="113"/>
      <c r="F136" s="105"/>
      <c r="G136" s="113"/>
    </row>
    <row r="137" spans="1:7" s="63" customFormat="1">
      <c r="A137" s="204" t="s">
        <v>110</v>
      </c>
      <c r="B137" s="205"/>
      <c r="C137" s="205" t="s">
        <v>112</v>
      </c>
      <c r="D137" s="150">
        <v>0</v>
      </c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358</v>
      </c>
      <c r="D138" s="105">
        <v>310281</v>
      </c>
      <c r="E138" s="210"/>
      <c r="F138" s="105">
        <v>335318</v>
      </c>
      <c r="G138" s="210"/>
    </row>
    <row r="139" spans="1:7" s="63" customFormat="1">
      <c r="A139" s="208">
        <v>205</v>
      </c>
      <c r="B139" s="206"/>
      <c r="C139" s="206" t="s">
        <v>359</v>
      </c>
      <c r="D139" s="105">
        <v>0</v>
      </c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360</v>
      </c>
      <c r="D140" s="336">
        <f t="shared" ref="D140:E140" si="36">D141+D143+D144</f>
        <v>636085</v>
      </c>
      <c r="E140" s="337">
        <f t="shared" si="36"/>
        <v>0</v>
      </c>
      <c r="F140" s="336">
        <f t="shared" ref="F140:G140" si="37">F141+F143+F144</f>
        <v>280746</v>
      </c>
      <c r="G140" s="337">
        <f t="shared" si="37"/>
        <v>0</v>
      </c>
    </row>
    <row r="141" spans="1:7" s="63" customFormat="1">
      <c r="A141" s="208">
        <v>206</v>
      </c>
      <c r="B141" s="206"/>
      <c r="C141" s="206" t="s">
        <v>74</v>
      </c>
      <c r="D141" s="105">
        <v>360000</v>
      </c>
      <c r="E141" s="210"/>
      <c r="F141" s="105">
        <v>50000</v>
      </c>
      <c r="G141" s="210"/>
    </row>
    <row r="142" spans="1:7" s="63" customFormat="1">
      <c r="A142" s="204" t="s">
        <v>111</v>
      </c>
      <c r="B142" s="205"/>
      <c r="C142" s="205" t="s">
        <v>113</v>
      </c>
      <c r="D142" s="150">
        <v>0</v>
      </c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362</v>
      </c>
      <c r="D143" s="105">
        <v>276085</v>
      </c>
      <c r="E143" s="210"/>
      <c r="F143" s="105">
        <v>188211</v>
      </c>
      <c r="G143" s="210"/>
    </row>
    <row r="144" spans="1:7" s="64" customFormat="1" ht="28">
      <c r="A144" s="262">
        <v>209</v>
      </c>
      <c r="B144" s="263"/>
      <c r="C144" s="263" t="s">
        <v>361</v>
      </c>
      <c r="D144" s="117">
        <v>0</v>
      </c>
      <c r="E144" s="276"/>
      <c r="F144" s="117">
        <v>42535</v>
      </c>
      <c r="G144" s="276"/>
    </row>
    <row r="145" spans="1:7" s="62" customFormat="1">
      <c r="A145" s="257">
        <v>29</v>
      </c>
      <c r="B145" s="255"/>
      <c r="C145" s="255" t="s">
        <v>75</v>
      </c>
      <c r="D145" s="209">
        <v>1538200</v>
      </c>
      <c r="E145" s="210"/>
      <c r="F145" s="209">
        <v>1552194</v>
      </c>
      <c r="G145" s="210"/>
    </row>
    <row r="146" spans="1:7" s="62" customFormat="1">
      <c r="A146" s="211" t="s">
        <v>192</v>
      </c>
      <c r="B146" s="207"/>
      <c r="C146" s="207" t="s">
        <v>193</v>
      </c>
      <c r="D146" s="169">
        <v>0</v>
      </c>
      <c r="E146" s="174"/>
      <c r="F146" s="169"/>
      <c r="G146" s="174"/>
    </row>
    <row r="147" spans="1:7">
      <c r="A147" s="231">
        <v>2</v>
      </c>
      <c r="B147" s="14"/>
      <c r="C147" s="13" t="s">
        <v>76</v>
      </c>
      <c r="D147" s="18">
        <f>D133+D145</f>
        <v>3011739</v>
      </c>
      <c r="E147" s="18">
        <f>E133+E145</f>
        <v>0</v>
      </c>
      <c r="F147" s="18">
        <f>F133+F145</f>
        <v>2624006</v>
      </c>
      <c r="G147" s="18">
        <f>G133+G145</f>
        <v>0</v>
      </c>
    </row>
    <row r="148" spans="1:7" ht="7.5" customHeight="1"/>
    <row r="149" spans="1:7" ht="13.5" customHeight="1">
      <c r="A149" s="330" t="s">
        <v>495</v>
      </c>
      <c r="B149" s="19"/>
      <c r="C149" s="38"/>
      <c r="D149" s="19"/>
      <c r="E149" s="19"/>
      <c r="F149" s="19"/>
      <c r="G149" s="19"/>
    </row>
    <row r="150" spans="1:7">
      <c r="A150" s="307" t="s">
        <v>422</v>
      </c>
      <c r="B150" s="307"/>
      <c r="C150" s="307" t="s">
        <v>155</v>
      </c>
      <c r="D150" s="55">
        <f t="shared" ref="D150:E150" si="38">D77+SUM(D8:D12)-D30-D31+D16-D33+D59+D63-D73+D64-D74-D54+D20-D35</f>
        <v>114078.50000000073</v>
      </c>
      <c r="E150" s="55">
        <f t="shared" si="38"/>
        <v>34209.599999999919</v>
      </c>
      <c r="F150" s="55">
        <f t="shared" ref="F150:G150" si="39">F77+SUM(F8:F12)-F30-F31+F16-F33+F59+F63-F73+F64-F74-F54+F20-F35</f>
        <v>117791</v>
      </c>
      <c r="G150" s="55">
        <f t="shared" si="39"/>
        <v>120884</v>
      </c>
    </row>
    <row r="151" spans="1:7">
      <c r="A151" s="308" t="s">
        <v>423</v>
      </c>
      <c r="B151" s="308"/>
      <c r="C151" s="308" t="s">
        <v>156</v>
      </c>
      <c r="D151" s="258">
        <f t="shared" ref="D151:E151" si="40">IF(D177=0,0,D150/D177)</f>
        <v>3.9310636471970341E-2</v>
      </c>
      <c r="E151" s="258">
        <f t="shared" si="40"/>
        <v>1.174902470964524E-2</v>
      </c>
      <c r="F151" s="258">
        <f t="shared" ref="F151:G151" si="41">IF(F177=0,0,F150/F177)</f>
        <v>4.0106190785222089E-2</v>
      </c>
      <c r="G151" s="258">
        <f t="shared" si="41"/>
        <v>4.116996762501967E-2</v>
      </c>
    </row>
    <row r="152" spans="1:7" s="251" customFormat="1" ht="28">
      <c r="A152" s="310" t="s">
        <v>424</v>
      </c>
      <c r="B152" s="310"/>
      <c r="C152" s="310" t="s">
        <v>157</v>
      </c>
      <c r="D152" s="245">
        <f t="shared" ref="D152:E152" si="42">IF(D107=0,0,D150/D107)</f>
        <v>1.0316470577596173</v>
      </c>
      <c r="E152" s="245">
        <f t="shared" si="42"/>
        <v>0.2207597942734712</v>
      </c>
      <c r="F152" s="245">
        <f t="shared" ref="F152:G152" si="43">IF(F107=0,0,F150/F107)</f>
        <v>0.82903534578623617</v>
      </c>
      <c r="G152" s="245">
        <f t="shared" si="43"/>
        <v>0.83790696546035526</v>
      </c>
    </row>
    <row r="153" spans="1:7" s="251" customFormat="1" ht="28">
      <c r="A153" s="311" t="s">
        <v>424</v>
      </c>
      <c r="B153" s="311"/>
      <c r="C153" s="311" t="s">
        <v>159</v>
      </c>
      <c r="D153" s="322">
        <f t="shared" ref="D153:E153" si="44">IF(0=D108,0,D150/D108)</f>
        <v>1.06754101122019</v>
      </c>
      <c r="E153" s="322">
        <f t="shared" si="44"/>
        <v>0.23117093739863714</v>
      </c>
      <c r="F153" s="322">
        <f t="shared" ref="F153:G153" si="45">IF(0=F108,0,F150/F108)</f>
        <v>0.82749197383857753</v>
      </c>
      <c r="G153" s="322">
        <f t="shared" si="45"/>
        <v>0.87562203469631672</v>
      </c>
    </row>
    <row r="154" spans="1:7" s="251" customFormat="1" ht="28">
      <c r="A154" s="309" t="s">
        <v>443</v>
      </c>
      <c r="B154" s="309"/>
      <c r="C154" s="309" t="s">
        <v>158</v>
      </c>
      <c r="D154" s="59">
        <f t="shared" ref="D154:E154" si="46">D150-D107</f>
        <v>3499.5000000007276</v>
      </c>
      <c r="E154" s="59">
        <f t="shared" si="46"/>
        <v>-120753.40000000008</v>
      </c>
      <c r="F154" s="59">
        <f t="shared" ref="F154:G154" si="47">F150-F107</f>
        <v>-24291</v>
      </c>
      <c r="G154" s="59">
        <f t="shared" si="47"/>
        <v>-23385</v>
      </c>
    </row>
    <row r="155" spans="1:7" ht="27.5" customHeight="1">
      <c r="A155" s="321" t="s">
        <v>444</v>
      </c>
      <c r="B155" s="321"/>
      <c r="C155" s="321" t="s">
        <v>160</v>
      </c>
      <c r="D155" s="56">
        <f t="shared" ref="D155:E155" si="48">D150-D108</f>
        <v>7217.5000000007276</v>
      </c>
      <c r="E155" s="56">
        <f t="shared" si="48"/>
        <v>-113774.40000000008</v>
      </c>
      <c r="F155" s="56">
        <f t="shared" ref="F155:G155" si="49">F150-F108</f>
        <v>-24556</v>
      </c>
      <c r="G155" s="56">
        <f t="shared" si="49"/>
        <v>-17171</v>
      </c>
    </row>
    <row r="156" spans="1:7">
      <c r="A156" s="307" t="s">
        <v>425</v>
      </c>
      <c r="B156" s="307"/>
      <c r="C156" s="307" t="s">
        <v>77</v>
      </c>
      <c r="D156" s="47">
        <f t="shared" ref="D156:E156" si="50">D135+D136-D137+D141-D142</f>
        <v>887173</v>
      </c>
      <c r="E156" s="47">
        <f t="shared" si="50"/>
        <v>0</v>
      </c>
      <c r="F156" s="47">
        <f t="shared" ref="F156:G156" si="51">F135+F136-F137+F141-F142</f>
        <v>505748</v>
      </c>
      <c r="G156" s="47">
        <f t="shared" si="51"/>
        <v>0</v>
      </c>
    </row>
    <row r="157" spans="1:7">
      <c r="A157" s="319" t="s">
        <v>426</v>
      </c>
      <c r="B157" s="319"/>
      <c r="C157" s="319" t="s">
        <v>122</v>
      </c>
      <c r="D157" s="241">
        <f t="shared" ref="D157:E157" si="52">IF(D177=0,0,D156/D177)</f>
        <v>0.30571348054845671</v>
      </c>
      <c r="E157" s="241">
        <f t="shared" si="52"/>
        <v>0</v>
      </c>
      <c r="F157" s="241">
        <f t="shared" ref="F157:G157" si="53">IF(F177=0,0,F156/F177)</f>
        <v>0.17220013224477676</v>
      </c>
      <c r="G157" s="241">
        <f t="shared" si="53"/>
        <v>0</v>
      </c>
    </row>
    <row r="158" spans="1:7">
      <c r="A158" s="307" t="s">
        <v>427</v>
      </c>
      <c r="B158" s="307"/>
      <c r="C158" s="307" t="s">
        <v>445</v>
      </c>
      <c r="D158" s="47">
        <f t="shared" ref="D158:E158" si="54">D133-D142-D111</f>
        <v>-739135</v>
      </c>
      <c r="E158" s="47">
        <f t="shared" si="54"/>
        <v>0</v>
      </c>
      <c r="F158" s="47">
        <f t="shared" ref="F158:G158" si="55">F133-F142-F111</f>
        <v>-718754</v>
      </c>
      <c r="G158" s="47">
        <f t="shared" si="55"/>
        <v>0</v>
      </c>
    </row>
    <row r="159" spans="1:7">
      <c r="A159" s="308" t="s">
        <v>428</v>
      </c>
      <c r="B159" s="308"/>
      <c r="C159" s="308" t="s">
        <v>446</v>
      </c>
      <c r="D159" s="40">
        <f t="shared" ref="D159:E159" si="56">D121-D123-D124-D142-D145</f>
        <v>-1061245</v>
      </c>
      <c r="E159" s="40">
        <f t="shared" si="56"/>
        <v>0</v>
      </c>
      <c r="F159" s="40">
        <f t="shared" ref="F159:G159" si="57">F121-F123-F124-F142-F145</f>
        <v>-1039133</v>
      </c>
      <c r="G159" s="40">
        <f t="shared" si="57"/>
        <v>0</v>
      </c>
    </row>
    <row r="160" spans="1:7">
      <c r="A160" s="308" t="s">
        <v>429</v>
      </c>
      <c r="B160" s="308"/>
      <c r="C160" s="308" t="s">
        <v>123</v>
      </c>
      <c r="D160" s="240">
        <f t="shared" ref="D160:E160" si="58">IF(D175=0,"-",1000*D158/D175)</f>
        <v>-2596.4808127362403</v>
      </c>
      <c r="E160" s="240">
        <f t="shared" si="58"/>
        <v>0</v>
      </c>
      <c r="F160" s="240">
        <f t="shared" ref="F160:G160" si="59">IF(F175=0,"-",1000*F158/F175)</f>
        <v>-2415.7118706160327</v>
      </c>
      <c r="G160" s="240">
        <f t="shared" si="59"/>
        <v>0</v>
      </c>
    </row>
    <row r="161" spans="1:7">
      <c r="A161" s="308" t="s">
        <v>429</v>
      </c>
      <c r="B161" s="308"/>
      <c r="C161" s="308" t="s">
        <v>124</v>
      </c>
      <c r="D161" s="40">
        <f t="shared" ref="D161:E161" si="60">IF(D175=0,0,1000*(D159/D175))</f>
        <v>-3728.0094706816362</v>
      </c>
      <c r="E161" s="40">
        <f t="shared" si="60"/>
        <v>0</v>
      </c>
      <c r="F161" s="40">
        <f t="shared" ref="F161:G161" si="61">IF(F175=0,0,1000*(F159/F175))</f>
        <v>-3492.4966306258466</v>
      </c>
      <c r="G161" s="40">
        <f t="shared" si="61"/>
        <v>0</v>
      </c>
    </row>
    <row r="162" spans="1:7">
      <c r="A162" s="319" t="s">
        <v>430</v>
      </c>
      <c r="B162" s="319"/>
      <c r="C162" s="319" t="s">
        <v>125</v>
      </c>
      <c r="D162" s="241">
        <f t="shared" ref="D162:E162" si="62">IF((D22+D23+D65+D66)=0,0,D158/(D22+D23+D65+D66))</f>
        <v>-0.6599641791513875</v>
      </c>
      <c r="E162" s="241">
        <f t="shared" si="62"/>
        <v>0</v>
      </c>
      <c r="F162" s="241">
        <f t="shared" ref="F162:G162" si="63">IF((F22+F23+F65+F66)=0,0,F158/(F22+F23+F65+F66))</f>
        <v>-0.6321573000898868</v>
      </c>
      <c r="G162" s="241">
        <f t="shared" si="63"/>
        <v>0</v>
      </c>
    </row>
    <row r="163" spans="1:7">
      <c r="A163" s="308" t="s">
        <v>447</v>
      </c>
      <c r="B163" s="308"/>
      <c r="C163" s="308" t="s">
        <v>126</v>
      </c>
      <c r="D163" s="55">
        <f t="shared" ref="D163:E163" si="64">D145</f>
        <v>1538200</v>
      </c>
      <c r="E163" s="55">
        <f t="shared" si="64"/>
        <v>0</v>
      </c>
      <c r="F163" s="55">
        <f t="shared" ref="F163:G163" si="65">F145</f>
        <v>1552194</v>
      </c>
      <c r="G163" s="55">
        <f t="shared" si="65"/>
        <v>0</v>
      </c>
    </row>
    <row r="164" spans="1:7" ht="28">
      <c r="A164" s="310" t="s">
        <v>448</v>
      </c>
      <c r="B164" s="319"/>
      <c r="C164" s="319" t="s">
        <v>127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320" t="s">
        <v>494</v>
      </c>
      <c r="B165" s="320"/>
      <c r="C165" s="320" t="s">
        <v>128</v>
      </c>
      <c r="D165" s="259">
        <f t="shared" ref="D165:E165" si="66">IF(D177=0,0,D180/D177)</f>
        <v>3.0134232013131465E-2</v>
      </c>
      <c r="E165" s="259">
        <f t="shared" si="66"/>
        <v>3.5935195179992968E-2</v>
      </c>
      <c r="F165" s="259">
        <f t="shared" ref="F165:G165" si="67">IF(F177=0,0,F180/F177)</f>
        <v>3.3871210475529608E-2</v>
      </c>
      <c r="G165" s="259">
        <f t="shared" si="67"/>
        <v>3.8369085674156346E-2</v>
      </c>
    </row>
    <row r="166" spans="1:7">
      <c r="A166" s="308" t="s">
        <v>449</v>
      </c>
      <c r="B166" s="308"/>
      <c r="C166" s="308" t="s">
        <v>451</v>
      </c>
      <c r="D166" s="55">
        <f t="shared" ref="D166:E166" si="68">D55</f>
        <v>66671.5</v>
      </c>
      <c r="E166" s="55">
        <f t="shared" si="68"/>
        <v>65118.1</v>
      </c>
      <c r="F166" s="55">
        <f t="shared" ref="F166:G166" si="69">F55</f>
        <v>72599</v>
      </c>
      <c r="G166" s="55">
        <f t="shared" si="69"/>
        <v>81489</v>
      </c>
    </row>
    <row r="167" spans="1:7" s="251" customFormat="1" ht="28">
      <c r="A167" s="310" t="s">
        <v>450</v>
      </c>
      <c r="B167" s="319"/>
      <c r="C167" s="319" t="s">
        <v>129</v>
      </c>
      <c r="D167" s="245">
        <f t="shared" ref="D167:E167" si="70">IF(0=D111,0,(D44+D45+D46+D47+D48)/D111)</f>
        <v>1.0585291823377505E-2</v>
      </c>
      <c r="E167" s="245">
        <f t="shared" si="70"/>
        <v>0</v>
      </c>
      <c r="F167" s="245">
        <f t="shared" ref="F167:G167" si="71">IF(0=F111,0,(F44+F45+F46+F47+F48)/F111)</f>
        <v>1.1913551357503717E-2</v>
      </c>
      <c r="G167" s="245">
        <f t="shared" si="71"/>
        <v>0</v>
      </c>
    </row>
    <row r="168" spans="1:7">
      <c r="A168" s="308" t="s">
        <v>432</v>
      </c>
      <c r="B168" s="307"/>
      <c r="C168" s="307" t="s">
        <v>452</v>
      </c>
      <c r="D168" s="55">
        <f t="shared" ref="D168:E168" si="72">D38-D44</f>
        <v>-6072.7999999999993</v>
      </c>
      <c r="E168" s="55">
        <f t="shared" si="72"/>
        <v>-4428.1000000000004</v>
      </c>
      <c r="F168" s="55">
        <f t="shared" ref="F168:G168" si="73">F38-F44</f>
        <v>-6090</v>
      </c>
      <c r="G168" s="55">
        <f t="shared" si="73"/>
        <v>-13766</v>
      </c>
    </row>
    <row r="169" spans="1:7">
      <c r="A169" s="319" t="s">
        <v>433</v>
      </c>
      <c r="B169" s="319"/>
      <c r="C169" s="319" t="s">
        <v>130</v>
      </c>
      <c r="D169" s="258">
        <f t="shared" ref="D169:E169" si="74">IF(D177=0,0,D168/D177)</f>
        <v>-2.0926435144832719E-3</v>
      </c>
      <c r="E169" s="258">
        <f t="shared" si="74"/>
        <v>-1.5207969785317635E-3</v>
      </c>
      <c r="F169" s="258">
        <f t="shared" ref="F169:G169" si="75">IF(F177=0,0,F168/F177)</f>
        <v>-2.0735599653793797E-3</v>
      </c>
      <c r="G169" s="258">
        <f t="shared" si="75"/>
        <v>-4.6883439853580358E-3</v>
      </c>
    </row>
    <row r="170" spans="1:7">
      <c r="A170" s="308" t="s">
        <v>434</v>
      </c>
      <c r="B170" s="308"/>
      <c r="C170" s="308" t="s">
        <v>453</v>
      </c>
      <c r="D170" s="55">
        <f t="shared" ref="D170:E170" si="76">SUM(D82:D87)+SUM(D89:D94)</f>
        <v>161368</v>
      </c>
      <c r="E170" s="55">
        <f t="shared" si="76"/>
        <v>189651</v>
      </c>
      <c r="F170" s="55">
        <f t="shared" ref="F170:G170" si="77">SUM(F82:F87)+SUM(F89:F94)</f>
        <v>172294</v>
      </c>
      <c r="G170" s="55">
        <f t="shared" si="77"/>
        <v>181728</v>
      </c>
    </row>
    <row r="171" spans="1:7">
      <c r="A171" s="308" t="s">
        <v>435</v>
      </c>
      <c r="B171" s="308"/>
      <c r="C171" s="308" t="s">
        <v>454</v>
      </c>
      <c r="D171" s="40">
        <f t="shared" ref="D171:E171" si="78">SUM(D96:D102)+SUM(D104:D105)</f>
        <v>50789</v>
      </c>
      <c r="E171" s="40">
        <f t="shared" si="78"/>
        <v>34688</v>
      </c>
      <c r="F171" s="40">
        <f t="shared" ref="F171:G171" si="79">SUM(F96:F102)+SUM(F104:F105)</f>
        <v>30212</v>
      </c>
      <c r="G171" s="40">
        <f t="shared" si="79"/>
        <v>37459</v>
      </c>
    </row>
    <row r="172" spans="1:7">
      <c r="A172" s="320" t="s">
        <v>431</v>
      </c>
      <c r="B172" s="320"/>
      <c r="C172" s="320" t="s">
        <v>131</v>
      </c>
      <c r="D172" s="259">
        <f t="shared" ref="D172:E172" si="80">IF(D184=0,0,D170/D184)</f>
        <v>5.5924766480794891E-2</v>
      </c>
      <c r="E172" s="259">
        <f t="shared" si="80"/>
        <v>6.3408561491503271E-2</v>
      </c>
      <c r="F172" s="259">
        <f t="shared" ref="F172:G172" si="81">IF(F184=0,0,F170/F184)</f>
        <v>5.8141080888094603E-2</v>
      </c>
      <c r="G172" s="259">
        <f t="shared" si="81"/>
        <v>6.132783841372668E-2</v>
      </c>
    </row>
    <row r="174" spans="1:7">
      <c r="A174" s="235" t="s">
        <v>114</v>
      </c>
      <c r="B174" s="23"/>
      <c r="C174" s="22"/>
      <c r="D174" s="66"/>
      <c r="E174" s="66"/>
      <c r="F174" s="66"/>
      <c r="G174" s="66"/>
    </row>
    <row r="175" spans="1:7" s="62" customFormat="1">
      <c r="A175" s="236" t="s">
        <v>436</v>
      </c>
      <c r="B175" s="23"/>
      <c r="C175" s="23" t="s">
        <v>189</v>
      </c>
      <c r="D175" s="66">
        <v>284668</v>
      </c>
      <c r="E175" s="66">
        <v>284668</v>
      </c>
      <c r="F175" s="66">
        <v>297533</v>
      </c>
      <c r="G175" s="66">
        <v>297533</v>
      </c>
    </row>
    <row r="176" spans="1:7">
      <c r="A176" s="235" t="s">
        <v>455</v>
      </c>
      <c r="B176" s="23"/>
      <c r="C176" s="23"/>
      <c r="D176" s="23"/>
      <c r="E176" s="23"/>
      <c r="F176" s="23"/>
      <c r="G176" s="23"/>
    </row>
    <row r="177" spans="1:7">
      <c r="A177" s="236" t="s">
        <v>437</v>
      </c>
      <c r="B177" s="23"/>
      <c r="C177" s="23" t="s">
        <v>459</v>
      </c>
      <c r="D177" s="39">
        <f t="shared" ref="D177:E177" si="82">SUM(D22:D32)+SUM(D44:D53)+SUM(D65:D72)+D75</f>
        <v>2901975.4000000004</v>
      </c>
      <c r="E177" s="39">
        <f t="shared" si="82"/>
        <v>2911697</v>
      </c>
      <c r="F177" s="39">
        <f t="shared" ref="F177:G177" si="83">SUM(F22:F32)+SUM(F44:F53)+SUM(F65:F72)+F75</f>
        <v>2936978</v>
      </c>
      <c r="G177" s="39">
        <f t="shared" si="83"/>
        <v>2936218</v>
      </c>
    </row>
    <row r="178" spans="1:7">
      <c r="A178" s="236" t="s">
        <v>438</v>
      </c>
      <c r="B178" s="23"/>
      <c r="C178" s="23" t="s">
        <v>458</v>
      </c>
      <c r="D178" s="39">
        <f t="shared" ref="D178:E178" si="84">D78-D17-D20-D59-D63-D64</f>
        <v>2892148.5999999996</v>
      </c>
      <c r="E178" s="39">
        <f t="shared" si="84"/>
        <v>2949199.3</v>
      </c>
      <c r="F178" s="39">
        <f t="shared" ref="F178:G178" si="85">F78-F17-F20-F59-F63-F64</f>
        <v>2939165</v>
      </c>
      <c r="G178" s="39">
        <f t="shared" si="85"/>
        <v>2935679</v>
      </c>
    </row>
    <row r="179" spans="1:7">
      <c r="A179" s="236"/>
      <c r="B179" s="23"/>
      <c r="C179" s="23" t="s">
        <v>456</v>
      </c>
      <c r="D179" s="39">
        <f t="shared" ref="D179:E179" si="86">D178+D170</f>
        <v>3053516.5999999996</v>
      </c>
      <c r="E179" s="39">
        <f t="shared" si="86"/>
        <v>3138850.3</v>
      </c>
      <c r="F179" s="39">
        <f t="shared" ref="F179:G179" si="87">F178+F170</f>
        <v>3111459</v>
      </c>
      <c r="G179" s="39">
        <f t="shared" si="87"/>
        <v>3117407</v>
      </c>
    </row>
    <row r="180" spans="1:7">
      <c r="A180" s="23" t="s">
        <v>439</v>
      </c>
      <c r="B180" s="23"/>
      <c r="C180" s="23" t="s">
        <v>457</v>
      </c>
      <c r="D180" s="39">
        <f t="shared" ref="D180:E180" si="88">D38-D44+D8+D9+D10+D16-D33</f>
        <v>87448.8</v>
      </c>
      <c r="E180" s="39">
        <f t="shared" si="88"/>
        <v>104632.4</v>
      </c>
      <c r="F180" s="39">
        <f t="shared" ref="F180:G180" si="89">F38-F44+F8+F9+F10+F16-F33</f>
        <v>99479</v>
      </c>
      <c r="G180" s="39">
        <f t="shared" si="89"/>
        <v>112660</v>
      </c>
    </row>
    <row r="181" spans="1:7" ht="27.5" customHeight="1">
      <c r="A181" s="239" t="s">
        <v>460</v>
      </c>
      <c r="B181" s="71"/>
      <c r="C181" s="71" t="s">
        <v>462</v>
      </c>
      <c r="D181" s="73">
        <f t="shared" ref="D181:E181" si="90">D22+D23+D24+D25+D26+D29+SUM(D44:D47)+SUM(D49:D53)-D54+D32-D33+SUM(D65:D70)+D72</f>
        <v>2851094.8</v>
      </c>
      <c r="E181" s="73">
        <f t="shared" si="90"/>
        <v>2835210</v>
      </c>
      <c r="F181" s="73">
        <f t="shared" ref="F181:G181" si="91">F22+F23+F24+F25+F26+F29+SUM(F44:F47)+SUM(F49:F53)-F54+F32-F33+SUM(F65:F70)+F72</f>
        <v>2909885</v>
      </c>
      <c r="G181" s="73">
        <f t="shared" si="91"/>
        <v>2902258</v>
      </c>
    </row>
    <row r="182" spans="1:7">
      <c r="A182" s="237" t="s">
        <v>440</v>
      </c>
      <c r="B182" s="71"/>
      <c r="C182" s="71" t="s">
        <v>461</v>
      </c>
      <c r="D182" s="73">
        <f t="shared" ref="D182:E182" si="92">D181+D171</f>
        <v>2901883.8</v>
      </c>
      <c r="E182" s="73">
        <f t="shared" si="92"/>
        <v>2869898</v>
      </c>
      <c r="F182" s="73">
        <f t="shared" ref="F182:G182" si="93">F181+F171</f>
        <v>2940097</v>
      </c>
      <c r="G182" s="73">
        <f t="shared" si="93"/>
        <v>2939717</v>
      </c>
    </row>
    <row r="183" spans="1:7">
      <c r="A183" s="237" t="s">
        <v>441</v>
      </c>
      <c r="B183" s="71"/>
      <c r="C183" s="71" t="s">
        <v>492</v>
      </c>
      <c r="D183" s="73">
        <f>D4+D5-D7+D38+D39+D40+D41+D43+D13-D16+D57+D58+D60+D62</f>
        <v>2724079.9</v>
      </c>
      <c r="E183" s="73">
        <f t="shared" ref="E183:G183" si="94">E4+E5-E7+E38+E39+E40+E41+E43+E13-E16+E57+E58+E60+E62</f>
        <v>2801285.8</v>
      </c>
      <c r="F183" s="73">
        <f t="shared" si="94"/>
        <v>2791084</v>
      </c>
      <c r="G183" s="73">
        <f t="shared" si="94"/>
        <v>2781494</v>
      </c>
    </row>
    <row r="184" spans="1:7">
      <c r="A184" s="237" t="s">
        <v>442</v>
      </c>
      <c r="B184" s="71"/>
      <c r="C184" s="71" t="s">
        <v>463</v>
      </c>
      <c r="D184" s="73">
        <f t="shared" ref="D184:E184" si="95">D183+D170</f>
        <v>2885447.9</v>
      </c>
      <c r="E184" s="73">
        <f t="shared" si="95"/>
        <v>2990936.8</v>
      </c>
      <c r="F184" s="73">
        <f t="shared" ref="F184:G184" si="96">F183+F170</f>
        <v>2963378</v>
      </c>
      <c r="G184" s="73">
        <f t="shared" si="96"/>
        <v>2963222</v>
      </c>
    </row>
    <row r="185" spans="1:7">
      <c r="A185" s="237"/>
      <c r="B185" s="71"/>
      <c r="C185" s="71" t="s">
        <v>464</v>
      </c>
      <c r="D185" s="73">
        <f t="shared" ref="D185:E185" si="97">D181-D183</f>
        <v>127014.89999999991</v>
      </c>
      <c r="E185" s="73">
        <f t="shared" si="97"/>
        <v>33924.200000000186</v>
      </c>
      <c r="F185" s="73">
        <f t="shared" ref="F185:G185" si="98">F181-F183</f>
        <v>118801</v>
      </c>
      <c r="G185" s="73">
        <f t="shared" si="98"/>
        <v>120764</v>
      </c>
    </row>
    <row r="186" spans="1:7">
      <c r="A186" s="237"/>
      <c r="B186" s="71"/>
      <c r="C186" s="71" t="s">
        <v>465</v>
      </c>
      <c r="D186" s="73">
        <f t="shared" ref="D186:E186" si="99">D182-D184</f>
        <v>16435.899999999907</v>
      </c>
      <c r="E186" s="73">
        <f t="shared" si="99"/>
        <v>-121038.79999999981</v>
      </c>
      <c r="F186" s="73">
        <f t="shared" ref="F186:G186" si="100">F182-F184</f>
        <v>-23281</v>
      </c>
      <c r="G186" s="73">
        <f t="shared" si="100"/>
        <v>-23505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V186"/>
  <sheetViews>
    <sheetView view="pageLayout" topLeftCell="A166" zoomScaleNormal="115" workbookViewId="0">
      <selection activeCell="E183" sqref="E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8" s="2" customFormat="1" ht="18" customHeight="1">
      <c r="A1" s="45" t="s">
        <v>3</v>
      </c>
      <c r="B1" s="284" t="s">
        <v>203</v>
      </c>
      <c r="C1" s="284" t="s">
        <v>204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8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48" s="62" customFormat="1" ht="12.75" customHeight="1">
      <c r="A4" s="148">
        <v>30</v>
      </c>
      <c r="B4" s="96"/>
      <c r="C4" s="97" t="s">
        <v>1</v>
      </c>
      <c r="D4" s="98">
        <v>417071</v>
      </c>
      <c r="E4" s="100">
        <v>427423.4</v>
      </c>
      <c r="F4" s="98">
        <v>421357.6</v>
      </c>
      <c r="G4" s="100">
        <v>449278.15399999998</v>
      </c>
    </row>
    <row r="5" spans="1:48" s="62" customFormat="1" ht="12.75" customHeight="1">
      <c r="A5" s="101">
        <v>31</v>
      </c>
      <c r="B5" s="102"/>
      <c r="C5" s="103" t="s">
        <v>4</v>
      </c>
      <c r="D5" s="105">
        <v>174701.4</v>
      </c>
      <c r="E5" s="106">
        <v>180056.1</v>
      </c>
      <c r="F5" s="105">
        <v>173441.1</v>
      </c>
      <c r="G5" s="106">
        <v>183822.77</v>
      </c>
    </row>
    <row r="6" spans="1:48" s="62" customFormat="1" ht="12.75" customHeight="1">
      <c r="A6" s="107" t="s">
        <v>229</v>
      </c>
      <c r="B6" s="108"/>
      <c r="C6" s="109" t="s">
        <v>230</v>
      </c>
      <c r="D6" s="150">
        <v>24558.2</v>
      </c>
      <c r="E6" s="155">
        <v>25336</v>
      </c>
      <c r="F6" s="150">
        <v>25741.1</v>
      </c>
      <c r="G6" s="155">
        <v>26909</v>
      </c>
    </row>
    <row r="7" spans="1:48" s="62" customFormat="1" ht="12.75" customHeight="1">
      <c r="A7" s="107" t="s">
        <v>371</v>
      </c>
      <c r="B7" s="108"/>
      <c r="C7" s="109" t="s">
        <v>372</v>
      </c>
      <c r="D7" s="150">
        <v>365.9</v>
      </c>
      <c r="E7" s="155">
        <v>0</v>
      </c>
      <c r="F7" s="150">
        <v>-4385.5</v>
      </c>
      <c r="G7" s="155">
        <v>0</v>
      </c>
    </row>
    <row r="8" spans="1:48" s="62" customFormat="1" ht="12.75" customHeight="1">
      <c r="A8" s="145">
        <v>330</v>
      </c>
      <c r="B8" s="102"/>
      <c r="C8" s="103" t="s">
        <v>231</v>
      </c>
      <c r="D8" s="105">
        <v>48410.8</v>
      </c>
      <c r="E8" s="113">
        <v>50711.6</v>
      </c>
      <c r="F8" s="105">
        <v>52899.96</v>
      </c>
      <c r="G8" s="113">
        <v>57711.1</v>
      </c>
    </row>
    <row r="9" spans="1:48" s="62" customFormat="1" ht="12.75" customHeight="1">
      <c r="A9" s="145">
        <v>332</v>
      </c>
      <c r="B9" s="102"/>
      <c r="C9" s="103" t="s">
        <v>232</v>
      </c>
      <c r="D9" s="105">
        <v>0</v>
      </c>
      <c r="E9" s="113">
        <v>0</v>
      </c>
      <c r="F9" s="105">
        <v>0</v>
      </c>
      <c r="G9" s="113">
        <v>0</v>
      </c>
    </row>
    <row r="10" spans="1:48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48" s="62" customFormat="1" ht="12.75" customHeight="1">
      <c r="A11" s="101">
        <v>350</v>
      </c>
      <c r="B11" s="102"/>
      <c r="C11" s="103" t="s">
        <v>234</v>
      </c>
      <c r="D11" s="105">
        <v>4919.9939999999997</v>
      </c>
      <c r="E11" s="113">
        <v>806.1</v>
      </c>
      <c r="F11" s="105">
        <v>4412.3999999999996</v>
      </c>
      <c r="G11" s="113">
        <v>1702.9449999999999</v>
      </c>
    </row>
    <row r="12" spans="1:48" s="63" customFormat="1" ht="14">
      <c r="A12" s="114">
        <v>351</v>
      </c>
      <c r="B12" s="115"/>
      <c r="C12" s="116" t="s">
        <v>272</v>
      </c>
      <c r="D12" s="119">
        <v>0</v>
      </c>
      <c r="E12" s="296">
        <v>0</v>
      </c>
      <c r="F12" s="119">
        <v>0</v>
      </c>
      <c r="G12" s="296">
        <v>0</v>
      </c>
    </row>
    <row r="13" spans="1:48" s="62" customFormat="1" ht="12.75" customHeight="1">
      <c r="A13" s="101">
        <v>36</v>
      </c>
      <c r="B13" s="102"/>
      <c r="C13" s="103" t="s">
        <v>5</v>
      </c>
      <c r="D13" s="104">
        <v>1167535.2</v>
      </c>
      <c r="E13" s="113">
        <v>1220548.3</v>
      </c>
      <c r="F13" s="104">
        <v>1188370.8999999999</v>
      </c>
      <c r="G13" s="113">
        <v>1205302.564</v>
      </c>
    </row>
    <row r="14" spans="1:48" s="62" customFormat="1" ht="12.75" customHeight="1">
      <c r="A14" s="121" t="s">
        <v>173</v>
      </c>
      <c r="B14" s="102"/>
      <c r="C14" s="122" t="s">
        <v>174</v>
      </c>
      <c r="D14" s="104">
        <v>431168.5</v>
      </c>
      <c r="E14" s="113">
        <v>440508.4</v>
      </c>
      <c r="F14" s="104">
        <v>428779.1</v>
      </c>
      <c r="G14" s="113">
        <v>434214.77</v>
      </c>
    </row>
    <row r="15" spans="1:48" s="62" customFormat="1" ht="12.75" customHeight="1">
      <c r="A15" s="121" t="s">
        <v>175</v>
      </c>
      <c r="B15" s="102"/>
      <c r="C15" s="122" t="s">
        <v>176</v>
      </c>
      <c r="D15" s="104">
        <v>46193.2</v>
      </c>
      <c r="E15" s="113">
        <v>55977.53</v>
      </c>
      <c r="F15" s="104">
        <v>63826.8</v>
      </c>
      <c r="G15" s="113">
        <v>62683.553</v>
      </c>
    </row>
    <row r="16" spans="1:48" s="64" customFormat="1" ht="26.25" customHeight="1">
      <c r="A16" s="121" t="s">
        <v>146</v>
      </c>
      <c r="B16" s="123"/>
      <c r="C16" s="122" t="s">
        <v>148</v>
      </c>
      <c r="D16" s="126">
        <v>13208.1</v>
      </c>
      <c r="E16" s="127">
        <v>16454.3</v>
      </c>
      <c r="F16" s="126">
        <v>16549.3</v>
      </c>
      <c r="G16" s="127">
        <v>14249</v>
      </c>
    </row>
    <row r="17" spans="1:7" s="65" customFormat="1">
      <c r="A17" s="101">
        <v>37</v>
      </c>
      <c r="B17" s="102"/>
      <c r="C17" s="103" t="s">
        <v>6</v>
      </c>
      <c r="D17" s="104">
        <v>84628.800000000003</v>
      </c>
      <c r="E17" s="157">
        <v>81960</v>
      </c>
      <c r="F17" s="104">
        <v>82443.16</v>
      </c>
      <c r="G17" s="157">
        <v>81819</v>
      </c>
    </row>
    <row r="18" spans="1:7" s="65" customFormat="1">
      <c r="A18" s="145" t="s">
        <v>196</v>
      </c>
      <c r="B18" s="102"/>
      <c r="C18" s="103" t="s">
        <v>197</v>
      </c>
      <c r="D18" s="104">
        <v>0</v>
      </c>
      <c r="E18" s="157">
        <v>0</v>
      </c>
      <c r="F18" s="104">
        <v>0</v>
      </c>
      <c r="G18" s="157">
        <v>0</v>
      </c>
    </row>
    <row r="19" spans="1:7" s="65" customFormat="1">
      <c r="A19" s="145" t="s">
        <v>198</v>
      </c>
      <c r="B19" s="102"/>
      <c r="C19" s="103" t="s">
        <v>199</v>
      </c>
      <c r="D19" s="104">
        <v>0</v>
      </c>
      <c r="E19" s="157">
        <v>0</v>
      </c>
      <c r="F19" s="104">
        <v>0</v>
      </c>
      <c r="G19" s="157">
        <v>0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0</v>
      </c>
      <c r="E20" s="159">
        <v>0</v>
      </c>
      <c r="F20" s="134">
        <v>0</v>
      </c>
      <c r="G20" s="159">
        <v>0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1897267.1939999999</v>
      </c>
      <c r="E21" s="15">
        <f t="shared" si="0"/>
        <v>1961505.5</v>
      </c>
      <c r="F21" s="15">
        <f t="shared" ref="F21:G21" si="1">F4+F5+SUM(F8:F13)+F17</f>
        <v>1922925.1199999999</v>
      </c>
      <c r="G21" s="15">
        <f t="shared" si="1"/>
        <v>1979636.5329999998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731108.4</v>
      </c>
      <c r="E22" s="141">
        <v>720175</v>
      </c>
      <c r="F22" s="105">
        <v>737100.1</v>
      </c>
      <c r="G22" s="113">
        <v>773626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134695.79999999999</v>
      </c>
      <c r="E23" s="141">
        <v>128100</v>
      </c>
      <c r="F23" s="105">
        <v>138693.48000000001</v>
      </c>
      <c r="G23" s="113">
        <v>130500</v>
      </c>
    </row>
    <row r="24" spans="1:7" s="67" customFormat="1" ht="12.75" customHeight="1">
      <c r="A24" s="101">
        <v>41</v>
      </c>
      <c r="B24" s="102"/>
      <c r="C24" s="103" t="s">
        <v>9</v>
      </c>
      <c r="D24" s="152">
        <v>30600.6</v>
      </c>
      <c r="E24" s="141">
        <v>30758.9</v>
      </c>
      <c r="F24" s="105">
        <v>30715.17</v>
      </c>
      <c r="G24" s="113">
        <v>30515.9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165052.49</v>
      </c>
      <c r="E25" s="141">
        <v>156169</v>
      </c>
      <c r="F25" s="105">
        <v>164330.26999999999</v>
      </c>
      <c r="G25" s="113">
        <v>153263.23000000001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3945.97</v>
      </c>
      <c r="E26" s="144">
        <v>4370.7</v>
      </c>
      <c r="F26" s="128">
        <v>7444.3</v>
      </c>
      <c r="G26" s="157">
        <v>3373.1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0</v>
      </c>
      <c r="E27" s="144">
        <v>0</v>
      </c>
      <c r="F27" s="128">
        <v>0</v>
      </c>
      <c r="G27" s="157">
        <v>0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>
        <v>0</v>
      </c>
      <c r="F28" s="128">
        <v>0</v>
      </c>
      <c r="G28" s="157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0</v>
      </c>
      <c r="E29" s="144">
        <v>0</v>
      </c>
      <c r="F29" s="128">
        <v>0</v>
      </c>
      <c r="G29" s="157">
        <v>0</v>
      </c>
    </row>
    <row r="30" spans="1:7" s="62" customFormat="1" ht="14">
      <c r="A30" s="114">
        <v>450</v>
      </c>
      <c r="B30" s="115"/>
      <c r="C30" s="116" t="s">
        <v>271</v>
      </c>
      <c r="D30" s="104">
        <v>2164.3000000000002</v>
      </c>
      <c r="E30" s="106">
        <v>7345</v>
      </c>
      <c r="F30" s="104">
        <v>2115.4499999999998</v>
      </c>
      <c r="G30" s="106">
        <v>2106.87</v>
      </c>
    </row>
    <row r="31" spans="1:7" s="63" customFormat="1" ht="14">
      <c r="A31" s="114">
        <v>451</v>
      </c>
      <c r="B31" s="115"/>
      <c r="C31" s="116" t="s">
        <v>14</v>
      </c>
      <c r="D31" s="279">
        <v>0</v>
      </c>
      <c r="E31" s="141">
        <v>0</v>
      </c>
      <c r="F31" s="117">
        <v>0</v>
      </c>
      <c r="G31" s="113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52">
        <v>609371.80000000005</v>
      </c>
      <c r="E32" s="141">
        <v>657706.4</v>
      </c>
      <c r="F32" s="105">
        <v>659967.44999999995</v>
      </c>
      <c r="G32" s="113">
        <v>665089.80000000005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0</v>
      </c>
      <c r="E33" s="143">
        <v>0</v>
      </c>
      <c r="F33" s="105">
        <v>0</v>
      </c>
      <c r="G33" s="155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84628.800000000003</v>
      </c>
      <c r="E34" s="141">
        <v>81960</v>
      </c>
      <c r="F34" s="105">
        <v>82443.16</v>
      </c>
      <c r="G34" s="113">
        <v>81810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0</v>
      </c>
      <c r="E35" s="147">
        <v>0</v>
      </c>
      <c r="F35" s="134">
        <v>0</v>
      </c>
      <c r="G35" s="159">
        <v>0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1761568.1600000001</v>
      </c>
      <c r="E36" s="15">
        <f t="shared" si="2"/>
        <v>1786585</v>
      </c>
      <c r="F36" s="15">
        <f t="shared" ref="F36:G36" si="3">F22+F23+F24+F25+F26+F27+F28+F29+F30+F31+F32+F34</f>
        <v>1822809.38</v>
      </c>
      <c r="G36" s="15">
        <f t="shared" si="3"/>
        <v>1840284.9000000004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-135699.03399999975</v>
      </c>
      <c r="E37" s="16">
        <f t="shared" si="4"/>
        <v>-174920.5</v>
      </c>
      <c r="F37" s="16">
        <f t="shared" ref="F37:G37" si="5">F36-F21</f>
        <v>-100115.73999999999</v>
      </c>
      <c r="G37" s="16">
        <f t="shared" si="5"/>
        <v>-139351.63299999945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9354.2999999999993</v>
      </c>
      <c r="E38" s="141">
        <v>13652</v>
      </c>
      <c r="F38" s="104">
        <v>7921.3</v>
      </c>
      <c r="G38" s="113">
        <v>14701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5.99</v>
      </c>
      <c r="E39" s="141">
        <v>0</v>
      </c>
      <c r="F39" s="105">
        <v>35.799999999999997</v>
      </c>
      <c r="G39" s="113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1177.97</v>
      </c>
      <c r="E40" s="141">
        <v>100</v>
      </c>
      <c r="F40" s="105">
        <v>950</v>
      </c>
      <c r="G40" s="113">
        <v>951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1323.8</v>
      </c>
      <c r="E41" s="141">
        <v>1788.4</v>
      </c>
      <c r="F41" s="105">
        <v>886.6</v>
      </c>
      <c r="G41" s="113">
        <v>1809.5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47498.1</v>
      </c>
      <c r="E42" s="141">
        <v>0</v>
      </c>
      <c r="F42" s="105">
        <v>10352.15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-37617.4</v>
      </c>
      <c r="E43" s="141">
        <v>4800</v>
      </c>
      <c r="F43" s="105">
        <v>47091</v>
      </c>
      <c r="G43" s="113">
        <v>4100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9615.4</v>
      </c>
      <c r="E44" s="141">
        <v>8166</v>
      </c>
      <c r="F44" s="104">
        <v>8460.4</v>
      </c>
      <c r="G44" s="113">
        <v>8296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3512.6</v>
      </c>
      <c r="E45" s="141">
        <v>1000</v>
      </c>
      <c r="F45" s="104">
        <v>51.4</v>
      </c>
      <c r="G45" s="113">
        <v>1000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0</v>
      </c>
      <c r="E46" s="141">
        <v>0</v>
      </c>
      <c r="F46" s="104">
        <v>0</v>
      </c>
      <c r="G46" s="113">
        <v>0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3258.2</v>
      </c>
      <c r="E47" s="141">
        <v>3969</v>
      </c>
      <c r="F47" s="104">
        <v>4135.8999999999996</v>
      </c>
      <c r="G47" s="113">
        <v>3773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0</v>
      </c>
      <c r="E48" s="141">
        <v>0</v>
      </c>
      <c r="F48" s="104">
        <v>0</v>
      </c>
      <c r="G48" s="113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3303.2</v>
      </c>
      <c r="E49" s="141">
        <v>3140</v>
      </c>
      <c r="F49" s="104">
        <v>3586.2</v>
      </c>
      <c r="G49" s="113">
        <v>3313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232.6</v>
      </c>
      <c r="E50" s="141">
        <v>458.2</v>
      </c>
      <c r="F50" s="104">
        <v>232.64</v>
      </c>
      <c r="G50" s="113">
        <v>218.24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26128.6</v>
      </c>
      <c r="E51" s="141">
        <v>30208.5</v>
      </c>
      <c r="F51" s="104">
        <v>29539.8</v>
      </c>
      <c r="G51" s="113">
        <v>31922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04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04">
        <v>0</v>
      </c>
      <c r="G53" s="113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68">
        <v>0</v>
      </c>
      <c r="G54" s="174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24307.840000000004</v>
      </c>
      <c r="E55" s="15">
        <f t="shared" si="6"/>
        <v>26601.299999999996</v>
      </c>
      <c r="F55" s="15">
        <f t="shared" ref="F55:G55" si="7">SUM(F44:F53)-SUM(F38:F43)</f>
        <v>-21230.510000000009</v>
      </c>
      <c r="G55" s="15">
        <f t="shared" si="7"/>
        <v>26960.740000000005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-111391.19399999976</v>
      </c>
      <c r="E56" s="15">
        <f t="shared" si="8"/>
        <v>-148319.20000000001</v>
      </c>
      <c r="F56" s="15">
        <f t="shared" ref="F56:G56" si="9">F55+F37</f>
        <v>-121346.25</v>
      </c>
      <c r="G56" s="15">
        <f t="shared" si="9"/>
        <v>-112390.89299999944</v>
      </c>
    </row>
    <row r="57" spans="1:7" s="62" customFormat="1" ht="15.75" customHeight="1">
      <c r="A57" s="285">
        <v>380</v>
      </c>
      <c r="B57" s="286"/>
      <c r="C57" s="287" t="s">
        <v>484</v>
      </c>
      <c r="D57" s="290"/>
      <c r="E57" s="291"/>
      <c r="F57" s="153">
        <v>0</v>
      </c>
      <c r="G57" s="362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/>
      <c r="E58" s="291"/>
      <c r="F58" s="153">
        <v>0</v>
      </c>
      <c r="G58" s="362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0</v>
      </c>
      <c r="E59" s="165">
        <v>0</v>
      </c>
      <c r="F59" s="201">
        <v>0</v>
      </c>
      <c r="G59" s="271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18">
        <v>0</v>
      </c>
      <c r="G60" s="296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18">
        <v>0</v>
      </c>
      <c r="G61" s="296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18">
        <v>0</v>
      </c>
      <c r="G62" s="296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0</v>
      </c>
      <c r="E63" s="149">
        <v>0</v>
      </c>
      <c r="F63" s="118">
        <v>0</v>
      </c>
      <c r="G63" s="296">
        <v>0</v>
      </c>
    </row>
    <row r="64" spans="1:7" s="63" customFormat="1">
      <c r="A64" s="145">
        <v>389</v>
      </c>
      <c r="B64" s="294"/>
      <c r="C64" s="103" t="s">
        <v>7</v>
      </c>
      <c r="D64" s="152">
        <v>0</v>
      </c>
      <c r="E64" s="141">
        <v>0</v>
      </c>
      <c r="F64" s="105">
        <v>0</v>
      </c>
      <c r="G64" s="113">
        <v>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05">
        <v>0</v>
      </c>
      <c r="G65" s="113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70">
        <v>0</v>
      </c>
      <c r="G66" s="271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05">
        <v>0</v>
      </c>
      <c r="G67" s="113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05">
        <v>0</v>
      </c>
      <c r="G68" s="113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05">
        <v>0</v>
      </c>
      <c r="G69" s="113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>
        <v>0</v>
      </c>
      <c r="F70" s="105">
        <v>0</v>
      </c>
      <c r="G70" s="113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>
        <v>0</v>
      </c>
      <c r="F71" s="105">
        <v>0</v>
      </c>
      <c r="G71" s="113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>
        <v>0</v>
      </c>
      <c r="F72" s="105">
        <v>0</v>
      </c>
      <c r="G72" s="113">
        <v>0</v>
      </c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04">
        <v>0</v>
      </c>
      <c r="G73" s="113">
        <v>0</v>
      </c>
    </row>
    <row r="74" spans="1:7" s="63" customFormat="1">
      <c r="A74" s="110">
        <v>489</v>
      </c>
      <c r="B74" s="182"/>
      <c r="C74" s="133" t="s">
        <v>18</v>
      </c>
      <c r="D74" s="140">
        <v>0</v>
      </c>
      <c r="E74" s="141">
        <v>2200</v>
      </c>
      <c r="F74" s="104">
        <v>0</v>
      </c>
      <c r="G74" s="113">
        <v>0</v>
      </c>
    </row>
    <row r="75" spans="1:7" s="63" customFormat="1">
      <c r="A75" s="181" t="s">
        <v>381</v>
      </c>
      <c r="B75" s="182"/>
      <c r="C75" s="167" t="s">
        <v>382</v>
      </c>
      <c r="D75" s="152">
        <v>0</v>
      </c>
      <c r="E75" s="141">
        <v>0</v>
      </c>
      <c r="F75" s="105">
        <v>0</v>
      </c>
      <c r="G75" s="113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2200</v>
      </c>
      <c r="F76" s="15">
        <f t="shared" ref="F76:G76" si="11">SUM(F65:F74)-SUM(F57:F64)</f>
        <v>0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-111391.19399999976</v>
      </c>
      <c r="E77" s="15">
        <f t="shared" si="12"/>
        <v>-146119.20000000001</v>
      </c>
      <c r="F77" s="15">
        <f t="shared" ref="F77:G77" si="13">F56+F76</f>
        <v>-121346.25</v>
      </c>
      <c r="G77" s="15">
        <f t="shared" si="13"/>
        <v>-112390.89299999944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1919009.9539999999</v>
      </c>
      <c r="E78" s="37">
        <f t="shared" si="14"/>
        <v>1981845.9</v>
      </c>
      <c r="F78" s="37">
        <f t="shared" ref="F78:G78" si="15">F20+F21+SUM(F38:F43)+SUM(F57:F64)</f>
        <v>1990161.97</v>
      </c>
      <c r="G78" s="37">
        <f t="shared" si="15"/>
        <v>2001198.0329999998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1807618.7600000002</v>
      </c>
      <c r="E79" s="37">
        <f t="shared" si="16"/>
        <v>1835726.7</v>
      </c>
      <c r="F79" s="37">
        <f t="shared" ref="F79:G79" si="17">F35+F36+SUM(F44:F53)+SUM(F65:F74)</f>
        <v>1868815.72</v>
      </c>
      <c r="G79" s="37">
        <f t="shared" si="17"/>
        <v>1888807.1400000004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>
        <v>149803.4</v>
      </c>
      <c r="E82" s="141">
        <v>161637</v>
      </c>
      <c r="F82" s="105">
        <v>149931.245</v>
      </c>
      <c r="G82" s="113">
        <v>155192.70000000001</v>
      </c>
    </row>
    <row r="83" spans="1:7" s="62" customFormat="1">
      <c r="A83" s="186">
        <v>51</v>
      </c>
      <c r="B83" s="187"/>
      <c r="C83" s="187" t="s">
        <v>253</v>
      </c>
      <c r="D83" s="152">
        <v>0</v>
      </c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52">
        <v>0</v>
      </c>
      <c r="E84" s="141">
        <v>0</v>
      </c>
      <c r="F84" s="105">
        <v>0</v>
      </c>
      <c r="G84" s="113">
        <v>0</v>
      </c>
    </row>
    <row r="85" spans="1:7" s="62" customFormat="1">
      <c r="A85" s="188">
        <v>54</v>
      </c>
      <c r="B85" s="189"/>
      <c r="C85" s="189" t="s">
        <v>89</v>
      </c>
      <c r="D85" s="152">
        <v>14618.351000000001</v>
      </c>
      <c r="E85" s="141">
        <v>10900</v>
      </c>
      <c r="F85" s="105">
        <v>13209.995000000001</v>
      </c>
      <c r="G85" s="113">
        <v>11350</v>
      </c>
    </row>
    <row r="86" spans="1:7" s="62" customFormat="1">
      <c r="A86" s="188">
        <v>55</v>
      </c>
      <c r="B86" s="189"/>
      <c r="C86" s="189" t="s">
        <v>181</v>
      </c>
      <c r="D86" s="152">
        <v>0</v>
      </c>
      <c r="E86" s="141">
        <v>0</v>
      </c>
      <c r="F86" s="105">
        <v>268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2">
        <v>6011.4</v>
      </c>
      <c r="E87" s="141">
        <v>21692</v>
      </c>
      <c r="F87" s="105">
        <v>5737.1</v>
      </c>
      <c r="G87" s="113">
        <v>10282</v>
      </c>
    </row>
    <row r="88" spans="1:7" s="62" customFormat="1">
      <c r="A88" s="186">
        <v>57</v>
      </c>
      <c r="B88" s="187"/>
      <c r="C88" s="187" t="s">
        <v>150</v>
      </c>
      <c r="D88" s="152">
        <v>3711.34</v>
      </c>
      <c r="E88" s="141">
        <v>6120</v>
      </c>
      <c r="F88" s="105">
        <v>4176.0519999999997</v>
      </c>
      <c r="G88" s="113">
        <v>5450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273">
        <v>0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174144.49099999998</v>
      </c>
      <c r="E95" s="33">
        <f t="shared" si="18"/>
        <v>200349</v>
      </c>
      <c r="F95" s="33">
        <f t="shared" ref="F95:G95" si="19">SUM(F82:F94)</f>
        <v>173322.39199999999</v>
      </c>
      <c r="G95" s="33">
        <f t="shared" si="19"/>
        <v>182274.7</v>
      </c>
    </row>
    <row r="96" spans="1:7" s="62" customFormat="1">
      <c r="A96" s="186">
        <v>60</v>
      </c>
      <c r="B96" s="187"/>
      <c r="C96" s="187" t="s">
        <v>262</v>
      </c>
      <c r="D96" s="152">
        <v>332.2</v>
      </c>
      <c r="E96" s="141">
        <v>0</v>
      </c>
      <c r="F96" s="105">
        <v>11908.48</v>
      </c>
      <c r="G96" s="113">
        <v>0</v>
      </c>
    </row>
    <row r="97" spans="1:7" s="62" customFormat="1">
      <c r="A97" s="186">
        <v>61</v>
      </c>
      <c r="B97" s="187"/>
      <c r="C97" s="187" t="s">
        <v>263</v>
      </c>
      <c r="D97" s="152">
        <v>0</v>
      </c>
      <c r="E97" s="141">
        <v>0</v>
      </c>
      <c r="F97" s="105">
        <v>0</v>
      </c>
      <c r="G97" s="113">
        <v>0</v>
      </c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265</v>
      </c>
      <c r="D99" s="152">
        <v>43652.985000000001</v>
      </c>
      <c r="E99" s="141">
        <v>52913.7</v>
      </c>
      <c r="F99" s="105">
        <v>43322.26</v>
      </c>
      <c r="G99" s="113">
        <v>38473</v>
      </c>
    </row>
    <row r="100" spans="1:7" s="62" customFormat="1">
      <c r="A100" s="186">
        <v>64</v>
      </c>
      <c r="B100" s="187"/>
      <c r="C100" s="187" t="s">
        <v>185</v>
      </c>
      <c r="D100" s="152">
        <v>3653.52</v>
      </c>
      <c r="E100" s="141">
        <v>3887.3</v>
      </c>
      <c r="F100" s="105">
        <v>3822.9</v>
      </c>
      <c r="G100" s="113">
        <v>8162</v>
      </c>
    </row>
    <row r="101" spans="1:7" s="62" customFormat="1">
      <c r="A101" s="186">
        <v>65</v>
      </c>
      <c r="B101" s="187"/>
      <c r="C101" s="187" t="s">
        <v>186</v>
      </c>
      <c r="D101" s="152">
        <v>0</v>
      </c>
      <c r="E101" s="141">
        <v>0</v>
      </c>
      <c r="F101" s="105">
        <v>1027</v>
      </c>
      <c r="G101" s="113">
        <v>0</v>
      </c>
    </row>
    <row r="102" spans="1:7" s="62" customFormat="1">
      <c r="A102" s="186">
        <v>66</v>
      </c>
      <c r="B102" s="187"/>
      <c r="C102" s="187" t="s">
        <v>266</v>
      </c>
      <c r="D102" s="152">
        <v>0</v>
      </c>
      <c r="E102" s="141">
        <v>0</v>
      </c>
      <c r="F102" s="105">
        <v>0</v>
      </c>
      <c r="G102" s="113">
        <v>0</v>
      </c>
    </row>
    <row r="103" spans="1:7" s="62" customFormat="1">
      <c r="A103" s="186">
        <v>67</v>
      </c>
      <c r="B103" s="187"/>
      <c r="C103" s="187" t="s">
        <v>150</v>
      </c>
      <c r="D103" s="140">
        <v>3711.34</v>
      </c>
      <c r="E103" s="138">
        <v>6120</v>
      </c>
      <c r="F103" s="104">
        <v>4176.0519999999997</v>
      </c>
      <c r="G103" s="106">
        <v>5450</v>
      </c>
    </row>
    <row r="104" spans="1:7" s="62" customFormat="1" ht="28">
      <c r="A104" s="192" t="s">
        <v>268</v>
      </c>
      <c r="B104" s="187"/>
      <c r="C104" s="193" t="s">
        <v>267</v>
      </c>
      <c r="D104" s="140">
        <v>0</v>
      </c>
      <c r="E104" s="138">
        <v>0</v>
      </c>
      <c r="F104" s="104">
        <v>0</v>
      </c>
      <c r="G104" s="106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46">
        <v>0</v>
      </c>
      <c r="E105" s="151">
        <v>0</v>
      </c>
      <c r="F105" s="134">
        <v>0</v>
      </c>
      <c r="G105" s="136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51350.044999999998</v>
      </c>
      <c r="E106" s="33">
        <f t="shared" si="20"/>
        <v>62921</v>
      </c>
      <c r="F106" s="33">
        <f t="shared" ref="F106:G106" si="21">SUM(F96:F105)</f>
        <v>64256.69200000001</v>
      </c>
      <c r="G106" s="33">
        <f t="shared" si="21"/>
        <v>52085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122794.44599999998</v>
      </c>
      <c r="E107" s="33">
        <f t="shared" si="22"/>
        <v>137428</v>
      </c>
      <c r="F107" s="33">
        <f t="shared" ref="F107:G107" si="23">(F95-F88)-(F106-F103)</f>
        <v>109065.69999999998</v>
      </c>
      <c r="G107" s="33">
        <f t="shared" si="23"/>
        <v>130189.70000000001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111829.61499999999</v>
      </c>
      <c r="E108" s="50">
        <f t="shared" si="24"/>
        <v>130415.3</v>
      </c>
      <c r="F108" s="50">
        <f t="shared" ref="F108:G108" si="25">F107-F85-F86+F100+F101</f>
        <v>100437.60499999998</v>
      </c>
      <c r="G108" s="50">
        <f t="shared" si="25"/>
        <v>127001.70000000001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1081273.1000000001</v>
      </c>
      <c r="E111" s="337">
        <f t="shared" si="26"/>
        <v>0</v>
      </c>
      <c r="F111" s="336">
        <f t="shared" ref="F111:G111" si="27">F112+F117</f>
        <v>1151149.9669999999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757126</v>
      </c>
      <c r="E112" s="337">
        <f t="shared" si="28"/>
        <v>0</v>
      </c>
      <c r="F112" s="336">
        <f t="shared" ref="F112:G112" si="29">F113+F114+F115+F116</f>
        <v>795515.31400000001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656889.1</v>
      </c>
      <c r="E113" s="113"/>
      <c r="F113" s="105">
        <v>680224.42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0</v>
      </c>
      <c r="E114" s="271"/>
      <c r="F114" s="270">
        <v>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95738.6</v>
      </c>
      <c r="E115" s="113"/>
      <c r="F115" s="105">
        <v>111090.75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4498.3</v>
      </c>
      <c r="E116" s="113"/>
      <c r="F116" s="105">
        <v>4200.1440000000002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324147.09999999998</v>
      </c>
      <c r="E117" s="337">
        <f t="shared" si="30"/>
        <v>0</v>
      </c>
      <c r="F117" s="336">
        <f t="shared" ref="F117:G117" si="31">F118+F119+F120</f>
        <v>355634.65299999999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170575.7</v>
      </c>
      <c r="E118" s="113"/>
      <c r="F118" s="105">
        <v>189737.3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153571.4</v>
      </c>
      <c r="E119" s="113"/>
      <c r="F119" s="105">
        <v>165897.353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1476684.446</v>
      </c>
      <c r="E121" s="336">
        <f t="shared" si="32"/>
        <v>0</v>
      </c>
      <c r="F121" s="336">
        <f t="shared" ref="F121:G121" si="33">SUM(F122:F130)</f>
        <v>1521422.58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1339628.3999999999</v>
      </c>
      <c r="E122" s="113"/>
      <c r="F122" s="105">
        <v>1382057.7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113193.466</v>
      </c>
      <c r="E123" s="113"/>
      <c r="F123" s="105">
        <v>116261.3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23862.58</v>
      </c>
      <c r="E124" s="210"/>
      <c r="F124" s="105">
        <v>23103.58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0</v>
      </c>
      <c r="E125" s="210"/>
      <c r="F125" s="105">
        <v>0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0</v>
      </c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>
        <v>0</v>
      </c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2557957.5460000001</v>
      </c>
      <c r="E131" s="18">
        <f t="shared" si="34"/>
        <v>0</v>
      </c>
      <c r="F131" s="18">
        <f t="shared" ref="F131:G131" si="35">F111+F121</f>
        <v>2672572.5470000003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6">D134+D140</f>
        <v>1613989.8199999998</v>
      </c>
      <c r="E133" s="339">
        <f t="shared" si="36"/>
        <v>0</v>
      </c>
      <c r="F133" s="338">
        <f t="shared" ref="F133:G133" si="37">F134+F140</f>
        <v>1849951.0020000001</v>
      </c>
      <c r="G133" s="339">
        <f t="shared" si="37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8">D135+D136+D138+D139</f>
        <v>511447.06999999995</v>
      </c>
      <c r="E134" s="337">
        <f t="shared" si="38"/>
        <v>0</v>
      </c>
      <c r="F134" s="336">
        <f t="shared" ref="F134:G134" si="39">F135+F136+F138+F139</f>
        <v>509634.8</v>
      </c>
      <c r="G134" s="337">
        <f t="shared" si="39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236183.97</v>
      </c>
      <c r="E135" s="113"/>
      <c r="F135" s="105">
        <v>254941.4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50057.2</v>
      </c>
      <c r="E136" s="113"/>
      <c r="F136" s="105">
        <v>52.6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0</v>
      </c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225205.9</v>
      </c>
      <c r="E138" s="210"/>
      <c r="F138" s="105">
        <v>254640.8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0</v>
      </c>
      <c r="E139" s="210"/>
      <c r="F139" s="105">
        <v>0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40">D141+D143+D144</f>
        <v>1102542.75</v>
      </c>
      <c r="E140" s="337">
        <f t="shared" si="40"/>
        <v>0</v>
      </c>
      <c r="F140" s="336">
        <f t="shared" ref="F140:G140" si="41">F141+F143+F144</f>
        <v>1340316.202</v>
      </c>
      <c r="G140" s="337">
        <f t="shared" si="41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545917.52</v>
      </c>
      <c r="E141" s="210"/>
      <c r="F141" s="105">
        <v>752586.14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467282.93</v>
      </c>
      <c r="E143" s="210"/>
      <c r="F143" s="105">
        <v>498542.07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89342.3</v>
      </c>
      <c r="E144" s="276"/>
      <c r="F144" s="117">
        <v>89187.991999999998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943967.9</v>
      </c>
      <c r="E145" s="210"/>
      <c r="F145" s="209">
        <v>822621.57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414768.6</v>
      </c>
      <c r="E146" s="174"/>
      <c r="F146" s="169">
        <v>263325.35100000002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2557957.7199999997</v>
      </c>
      <c r="E147" s="18">
        <f>E133+E145</f>
        <v>0</v>
      </c>
      <c r="F147" s="18">
        <f>F133+F145</f>
        <v>2672572.5720000002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312"/>
      <c r="C150" s="312" t="s">
        <v>153</v>
      </c>
      <c r="D150" s="55">
        <f t="shared" ref="D150:E150" si="42">D77+SUM(D8:D12)-D30-D31+D16-D33+D59+D63-D73+D64-D74-D54+D20-D35</f>
        <v>-47016.599999999758</v>
      </c>
      <c r="E150" s="55">
        <f t="shared" si="42"/>
        <v>-87692.200000000012</v>
      </c>
      <c r="F150" s="55">
        <f t="shared" ref="F150:G150" si="43">F77+SUM(F8:F12)-F30-F31+F16-F33+F59+F63-F73+F64-F74-F54+F20-F35</f>
        <v>-49600.039999999994</v>
      </c>
      <c r="G150" s="55">
        <f t="shared" si="43"/>
        <v>-40834.717999999448</v>
      </c>
    </row>
    <row r="151" spans="1:7">
      <c r="A151" s="38" t="s">
        <v>403</v>
      </c>
      <c r="B151" s="314"/>
      <c r="C151" s="314" t="s">
        <v>154</v>
      </c>
      <c r="D151" s="258">
        <f t="shared" ref="D151:E151" si="44">IF(D177=0,0,D150/D177)</f>
        <v>-2.7287796848218287E-2</v>
      </c>
      <c r="E151" s="258">
        <f t="shared" si="44"/>
        <v>-5.0065007515842821E-2</v>
      </c>
      <c r="F151" s="258">
        <f t="shared" ref="F151:G151" si="45">IF(F177=0,0,F150/F177)</f>
        <v>-2.7765786997982097E-2</v>
      </c>
      <c r="G151" s="258">
        <f t="shared" si="45"/>
        <v>-2.2598108816043527E-2</v>
      </c>
    </row>
    <row r="152" spans="1:7" s="251" customFormat="1" ht="28">
      <c r="A152" s="58" t="s">
        <v>404</v>
      </c>
      <c r="B152" s="309"/>
      <c r="C152" s="309" t="s">
        <v>161</v>
      </c>
      <c r="D152" s="242">
        <f t="shared" ref="D152:E152" si="46">IF(D107=0,0,D150/D107)</f>
        <v>-0.38288865279786161</v>
      </c>
      <c r="E152" s="242">
        <f t="shared" si="46"/>
        <v>-0.63809558459702542</v>
      </c>
      <c r="F152" s="242">
        <f t="shared" ref="F152:G152" si="47">IF(F107=0,0,F150/F107)</f>
        <v>-0.45477212359155994</v>
      </c>
      <c r="G152" s="242">
        <f t="shared" si="47"/>
        <v>-0.31365551959947252</v>
      </c>
    </row>
    <row r="153" spans="1:7" s="251" customFormat="1" ht="28">
      <c r="A153" s="57" t="s">
        <v>404</v>
      </c>
      <c r="B153" s="310"/>
      <c r="C153" s="310" t="s">
        <v>162</v>
      </c>
      <c r="D153" s="245">
        <f t="shared" ref="D153:E153" si="48">IF(0=D108,0,D150/D108)</f>
        <v>-0.42043067035507331</v>
      </c>
      <c r="E153" s="245">
        <f t="shared" si="48"/>
        <v>-0.67240730190399445</v>
      </c>
      <c r="F153" s="245">
        <f t="shared" ref="F153:G153" si="49">IF(0=F108,0,F150/F108)</f>
        <v>-0.49383933438078298</v>
      </c>
      <c r="G153" s="245">
        <f t="shared" si="49"/>
        <v>-0.32152890866814732</v>
      </c>
    </row>
    <row r="154" spans="1:7" ht="28">
      <c r="A154" s="60" t="s">
        <v>412</v>
      </c>
      <c r="B154" s="311"/>
      <c r="C154" s="311" t="s">
        <v>163</v>
      </c>
      <c r="D154" s="56">
        <f t="shared" ref="D154:E154" si="50">D150-D107</f>
        <v>-169811.04599999974</v>
      </c>
      <c r="E154" s="56">
        <f t="shared" si="50"/>
        <v>-225120.2</v>
      </c>
      <c r="F154" s="56">
        <f t="shared" ref="F154:G154" si="51">F150-F107</f>
        <v>-158665.74</v>
      </c>
      <c r="G154" s="56">
        <f t="shared" si="51"/>
        <v>-171024.41799999945</v>
      </c>
    </row>
    <row r="155" spans="1:7" ht="28">
      <c r="A155" s="57" t="s">
        <v>413</v>
      </c>
      <c r="B155" s="310"/>
      <c r="C155" s="310" t="s">
        <v>164</v>
      </c>
      <c r="D155" s="59">
        <f t="shared" ref="D155:E155" si="52">D150-D108</f>
        <v>-158846.21499999973</v>
      </c>
      <c r="E155" s="59">
        <f t="shared" si="52"/>
        <v>-218107.5</v>
      </c>
      <c r="F155" s="59">
        <f t="shared" ref="F155:G155" si="53">F150-F108</f>
        <v>-150037.64499999996</v>
      </c>
      <c r="G155" s="59">
        <f t="shared" si="53"/>
        <v>-167836.41799999945</v>
      </c>
    </row>
    <row r="156" spans="1:7">
      <c r="A156" s="51" t="s">
        <v>391</v>
      </c>
      <c r="B156" s="312"/>
      <c r="C156" s="312" t="s">
        <v>35</v>
      </c>
      <c r="D156" s="47">
        <f t="shared" ref="D156:E156" si="54">D135+D136-D137+D141-D142</f>
        <v>832158.69</v>
      </c>
      <c r="E156" s="47">
        <f t="shared" si="54"/>
        <v>0</v>
      </c>
      <c r="F156" s="47">
        <f t="shared" ref="F156:G156" si="55">F135+F136-F137+F141-F142</f>
        <v>1007580.14</v>
      </c>
      <c r="G156" s="47">
        <f t="shared" si="55"/>
        <v>0</v>
      </c>
    </row>
    <row r="157" spans="1:7">
      <c r="A157" s="233" t="s">
        <v>399</v>
      </c>
      <c r="B157" s="313"/>
      <c r="C157" s="313" t="s">
        <v>132</v>
      </c>
      <c r="D157" s="241">
        <f t="shared" ref="D157:E157" si="56">IF(D177=0,0,D156/D177)</f>
        <v>0.48297361523801324</v>
      </c>
      <c r="E157" s="241">
        <f t="shared" si="56"/>
        <v>0</v>
      </c>
      <c r="F157" s="241">
        <f t="shared" ref="F157:G157" si="57">IF(F177=0,0,F156/F177)</f>
        <v>0.56403695542658805</v>
      </c>
      <c r="G157" s="241">
        <f t="shared" si="57"/>
        <v>0</v>
      </c>
    </row>
    <row r="158" spans="1:7">
      <c r="A158" s="51" t="s">
        <v>392</v>
      </c>
      <c r="B158" s="312"/>
      <c r="C158" s="312" t="s">
        <v>393</v>
      </c>
      <c r="D158" s="47">
        <f t="shared" ref="D158:E158" si="58">D133-D142-D111</f>
        <v>532716.71999999974</v>
      </c>
      <c r="E158" s="47">
        <f t="shared" si="58"/>
        <v>0</v>
      </c>
      <c r="F158" s="47">
        <f t="shared" ref="F158:G158" si="59">F133-F142-F111</f>
        <v>698801.03500000015</v>
      </c>
      <c r="G158" s="47">
        <f t="shared" si="59"/>
        <v>0</v>
      </c>
    </row>
    <row r="159" spans="1:7">
      <c r="A159" s="38" t="s">
        <v>395</v>
      </c>
      <c r="B159" s="314"/>
      <c r="C159" s="314" t="s">
        <v>394</v>
      </c>
      <c r="D159" s="40">
        <f t="shared" ref="D159:E159" si="60">D121-D123-D124-D142-D145</f>
        <v>395660.49999999988</v>
      </c>
      <c r="E159" s="40">
        <f t="shared" si="60"/>
        <v>0</v>
      </c>
      <c r="F159" s="40">
        <f t="shared" ref="F159:G159" si="61">F121-F123-F124-F142-F145</f>
        <v>559436.13</v>
      </c>
      <c r="G159" s="40">
        <f t="shared" si="61"/>
        <v>0</v>
      </c>
    </row>
    <row r="160" spans="1:7">
      <c r="A160" s="38" t="s">
        <v>400</v>
      </c>
      <c r="B160" s="314"/>
      <c r="C160" s="314" t="s">
        <v>115</v>
      </c>
      <c r="D160" s="240">
        <f t="shared" ref="D160:E160" si="62">IF(D175=0,"-",1000*D158/D175)</f>
        <v>2062.3953542392555</v>
      </c>
      <c r="E160" s="240">
        <f t="shared" si="62"/>
        <v>0</v>
      </c>
      <c r="F160" s="240">
        <f t="shared" ref="F160:G160" si="63">IF(F175=0,"-",1000*F158/F175)</f>
        <v>2657.3918011902729</v>
      </c>
      <c r="G160" s="240">
        <f t="shared" si="63"/>
        <v>0</v>
      </c>
    </row>
    <row r="161" spans="1:7">
      <c r="A161" s="38" t="s">
        <v>400</v>
      </c>
      <c r="B161" s="314"/>
      <c r="C161" s="314" t="s">
        <v>139</v>
      </c>
      <c r="D161" s="40">
        <f t="shared" ref="D161:E161" si="64">IF(D175=0,0,1000*(D159/D175))</f>
        <v>1531.7866821525354</v>
      </c>
      <c r="E161" s="40">
        <f t="shared" si="64"/>
        <v>0</v>
      </c>
      <c r="F161" s="40">
        <f t="shared" ref="F161:G161" si="65">IF(F175=0,0,1000*(F159/F175))</f>
        <v>2127.4166904340882</v>
      </c>
      <c r="G161" s="40">
        <f t="shared" si="65"/>
        <v>0</v>
      </c>
    </row>
    <row r="162" spans="1:7">
      <c r="A162" s="233" t="s">
        <v>401</v>
      </c>
      <c r="B162" s="313"/>
      <c r="C162" s="313" t="s">
        <v>116</v>
      </c>
      <c r="D162" s="241">
        <f t="shared" ref="D162:E162" si="66">IF((D22+D23+D65+D66)=0,0,D158/(D22+D23+D65+D66))</f>
        <v>0.61528544213576208</v>
      </c>
      <c r="E162" s="241">
        <f t="shared" si="66"/>
        <v>0</v>
      </c>
      <c r="F162" s="241">
        <f t="shared" ref="F162:G162" si="67">IF((F22+F23+F65+F66)=0,0,F158/(F22+F23+F65+F66))</f>
        <v>0.79790609449317973</v>
      </c>
      <c r="G162" s="241">
        <f t="shared" si="67"/>
        <v>0</v>
      </c>
    </row>
    <row r="163" spans="1:7">
      <c r="A163" s="38" t="s">
        <v>409</v>
      </c>
      <c r="B163" s="314"/>
      <c r="C163" s="314" t="s">
        <v>36</v>
      </c>
      <c r="D163" s="55">
        <f t="shared" ref="D163:E163" si="68">D145</f>
        <v>943967.9</v>
      </c>
      <c r="E163" s="55">
        <f t="shared" si="68"/>
        <v>0</v>
      </c>
      <c r="F163" s="55">
        <f t="shared" ref="F163:G163" si="69">F145</f>
        <v>822621.57</v>
      </c>
      <c r="G163" s="55">
        <f t="shared" si="69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0.22610818863656948</v>
      </c>
      <c r="E164" s="245">
        <f>IF(E178=0,0,E146/E178)</f>
        <v>0</v>
      </c>
      <c r="F164" s="245">
        <f>IF(F178=0,0,F146/F178)</f>
        <v>0.13803153254016509</v>
      </c>
      <c r="G164" s="245">
        <f>IF(G178=0,0,G146/G178)</f>
        <v>0</v>
      </c>
    </row>
    <row r="165" spans="1:7">
      <c r="A165" s="234" t="s">
        <v>493</v>
      </c>
      <c r="B165" s="315"/>
      <c r="C165" s="315" t="s">
        <v>118</v>
      </c>
      <c r="D165" s="259">
        <f t="shared" ref="D165:E165" si="70">IF(D177=0,0,D180/D177)</f>
        <v>3.5611234786301363E-2</v>
      </c>
      <c r="E165" s="259">
        <f t="shared" si="70"/>
        <v>4.14782377399616E-2</v>
      </c>
      <c r="F165" s="259">
        <f t="shared" ref="F165:G165" si="71">IF(F177=0,0,F180/F177)</f>
        <v>3.8575469385848604E-2</v>
      </c>
      <c r="G165" s="259">
        <f t="shared" si="71"/>
        <v>4.336758385793571E-2</v>
      </c>
    </row>
    <row r="166" spans="1:7">
      <c r="A166" s="38" t="s">
        <v>411</v>
      </c>
      <c r="B166" s="314"/>
      <c r="C166" s="314" t="s">
        <v>20</v>
      </c>
      <c r="D166" s="55">
        <f t="shared" ref="D166:E166" si="72">D55</f>
        <v>24307.840000000004</v>
      </c>
      <c r="E166" s="55">
        <f t="shared" si="72"/>
        <v>26601.299999999996</v>
      </c>
      <c r="F166" s="55">
        <f t="shared" ref="F166:G166" si="73">F55</f>
        <v>-21230.510000000009</v>
      </c>
      <c r="G166" s="55">
        <f t="shared" si="73"/>
        <v>26960.740000000005</v>
      </c>
    </row>
    <row r="167" spans="1:7">
      <c r="A167" s="233" t="s">
        <v>410</v>
      </c>
      <c r="B167" s="313"/>
      <c r="C167" s="313" t="s">
        <v>119</v>
      </c>
      <c r="D167" s="241">
        <f t="shared" ref="D167:E167" si="74">IF(0=D111,0,(D44+D45+D46+D47+D48)/D111)</f>
        <v>1.515454328790756E-2</v>
      </c>
      <c r="E167" s="241">
        <f t="shared" si="74"/>
        <v>0</v>
      </c>
      <c r="F167" s="241">
        <f t="shared" ref="F167:G167" si="75">IF(0=F111,0,(F44+F45+F46+F47+F48)/F111)</f>
        <v>1.0987013301977534E-2</v>
      </c>
      <c r="G167" s="241">
        <f t="shared" si="75"/>
        <v>0</v>
      </c>
    </row>
    <row r="168" spans="1:7">
      <c r="A168" s="38" t="s">
        <v>396</v>
      </c>
      <c r="B168" s="312"/>
      <c r="C168" s="312" t="s">
        <v>397</v>
      </c>
      <c r="D168" s="55">
        <f t="shared" ref="D168:E168" si="76">D38-D44</f>
        <v>-261.10000000000036</v>
      </c>
      <c r="E168" s="55">
        <f t="shared" si="76"/>
        <v>5486</v>
      </c>
      <c r="F168" s="55">
        <f t="shared" ref="F168:G168" si="77">F38-F44</f>
        <v>-539.09999999999945</v>
      </c>
      <c r="G168" s="55">
        <f t="shared" si="77"/>
        <v>6405</v>
      </c>
    </row>
    <row r="169" spans="1:7">
      <c r="A169" s="233" t="s">
        <v>398</v>
      </c>
      <c r="B169" s="313"/>
      <c r="C169" s="313" t="s">
        <v>120</v>
      </c>
      <c r="D169" s="258">
        <f t="shared" ref="D169:E169" si="78">IF(D177=0,0,D168/D177)</f>
        <v>-1.5153889811406697E-4</v>
      </c>
      <c r="E169" s="258">
        <f t="shared" si="78"/>
        <v>3.132053149902884E-3</v>
      </c>
      <c r="F169" s="258">
        <f t="shared" ref="F169:G169" si="79">IF(F177=0,0,F168/F177)</f>
        <v>-3.0178475200044464E-4</v>
      </c>
      <c r="G169" s="258">
        <f t="shared" si="79"/>
        <v>3.5445545862900474E-3</v>
      </c>
    </row>
    <row r="170" spans="1:7">
      <c r="A170" s="38" t="s">
        <v>366</v>
      </c>
      <c r="B170" s="314"/>
      <c r="C170" s="314" t="s">
        <v>364</v>
      </c>
      <c r="D170" s="55">
        <f t="shared" ref="D170:E170" si="80">SUM(D82:D87)+SUM(D89:D94)</f>
        <v>170433.15099999998</v>
      </c>
      <c r="E170" s="55">
        <f t="shared" si="80"/>
        <v>194229</v>
      </c>
      <c r="F170" s="55">
        <f t="shared" ref="F170:G170" si="81">SUM(F82:F87)+SUM(F89:F94)</f>
        <v>169146.34</v>
      </c>
      <c r="G170" s="55">
        <f t="shared" si="81"/>
        <v>176824.7</v>
      </c>
    </row>
    <row r="171" spans="1:7">
      <c r="A171" s="38" t="s">
        <v>367</v>
      </c>
      <c r="B171" s="314"/>
      <c r="C171" s="314" t="s">
        <v>365</v>
      </c>
      <c r="D171" s="40">
        <f t="shared" ref="D171:E171" si="82">SUM(D96:D102)+SUM(D104:D105)</f>
        <v>47638.704999999994</v>
      </c>
      <c r="E171" s="40">
        <f t="shared" si="82"/>
        <v>56801</v>
      </c>
      <c r="F171" s="40">
        <f t="shared" ref="F171:G171" si="83">SUM(F96:F102)+SUM(F104:F105)</f>
        <v>60080.640000000007</v>
      </c>
      <c r="G171" s="40">
        <f t="shared" si="83"/>
        <v>46635</v>
      </c>
    </row>
    <row r="172" spans="1:7">
      <c r="A172" s="234" t="s">
        <v>368</v>
      </c>
      <c r="B172" s="315"/>
      <c r="C172" s="315" t="s">
        <v>121</v>
      </c>
      <c r="D172" s="259">
        <f t="shared" ref="D172:E172" si="84">IF(D184=0,0,D170/D184)</f>
        <v>9.0156645272175623E-2</v>
      </c>
      <c r="E172" s="259">
        <f t="shared" si="84"/>
        <v>9.5861451825535099E-2</v>
      </c>
      <c r="F172" s="259">
        <f t="shared" ref="F172:G172" si="85">IF(F184=0,0,F170/F184)</f>
        <v>8.4698657837478861E-2</v>
      </c>
      <c r="G172" s="259">
        <f t="shared" si="85"/>
        <v>8.7427017438573298E-2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1">
        <v>258300</v>
      </c>
      <c r="E175" s="340">
        <v>259100</v>
      </c>
      <c r="F175" s="340">
        <v>262965</v>
      </c>
      <c r="G175" s="340">
        <v>264300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6">SUM(D22:D32)+SUM(D44:D53)+SUM(D65:D72)+D75</f>
        <v>1722989.9600000002</v>
      </c>
      <c r="E177" s="39">
        <f t="shared" si="86"/>
        <v>1751566.7</v>
      </c>
      <c r="F177" s="39">
        <f t="shared" ref="F177:G177" si="87">SUM(F22:F32)+SUM(F44:F53)+SUM(F65:F72)+F75</f>
        <v>1786372.56</v>
      </c>
      <c r="G177" s="39">
        <f t="shared" si="87"/>
        <v>1806997.1400000004</v>
      </c>
    </row>
    <row r="178" spans="1:7">
      <c r="A178" s="236" t="s">
        <v>385</v>
      </c>
      <c r="B178" s="23"/>
      <c r="C178" s="23" t="s">
        <v>100</v>
      </c>
      <c r="D178" s="39">
        <f t="shared" ref="D178:E178" si="88">D78-D17-D20-D59-D63-D64</f>
        <v>1834381.1539999999</v>
      </c>
      <c r="E178" s="39">
        <f t="shared" si="88"/>
        <v>1899885.9</v>
      </c>
      <c r="F178" s="39">
        <f t="shared" ref="F178:G178" si="89">F78-F17-F20-F59-F63-F64</f>
        <v>1907718.81</v>
      </c>
      <c r="G178" s="39">
        <f t="shared" si="89"/>
        <v>1919379.0329999998</v>
      </c>
    </row>
    <row r="179" spans="1:7">
      <c r="A179" s="236"/>
      <c r="B179" s="23"/>
      <c r="C179" s="23" t="s">
        <v>388</v>
      </c>
      <c r="D179" s="39">
        <f t="shared" ref="D179:E179" si="90">D178+D170</f>
        <v>2004814.3049999999</v>
      </c>
      <c r="E179" s="39">
        <f t="shared" si="90"/>
        <v>2094114.9</v>
      </c>
      <c r="F179" s="39">
        <f t="shared" ref="F179:G179" si="91">F178+F170</f>
        <v>2076865.1500000001</v>
      </c>
      <c r="G179" s="39">
        <f t="shared" si="91"/>
        <v>2096203.7329999998</v>
      </c>
    </row>
    <row r="180" spans="1:7">
      <c r="A180" s="236" t="s">
        <v>389</v>
      </c>
      <c r="B180" s="23"/>
      <c r="C180" s="23" t="s">
        <v>390</v>
      </c>
      <c r="D180" s="39">
        <f t="shared" ref="D180:E180" si="92">D38-D44+D8+D9+D10+D16-D33</f>
        <v>61357.8</v>
      </c>
      <c r="E180" s="39">
        <f t="shared" si="92"/>
        <v>72651.899999999994</v>
      </c>
      <c r="F180" s="39">
        <f t="shared" ref="F180:G180" si="93">F38-F44+F8+F9+F10+F16-F33</f>
        <v>68910.16</v>
      </c>
      <c r="G180" s="39">
        <f t="shared" si="93"/>
        <v>78365.100000000006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4">D22+D23+D24+D25+D26+D29+SUM(D44:D47)+SUM(D49:D53)-D54+D32-D33+SUM(D65:D70)+D72</f>
        <v>1720825.66</v>
      </c>
      <c r="E181" s="73">
        <f t="shared" si="94"/>
        <v>1744221.7000000002</v>
      </c>
      <c r="F181" s="72">
        <f t="shared" ref="F181:G181" si="95">F22+F23+F24+F25+F26+F29+SUM(F44:F47)+SUM(F49:F53)-F54+F32-F33+SUM(F65:F70)+F72</f>
        <v>1784257.1099999999</v>
      </c>
      <c r="G181" s="73">
        <f t="shared" si="95"/>
        <v>1804890.2700000003</v>
      </c>
    </row>
    <row r="182" spans="1:7">
      <c r="A182" s="237" t="s">
        <v>375</v>
      </c>
      <c r="B182" s="71"/>
      <c r="C182" s="71" t="s">
        <v>170</v>
      </c>
      <c r="D182" s="73">
        <f t="shared" ref="D182:E182" si="96">D181+D171</f>
        <v>1768464.365</v>
      </c>
      <c r="E182" s="73">
        <f t="shared" si="96"/>
        <v>1801022.7000000002</v>
      </c>
      <c r="F182" s="72">
        <f t="shared" ref="F182:G182" si="97">F181+F171</f>
        <v>1844337.7499999998</v>
      </c>
      <c r="G182" s="73">
        <f t="shared" si="97"/>
        <v>1851525.2700000003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1719978.2599999998</v>
      </c>
      <c r="E183" s="73">
        <f t="shared" ref="E183:G183" si="98">E4+E5-E7+E38+E39+E40+E41+E43+E13-E16+E57+E58+E60+E62</f>
        <v>1831913.9000000001</v>
      </c>
      <c r="F183" s="73">
        <f t="shared" si="98"/>
        <v>1827890.4999999998</v>
      </c>
      <c r="G183" s="73">
        <f t="shared" si="98"/>
        <v>1845715.9879999999</v>
      </c>
    </row>
    <row r="184" spans="1:7">
      <c r="A184" s="237" t="s">
        <v>373</v>
      </c>
      <c r="B184" s="71"/>
      <c r="C184" s="71" t="s">
        <v>171</v>
      </c>
      <c r="D184" s="73">
        <f t="shared" ref="D184:E184" si="99">D183+D170</f>
        <v>1890411.4109999998</v>
      </c>
      <c r="E184" s="73">
        <f t="shared" si="99"/>
        <v>2026142.9000000001</v>
      </c>
      <c r="F184" s="72">
        <f t="shared" ref="F184:G184" si="100">F183+F170</f>
        <v>1997036.8399999999</v>
      </c>
      <c r="G184" s="73">
        <f t="shared" si="100"/>
        <v>2022540.6879999998</v>
      </c>
    </row>
    <row r="185" spans="1:7">
      <c r="A185" s="237"/>
      <c r="B185" s="71"/>
      <c r="C185" s="71" t="s">
        <v>405</v>
      </c>
      <c r="D185" s="73">
        <f t="shared" ref="D185:E186" si="101">D181-D183</f>
        <v>847.4000000001397</v>
      </c>
      <c r="E185" s="73">
        <f t="shared" si="101"/>
        <v>-87692.199999999953</v>
      </c>
      <c r="F185" s="72">
        <f t="shared" ref="F185:G185" si="102">F181-F183</f>
        <v>-43633.389999999898</v>
      </c>
      <c r="G185" s="73">
        <f t="shared" si="102"/>
        <v>-40825.717999999644</v>
      </c>
    </row>
    <row r="186" spans="1:7">
      <c r="A186" s="237"/>
      <c r="B186" s="71"/>
      <c r="C186" s="71" t="s">
        <v>406</v>
      </c>
      <c r="D186" s="73">
        <f t="shared" si="101"/>
        <v>-121947.04599999986</v>
      </c>
      <c r="E186" s="73">
        <f t="shared" si="101"/>
        <v>-225120.19999999995</v>
      </c>
      <c r="F186" s="72">
        <f t="shared" ref="F186:G186" si="103">F182-F184</f>
        <v>-152699.09000000008</v>
      </c>
      <c r="G186" s="73">
        <f t="shared" si="103"/>
        <v>-171015.4179999996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3"/>
  <sheetViews>
    <sheetView view="pageLayout" topLeftCell="A22" zoomScaleNormal="100" workbookViewId="0">
      <selection activeCell="K44" sqref="K44:N48"/>
    </sheetView>
  </sheetViews>
  <sheetFormatPr baseColWidth="10" defaultRowHeight="13"/>
  <sheetData>
    <row r="1" spans="1:9">
      <c r="A1" s="372" t="s">
        <v>513</v>
      </c>
      <c r="B1" s="373" t="s">
        <v>508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385" t="s">
        <v>588</v>
      </c>
      <c r="F3" s="384"/>
      <c r="G3" s="385" t="s">
        <v>588</v>
      </c>
      <c r="H3" s="384"/>
      <c r="I3" s="386" t="s">
        <v>588</v>
      </c>
    </row>
    <row r="4" spans="1:9">
      <c r="A4" s="372" t="s">
        <v>518</v>
      </c>
      <c r="B4" s="387" t="s">
        <v>1</v>
      </c>
      <c r="C4" s="388">
        <v>1041370.473</v>
      </c>
      <c r="D4" s="389">
        <f t="shared" ref="D4:D16" si="0">CHOOSE((C4&lt;&gt;0)+1,"  -",(E4-C4)/C4)</f>
        <v>0.13314778514946432</v>
      </c>
      <c r="E4" s="388">
        <v>1180026.645</v>
      </c>
      <c r="F4" s="389">
        <f t="shared" ref="F4:F27" si="1">CHOOSE((E4&lt;&gt;0)+1,"  -",(G4-E4)/E4)</f>
        <v>-4.5706145898086879E-2</v>
      </c>
      <c r="G4" s="388">
        <v>1126092.175</v>
      </c>
      <c r="H4" s="389">
        <f t="shared" ref="H4:H16" si="2">CHOOSE((G4&lt;&gt;0)+1,"  -",(I4-G4)/G4)</f>
        <v>5.3160555884335117E-2</v>
      </c>
      <c r="I4" s="390">
        <v>1185955.861</v>
      </c>
    </row>
    <row r="5" spans="1:9">
      <c r="A5" s="391" t="s">
        <v>519</v>
      </c>
      <c r="B5" s="382" t="s">
        <v>520</v>
      </c>
      <c r="C5" s="392">
        <v>475598.76400000002</v>
      </c>
      <c r="D5" s="393">
        <f t="shared" si="0"/>
        <v>5.6362419394344762E-2</v>
      </c>
      <c r="E5" s="392">
        <v>502404.66100000002</v>
      </c>
      <c r="F5" s="393">
        <f t="shared" si="1"/>
        <v>-1.4738545588453519E-2</v>
      </c>
      <c r="G5" s="392">
        <v>494999.94699999999</v>
      </c>
      <c r="H5" s="393">
        <f t="shared" si="2"/>
        <v>5.3900417892368033E-2</v>
      </c>
      <c r="I5" s="394">
        <v>521680.65100000001</v>
      </c>
    </row>
    <row r="6" spans="1:9">
      <c r="A6" s="391" t="s">
        <v>229</v>
      </c>
      <c r="B6" s="382" t="s">
        <v>521</v>
      </c>
      <c r="C6" s="392">
        <v>84639.263000000006</v>
      </c>
      <c r="D6" s="393">
        <f t="shared" si="0"/>
        <v>0.33739985424967595</v>
      </c>
      <c r="E6" s="392">
        <v>113196.538</v>
      </c>
      <c r="F6" s="393">
        <f t="shared" si="1"/>
        <v>-0.18800277266430185</v>
      </c>
      <c r="G6" s="392">
        <v>91915.274999999994</v>
      </c>
      <c r="H6" s="393">
        <f t="shared" si="2"/>
        <v>0.31597236694336178</v>
      </c>
      <c r="I6" s="394">
        <v>120957.962</v>
      </c>
    </row>
    <row r="7" spans="1:9">
      <c r="A7" s="391" t="s">
        <v>522</v>
      </c>
      <c r="B7" s="382" t="s">
        <v>523</v>
      </c>
      <c r="C7" s="392">
        <v>58585.832999999999</v>
      </c>
      <c r="D7" s="393">
        <f t="shared" si="0"/>
        <v>0.32280582235640481</v>
      </c>
      <c r="E7" s="392">
        <v>77497.680999999997</v>
      </c>
      <c r="F7" s="393">
        <f t="shared" si="1"/>
        <v>-0.22678931515383025</v>
      </c>
      <c r="G7" s="392">
        <v>59922.034999999996</v>
      </c>
      <c r="H7" s="393">
        <f t="shared" si="2"/>
        <v>5.6811638656797961E-2</v>
      </c>
      <c r="I7" s="394">
        <v>63326.303999999996</v>
      </c>
    </row>
    <row r="8" spans="1:9">
      <c r="A8" s="391" t="s">
        <v>524</v>
      </c>
      <c r="B8" s="382" t="s">
        <v>525</v>
      </c>
      <c r="C8" s="392">
        <v>57479.99</v>
      </c>
      <c r="D8" s="393">
        <f t="shared" si="0"/>
        <v>-0.99734342333740844</v>
      </c>
      <c r="E8" s="392">
        <v>152.69999999999999</v>
      </c>
      <c r="F8" s="393">
        <f t="shared" si="1"/>
        <v>471.5411853307138</v>
      </c>
      <c r="G8" s="392">
        <v>72157.03899999999</v>
      </c>
      <c r="H8" s="393">
        <f t="shared" si="2"/>
        <v>-0.99691132004460448</v>
      </c>
      <c r="I8" s="394">
        <v>222.87</v>
      </c>
    </row>
    <row r="9" spans="1:9">
      <c r="A9" s="391" t="s">
        <v>526</v>
      </c>
      <c r="B9" s="382" t="s">
        <v>527</v>
      </c>
      <c r="C9" s="392">
        <v>120387.25900000001</v>
      </c>
      <c r="D9" s="393">
        <f t="shared" si="0"/>
        <v>0.12169281966956319</v>
      </c>
      <c r="E9" s="392">
        <v>135037.524</v>
      </c>
      <c r="F9" s="393">
        <f t="shared" si="1"/>
        <v>0.32945129384925637</v>
      </c>
      <c r="G9" s="392">
        <v>179525.81100000002</v>
      </c>
      <c r="H9" s="393">
        <f t="shared" si="2"/>
        <v>-0.22232800831073815</v>
      </c>
      <c r="I9" s="394">
        <v>139612.19500000001</v>
      </c>
    </row>
    <row r="10" spans="1:9">
      <c r="A10" s="391" t="s">
        <v>528</v>
      </c>
      <c r="B10" s="382" t="s">
        <v>529</v>
      </c>
      <c r="C10" s="392">
        <v>1756453.0560000001</v>
      </c>
      <c r="D10" s="393">
        <f t="shared" si="0"/>
        <v>2.8332248806767935E-2</v>
      </c>
      <c r="E10" s="392">
        <v>1806217.321</v>
      </c>
      <c r="F10" s="393">
        <f t="shared" si="1"/>
        <v>1.7349057411679993E-2</v>
      </c>
      <c r="G10" s="392">
        <v>1837553.4889999998</v>
      </c>
      <c r="H10" s="393">
        <f t="shared" si="2"/>
        <v>-1.3849158760460135E-3</v>
      </c>
      <c r="I10" s="394">
        <v>1835008.632</v>
      </c>
    </row>
    <row r="11" spans="1:9">
      <c r="A11" s="391" t="s">
        <v>530</v>
      </c>
      <c r="B11" s="382" t="s">
        <v>531</v>
      </c>
      <c r="C11" s="392">
        <v>556649.24399999995</v>
      </c>
      <c r="D11" s="393">
        <f t="shared" si="0"/>
        <v>-0.45471999958379528</v>
      </c>
      <c r="E11" s="392">
        <v>303529.7</v>
      </c>
      <c r="F11" s="393">
        <f t="shared" si="1"/>
        <v>-1.9818904047939918E-2</v>
      </c>
      <c r="G11" s="392">
        <v>297514.07400000002</v>
      </c>
      <c r="H11" s="393">
        <f t="shared" si="2"/>
        <v>-1.0375744442934433E-3</v>
      </c>
      <c r="I11" s="394">
        <v>297205.38099999999</v>
      </c>
    </row>
    <row r="12" spans="1:9">
      <c r="A12" s="391" t="s">
        <v>532</v>
      </c>
      <c r="B12" s="382" t="s">
        <v>533</v>
      </c>
      <c r="C12" s="392">
        <v>0</v>
      </c>
      <c r="D12" s="393" t="str">
        <f t="shared" si="0"/>
        <v xml:space="preserve">  -</v>
      </c>
      <c r="E12" s="392">
        <v>12248.5</v>
      </c>
      <c r="F12" s="393">
        <f t="shared" si="1"/>
        <v>-9.2587582152916778E-2</v>
      </c>
      <c r="G12" s="392">
        <v>11114.440999999999</v>
      </c>
      <c r="H12" s="393">
        <f t="shared" si="2"/>
        <v>-3.2564930615943614E-2</v>
      </c>
      <c r="I12" s="394">
        <v>10752.5</v>
      </c>
    </row>
    <row r="13" spans="1:9">
      <c r="A13" s="391" t="s">
        <v>534</v>
      </c>
      <c r="B13" s="382" t="s">
        <v>535</v>
      </c>
      <c r="C13" s="392">
        <v>294526.20199999999</v>
      </c>
      <c r="D13" s="393">
        <f t="shared" si="0"/>
        <v>-1</v>
      </c>
      <c r="E13" s="392">
        <v>0</v>
      </c>
      <c r="F13" s="393" t="str">
        <f t="shared" si="1"/>
        <v xml:space="preserve">  -</v>
      </c>
      <c r="G13" s="392">
        <v>0</v>
      </c>
      <c r="H13" s="393" t="str">
        <f t="shared" si="2"/>
        <v xml:space="preserve">  -</v>
      </c>
      <c r="I13" s="394">
        <v>0</v>
      </c>
    </row>
    <row r="14" spans="1:9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0</v>
      </c>
    </row>
    <row r="15" spans="1:9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540</v>
      </c>
      <c r="B16" s="382" t="s">
        <v>541</v>
      </c>
      <c r="C16" s="392"/>
      <c r="D16" s="393" t="str">
        <f t="shared" si="0"/>
        <v xml:space="preserve">  -</v>
      </c>
      <c r="E16" s="392">
        <v>0</v>
      </c>
      <c r="F16" s="393" t="str">
        <f t="shared" si="1"/>
        <v xml:space="preserve">  -</v>
      </c>
      <c r="G16" s="392">
        <v>0</v>
      </c>
      <c r="H16" s="393" t="str">
        <f t="shared" si="2"/>
        <v xml:space="preserve">  -</v>
      </c>
      <c r="I16" s="394">
        <v>0</v>
      </c>
    </row>
    <row r="17" spans="1:9">
      <c r="A17" s="391" t="s">
        <v>542</v>
      </c>
      <c r="B17" s="382" t="s">
        <v>543</v>
      </c>
      <c r="C17" s="392">
        <v>89542.548999999999</v>
      </c>
      <c r="D17" s="393">
        <f>CHOOSE((C17&lt;&gt;0)+1,"  -",(E17-C17)/C17)</f>
        <v>-1</v>
      </c>
      <c r="E17" s="392">
        <v>0</v>
      </c>
      <c r="F17" s="393" t="str">
        <f t="shared" si="1"/>
        <v xml:space="preserve">  -</v>
      </c>
      <c r="G17" s="392">
        <v>154.59399999999999</v>
      </c>
      <c r="H17" s="393">
        <f>CHOOSE((G17&lt;&gt;0)+1,"  -",(I17-G17)/G17)</f>
        <v>-1</v>
      </c>
      <c r="I17" s="394">
        <v>0</v>
      </c>
    </row>
    <row r="18" spans="1:9">
      <c r="A18" s="391">
        <v>389</v>
      </c>
      <c r="B18" s="382" t="s">
        <v>7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240007.13</v>
      </c>
      <c r="D19" s="393">
        <f t="shared" ref="D19:D27" si="3">CHOOSE((C19&lt;&gt;0)+1,"  -",(E19-C19)/C19)</f>
        <v>-0.12070366409531245</v>
      </c>
      <c r="E19" s="397">
        <v>211037.39</v>
      </c>
      <c r="F19" s="393">
        <f t="shared" si="1"/>
        <v>0.14575109178520446</v>
      </c>
      <c r="G19" s="397">
        <v>241796.32</v>
      </c>
      <c r="H19" s="393">
        <f t="shared" ref="H19:H27" si="4">CHOOSE((G19&lt;&gt;0)+1,"  -",(I19-G19)/G19)</f>
        <v>-5.6028420945364324E-2</v>
      </c>
      <c r="I19" s="398">
        <v>228248.85399999999</v>
      </c>
    </row>
    <row r="20" spans="1:9">
      <c r="A20" s="399" t="s">
        <v>546</v>
      </c>
      <c r="B20" s="400" t="s">
        <v>547</v>
      </c>
      <c r="C20" s="401">
        <f>C19+C18+C17+C10+C9+C8+C7+C5+C4</f>
        <v>3839425.0540000005</v>
      </c>
      <c r="D20" s="402">
        <f t="shared" si="3"/>
        <v>1.8999945818450079E-2</v>
      </c>
      <c r="E20" s="401">
        <f>E19+E18+E17+E10+E9+E8+E7+E5+E4</f>
        <v>3912373.9220000003</v>
      </c>
      <c r="F20" s="402">
        <f t="shared" si="1"/>
        <v>2.5515835140054358E-2</v>
      </c>
      <c r="G20" s="401">
        <f>G19+G18+G17+G10+G9+G8+G7+G5+G4</f>
        <v>4012201.41</v>
      </c>
      <c r="H20" s="402">
        <f t="shared" si="4"/>
        <v>-9.5075094946442534E-3</v>
      </c>
      <c r="I20" s="434">
        <f>I19+I18+I17+I10+I9+I8+I7+I5+I4</f>
        <v>3974055.3670000001</v>
      </c>
    </row>
    <row r="21" spans="1:9">
      <c r="A21" s="403" t="s">
        <v>548</v>
      </c>
      <c r="B21" s="404" t="s">
        <v>549</v>
      </c>
      <c r="C21" s="388">
        <v>2452976.1680000001</v>
      </c>
      <c r="D21" s="393">
        <f t="shared" si="3"/>
        <v>-3.5090503170351249E-2</v>
      </c>
      <c r="E21" s="388">
        <v>2366900</v>
      </c>
      <c r="F21" s="393">
        <f t="shared" si="1"/>
        <v>-3.2424011153829903E-2</v>
      </c>
      <c r="G21" s="388">
        <v>2290155.608</v>
      </c>
      <c r="H21" s="393">
        <f t="shared" si="4"/>
        <v>3.8357390080019399E-2</v>
      </c>
      <c r="I21" s="390">
        <v>2378000</v>
      </c>
    </row>
    <row r="22" spans="1:9">
      <c r="A22" s="405" t="s">
        <v>550</v>
      </c>
      <c r="B22" s="378" t="s">
        <v>551</v>
      </c>
      <c r="C22" s="392">
        <v>58934.11</v>
      </c>
      <c r="D22" s="393">
        <f t="shared" si="3"/>
        <v>1.564423217725694</v>
      </c>
      <c r="E22" s="392">
        <v>151132</v>
      </c>
      <c r="F22" s="393">
        <f t="shared" si="1"/>
        <v>0.26528334171452789</v>
      </c>
      <c r="G22" s="392">
        <v>191224.80200000003</v>
      </c>
      <c r="H22" s="393">
        <f t="shared" si="4"/>
        <v>-0.21226222527347691</v>
      </c>
      <c r="I22" s="394">
        <v>150635</v>
      </c>
    </row>
    <row r="23" spans="1:9">
      <c r="A23" s="405" t="s">
        <v>552</v>
      </c>
      <c r="B23" s="378" t="s">
        <v>553</v>
      </c>
      <c r="C23" s="392">
        <v>257739.266</v>
      </c>
      <c r="D23" s="393">
        <f t="shared" si="3"/>
        <v>0.12583065243927583</v>
      </c>
      <c r="E23" s="392">
        <v>290170.76600000006</v>
      </c>
      <c r="F23" s="393">
        <f t="shared" si="1"/>
        <v>0.32659612236747487</v>
      </c>
      <c r="G23" s="392">
        <v>384939.413</v>
      </c>
      <c r="H23" s="393">
        <f t="shared" si="4"/>
        <v>-0.21139627757472568</v>
      </c>
      <c r="I23" s="394">
        <v>303564.65400000004</v>
      </c>
    </row>
    <row r="24" spans="1:9">
      <c r="A24" s="405" t="s">
        <v>554</v>
      </c>
      <c r="B24" s="378" t="s">
        <v>555</v>
      </c>
      <c r="C24" s="392">
        <v>494008.53700000001</v>
      </c>
      <c r="D24" s="393">
        <f t="shared" si="3"/>
        <v>-0.20504331284461194</v>
      </c>
      <c r="E24" s="392">
        <v>392715.38999999996</v>
      </c>
      <c r="F24" s="393">
        <f t="shared" si="1"/>
        <v>0.19022559569157715</v>
      </c>
      <c r="G24" s="392">
        <v>467419.90899999999</v>
      </c>
      <c r="H24" s="393">
        <f t="shared" si="4"/>
        <v>-0.17133033372782583</v>
      </c>
      <c r="I24" s="394">
        <v>387336.7</v>
      </c>
    </row>
    <row r="25" spans="1:9">
      <c r="A25" s="405" t="s">
        <v>556</v>
      </c>
      <c r="B25" s="378" t="s">
        <v>557</v>
      </c>
      <c r="C25" s="392">
        <v>500022.9</v>
      </c>
      <c r="D25" s="393">
        <f t="shared" si="3"/>
        <v>1.6256293461759393E-2</v>
      </c>
      <c r="E25" s="392">
        <v>508151.41899999999</v>
      </c>
      <c r="F25" s="393">
        <f t="shared" si="1"/>
        <v>2.701175375444536E-2</v>
      </c>
      <c r="G25" s="392">
        <v>521877.48</v>
      </c>
      <c r="H25" s="393">
        <f t="shared" si="4"/>
        <v>1.2689731313947454E-2</v>
      </c>
      <c r="I25" s="394">
        <v>528499.96499999997</v>
      </c>
    </row>
    <row r="26" spans="1:9">
      <c r="A26" s="406" t="s">
        <v>558</v>
      </c>
      <c r="B26" s="378" t="s">
        <v>559</v>
      </c>
      <c r="C26" s="392">
        <v>18750.726999999999</v>
      </c>
      <c r="D26" s="393">
        <f t="shared" si="3"/>
        <v>-1</v>
      </c>
      <c r="E26" s="392">
        <v>0</v>
      </c>
      <c r="F26" s="393" t="str">
        <f t="shared" si="1"/>
        <v xml:space="preserve">  -</v>
      </c>
      <c r="G26" s="392">
        <v>177.48099999999999</v>
      </c>
      <c r="H26" s="393">
        <f t="shared" si="4"/>
        <v>-1</v>
      </c>
      <c r="I26" s="394">
        <v>0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240007.13</v>
      </c>
      <c r="D28" s="393">
        <f>CHOOSE((C28&lt;&gt;0)+1,"  -",(E28-C28)/C28)</f>
        <v>-0.12070366409531245</v>
      </c>
      <c r="E28" s="397">
        <v>211037.39</v>
      </c>
      <c r="F28" s="393">
        <f>CHOOSE((E28&lt;&gt;0)+1,"  -",(G28-E28)/E28)</f>
        <v>0.14575109178520446</v>
      </c>
      <c r="G28" s="397">
        <v>241796.32</v>
      </c>
      <c r="H28" s="393">
        <f>CHOOSE((G28&lt;&gt;0)+1,"  -",(I28-G28)/G28)</f>
        <v>-5.6028420945364324E-2</v>
      </c>
      <c r="I28" s="398">
        <v>228248.85399999999</v>
      </c>
    </row>
    <row r="29" spans="1:9">
      <c r="A29" s="410" t="s">
        <v>562</v>
      </c>
      <c r="B29" s="411" t="s">
        <v>563</v>
      </c>
      <c r="C29" s="401">
        <f t="shared" ref="C29" si="5">SUM(C21:C28)</f>
        <v>4022438.8379999995</v>
      </c>
      <c r="D29" s="412">
        <f>CHOOSE((C29&lt;&gt;0)+1,"  -",(E29-C29)/C29)</f>
        <v>-2.5440255805326235E-2</v>
      </c>
      <c r="E29" s="401">
        <f t="shared" ref="E29" si="6">SUM(E21:E28)</f>
        <v>3920106.9650000003</v>
      </c>
      <c r="F29" s="413">
        <f>CHOOSE((E29&lt;&gt;0)+1,"  -",(G29-E29)/E29)</f>
        <v>4.5275307430290984E-2</v>
      </c>
      <c r="G29" s="401">
        <f t="shared" ref="G29" si="7">SUM(G21:G28)</f>
        <v>4097591.0130000003</v>
      </c>
      <c r="H29" s="412">
        <f>CHOOSE((G29&lt;&gt;0)+1,"  -",(I29-G29)/G29)</f>
        <v>-2.9604184413511724E-2</v>
      </c>
      <c r="I29" s="434">
        <f t="shared" ref="I29" si="8">SUM(I21:I28)</f>
        <v>3976285.173</v>
      </c>
    </row>
    <row r="30" spans="1:9">
      <c r="A30" s="414" t="s">
        <v>564</v>
      </c>
      <c r="B30" s="415" t="s">
        <v>565</v>
      </c>
      <c r="C30" s="416">
        <f t="shared" ref="C30" si="9">C29-C20</f>
        <v>183013.78399999905</v>
      </c>
      <c r="D30" s="417"/>
      <c r="E30" s="416">
        <f t="shared" ref="E30" si="10">E29-E20</f>
        <v>7733.0430000000633</v>
      </c>
      <c r="F30" s="418"/>
      <c r="G30" s="416">
        <f t="shared" ref="G30" si="11">G29-G20</f>
        <v>85389.603000000119</v>
      </c>
      <c r="H30" s="417"/>
      <c r="I30" s="435">
        <f t="shared" ref="I30" si="12">I29-I20</f>
        <v>2229.8059999998659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250676.72</v>
      </c>
      <c r="D32" s="393">
        <f t="shared" ref="D32:D42" si="13">CHOOSE((C32&lt;&gt;0)+1,"  -",(E32-C32)/C32)</f>
        <v>0.35348428047087899</v>
      </c>
      <c r="E32" s="392">
        <v>339287</v>
      </c>
      <c r="F32" s="393">
        <f t="shared" ref="F32:F42" si="14">CHOOSE((E32&lt;&gt;0)+1,"  -",(G32-E32)/E32)</f>
        <v>-0.20044610609896629</v>
      </c>
      <c r="G32" s="392">
        <v>271278.24200000003</v>
      </c>
      <c r="H32" s="393">
        <f t="shared" ref="H32:H42" si="15">CHOOSE((G32&lt;&gt;0)+1,"  -",(I32-G32)/G32)</f>
        <v>0.32559285753554817</v>
      </c>
      <c r="I32" s="394">
        <v>359604.5</v>
      </c>
    </row>
    <row r="33" spans="1:9">
      <c r="A33" s="406" t="s">
        <v>569</v>
      </c>
      <c r="B33" s="378" t="s">
        <v>570</v>
      </c>
      <c r="C33" s="392">
        <v>366912.81599999999</v>
      </c>
      <c r="D33" s="393">
        <f t="shared" si="13"/>
        <v>-0.8312950725602346</v>
      </c>
      <c r="E33" s="392">
        <v>61900</v>
      </c>
      <c r="F33" s="393">
        <f t="shared" si="14"/>
        <v>2.0003706785137321</v>
      </c>
      <c r="G33" s="392">
        <v>185722.94500000001</v>
      </c>
      <c r="H33" s="393">
        <f t="shared" si="15"/>
        <v>-0.85354529027094639</v>
      </c>
      <c r="I33" s="394">
        <v>27200</v>
      </c>
    </row>
    <row r="34" spans="1:9">
      <c r="A34" s="405" t="s">
        <v>571</v>
      </c>
      <c r="B34" s="378" t="s">
        <v>572</v>
      </c>
      <c r="C34" s="392">
        <v>6249.91</v>
      </c>
      <c r="D34" s="393">
        <f t="shared" si="13"/>
        <v>-1</v>
      </c>
      <c r="E34" s="392">
        <v>0</v>
      </c>
      <c r="F34" s="393" t="str">
        <f t="shared" si="14"/>
        <v xml:space="preserve">  -</v>
      </c>
      <c r="G34" s="392">
        <v>20367.885999999999</v>
      </c>
      <c r="H34" s="393">
        <f t="shared" si="15"/>
        <v>-1</v>
      </c>
      <c r="I34" s="394">
        <v>0</v>
      </c>
    </row>
    <row r="35" spans="1:9">
      <c r="A35" s="410" t="s">
        <v>573</v>
      </c>
      <c r="B35" s="411" t="s">
        <v>574</v>
      </c>
      <c r="C35" s="401">
        <f t="shared" ref="C35" si="16">SUM(C32:C34)</f>
        <v>623839.446</v>
      </c>
      <c r="D35" s="412">
        <f t="shared" si="13"/>
        <v>-0.35690664870204442</v>
      </c>
      <c r="E35" s="401">
        <f t="shared" ref="E35" si="17">SUM(E32:E34)</f>
        <v>401187</v>
      </c>
      <c r="F35" s="412">
        <f t="shared" si="14"/>
        <v>0.18989167894273751</v>
      </c>
      <c r="G35" s="401">
        <f t="shared" ref="G35" si="18">SUM(G32:G34)</f>
        <v>477369.07300000003</v>
      </c>
      <c r="H35" s="412">
        <f t="shared" si="15"/>
        <v>-0.1897160459743483</v>
      </c>
      <c r="I35" s="434">
        <f t="shared" ref="I35" si="19">SUM(I32:I34)</f>
        <v>386804.5</v>
      </c>
    </row>
    <row r="36" spans="1:9">
      <c r="A36" s="405" t="s">
        <v>575</v>
      </c>
      <c r="B36" s="378" t="s">
        <v>576</v>
      </c>
      <c r="C36" s="392">
        <v>6773.3389999999999</v>
      </c>
      <c r="D36" s="393">
        <f t="shared" si="13"/>
        <v>-1</v>
      </c>
      <c r="E36" s="392">
        <v>0</v>
      </c>
      <c r="F36" s="393" t="str">
        <f t="shared" si="14"/>
        <v xml:space="preserve">  -</v>
      </c>
      <c r="G36" s="392">
        <v>112743.995</v>
      </c>
      <c r="H36" s="393">
        <f t="shared" si="15"/>
        <v>-1</v>
      </c>
      <c r="I36" s="394">
        <v>0</v>
      </c>
    </row>
    <row r="37" spans="1:9">
      <c r="A37" s="405" t="s">
        <v>577</v>
      </c>
      <c r="B37" s="378" t="s">
        <v>578</v>
      </c>
      <c r="C37" s="392">
        <v>44229.962999999996</v>
      </c>
      <c r="D37" s="393">
        <f t="shared" si="13"/>
        <v>-0.36129270558060378</v>
      </c>
      <c r="E37" s="392">
        <v>28250</v>
      </c>
      <c r="F37" s="393">
        <f t="shared" si="14"/>
        <v>3.1439936283185843</v>
      </c>
      <c r="G37" s="392">
        <v>117067.82</v>
      </c>
      <c r="H37" s="393">
        <f t="shared" si="15"/>
        <v>-0.90603737218306446</v>
      </c>
      <c r="I37" s="394">
        <v>11000</v>
      </c>
    </row>
    <row r="38" spans="1:9">
      <c r="A38" s="410" t="s">
        <v>579</v>
      </c>
      <c r="B38" s="411" t="s">
        <v>580</v>
      </c>
      <c r="C38" s="401">
        <f t="shared" ref="C38" si="20">SUM(C36:C37)</f>
        <v>51003.301999999996</v>
      </c>
      <c r="D38" s="412">
        <f t="shared" si="13"/>
        <v>-0.44611429275696696</v>
      </c>
      <c r="E38" s="401">
        <f t="shared" ref="E38" si="21">SUM(E36:E37)</f>
        <v>28250</v>
      </c>
      <c r="F38" s="412">
        <f t="shared" si="14"/>
        <v>7.1349315044247792</v>
      </c>
      <c r="G38" s="401">
        <f t="shared" ref="G38" si="22">SUM(G36:G37)</f>
        <v>229811.815</v>
      </c>
      <c r="H38" s="412">
        <f t="shared" si="15"/>
        <v>-0.95213474990395941</v>
      </c>
      <c r="I38" s="434">
        <f t="shared" ref="I38" si="23">SUM(I36:I37)</f>
        <v>11000</v>
      </c>
    </row>
    <row r="39" spans="1:9">
      <c r="A39" s="423" t="s">
        <v>581</v>
      </c>
      <c r="B39" s="424" t="s">
        <v>145</v>
      </c>
      <c r="C39" s="425">
        <f t="shared" ref="C39" si="24">C35-C38</f>
        <v>572836.14399999997</v>
      </c>
      <c r="D39" s="426">
        <f t="shared" si="13"/>
        <v>-0.34896391593614245</v>
      </c>
      <c r="E39" s="425">
        <f t="shared" ref="E39" si="25">E35-E38</f>
        <v>372937</v>
      </c>
      <c r="F39" s="426">
        <f t="shared" si="14"/>
        <v>-0.33619550218937777</v>
      </c>
      <c r="G39" s="425">
        <f t="shared" ref="G39" si="26">G35-G38</f>
        <v>247557.25800000003</v>
      </c>
      <c r="H39" s="426">
        <f t="shared" si="15"/>
        <v>0.51805082604364583</v>
      </c>
      <c r="I39" s="436">
        <f t="shared" ref="I39" si="27">I35-I38</f>
        <v>375804.5</v>
      </c>
    </row>
    <row r="40" spans="1:9">
      <c r="A40" s="377" t="s">
        <v>582</v>
      </c>
      <c r="B40" s="378" t="s">
        <v>153</v>
      </c>
      <c r="C40" s="392">
        <f>C9+C30+C18-C27</f>
        <v>303401.04299999907</v>
      </c>
      <c r="D40" s="393">
        <f t="shared" si="13"/>
        <v>-0.52943284047971939</v>
      </c>
      <c r="E40" s="392">
        <f>E9+E30+E18-E27</f>
        <v>142770.56700000007</v>
      </c>
      <c r="F40" s="393">
        <f t="shared" si="14"/>
        <v>0.85553240816084997</v>
      </c>
      <c r="G40" s="392">
        <f>G9+G30+G18-G27</f>
        <v>264915.41400000011</v>
      </c>
      <c r="H40" s="393">
        <f t="shared" si="15"/>
        <v>-0.46457626282176312</v>
      </c>
      <c r="I40" s="394">
        <f>I9+I30+I18-I27</f>
        <v>141842.00099999987</v>
      </c>
    </row>
    <row r="41" spans="1:9">
      <c r="A41" s="377" t="s">
        <v>582</v>
      </c>
      <c r="B41" s="378" t="s">
        <v>583</v>
      </c>
      <c r="C41" s="392">
        <f t="shared" ref="C41" si="28">C40-C39</f>
        <v>-269435.1010000009</v>
      </c>
      <c r="D41" s="393">
        <f t="shared" si="13"/>
        <v>-0.14574444032813985</v>
      </c>
      <c r="E41" s="392">
        <f t="shared" ref="E41" si="29">E40-E39</f>
        <v>-230166.43299999993</v>
      </c>
      <c r="F41" s="393">
        <f t="shared" si="14"/>
        <v>-1.0754156710592118</v>
      </c>
      <c r="G41" s="392">
        <f t="shared" ref="G41" si="30">G40-G39</f>
        <v>17358.156000000075</v>
      </c>
      <c r="H41" s="393">
        <f t="shared" si="15"/>
        <v>-14.478534183008788</v>
      </c>
      <c r="I41" s="394">
        <f t="shared" ref="I41" si="31">I40-I39</f>
        <v>-233962.49900000013</v>
      </c>
    </row>
    <row r="42" spans="1:9">
      <c r="A42" s="427" t="s">
        <v>582</v>
      </c>
      <c r="B42" s="409" t="s">
        <v>584</v>
      </c>
      <c r="C42" s="397">
        <f>C35+C20-C8-C9-C17-C18-C19</f>
        <v>3955847.5720000006</v>
      </c>
      <c r="D42" s="428">
        <f t="shared" si="13"/>
        <v>2.9034829555356538E-3</v>
      </c>
      <c r="E42" s="397">
        <f>E35+E20-E8-E9-E17-E18-E19</f>
        <v>3967333.3079999997</v>
      </c>
      <c r="F42" s="428">
        <f t="shared" si="14"/>
        <v>7.2097322759152576E-3</v>
      </c>
      <c r="G42" s="397">
        <f>G35+G20-G8-G9-G17-G18-G19</f>
        <v>3995936.719000001</v>
      </c>
      <c r="H42" s="428">
        <f t="shared" si="15"/>
        <v>-7.9099626001876322E-4</v>
      </c>
      <c r="I42" s="398">
        <f>I35+I20-I8-I9-I17-I18-I19</f>
        <v>3992775.9480000003</v>
      </c>
    </row>
    <row r="43" spans="1:9">
      <c r="A43" s="427"/>
      <c r="B43" s="409" t="s">
        <v>585</v>
      </c>
      <c r="C43" s="429">
        <f t="shared" ref="C43" si="32">C40/C39</f>
        <v>0.52964717079723778</v>
      </c>
      <c r="D43" s="430"/>
      <c r="E43" s="429">
        <f t="shared" ref="E43" si="33">E40/E39</f>
        <v>0.3828275740942842</v>
      </c>
      <c r="F43" s="430"/>
      <c r="G43" s="429">
        <f t="shared" ref="G43" si="34">G40/G39</f>
        <v>1.0701177422154193</v>
      </c>
      <c r="H43" s="430"/>
      <c r="I43" s="437">
        <f t="shared" ref="I43" si="35">I40/I39</f>
        <v>0.37743561080295707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W189"/>
  <sheetViews>
    <sheetView zoomScale="115" zoomScaleNormal="115" workbookViewId="0">
      <selection activeCell="Q2" sqref="Q2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9" s="2" customFormat="1" ht="18" customHeight="1">
      <c r="A1" s="45" t="s">
        <v>3</v>
      </c>
      <c r="B1" s="45" t="s">
        <v>220</v>
      </c>
      <c r="C1" s="45" t="s">
        <v>221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</row>
    <row r="2" spans="1:49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9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49" s="62" customFormat="1" ht="12.75" customHeight="1">
      <c r="A4" s="148">
        <v>30</v>
      </c>
      <c r="B4" s="96"/>
      <c r="C4" s="97" t="s">
        <v>1</v>
      </c>
      <c r="D4" s="98"/>
      <c r="E4" s="100">
        <v>1180026.645</v>
      </c>
      <c r="F4" s="98">
        <v>1126092.175</v>
      </c>
      <c r="G4" s="100">
        <v>1185955.861</v>
      </c>
    </row>
    <row r="5" spans="1:49" s="62" customFormat="1" ht="12.75" customHeight="1">
      <c r="A5" s="101">
        <v>31</v>
      </c>
      <c r="B5" s="102"/>
      <c r="C5" s="103" t="s">
        <v>4</v>
      </c>
      <c r="D5" s="105"/>
      <c r="E5" s="106">
        <v>436528.245</v>
      </c>
      <c r="F5" s="105">
        <v>450967.04499999998</v>
      </c>
      <c r="G5" s="106">
        <v>449428.32500000001</v>
      </c>
    </row>
    <row r="6" spans="1:49" s="62" customFormat="1" ht="12.75" customHeight="1">
      <c r="A6" s="107" t="s">
        <v>229</v>
      </c>
      <c r="B6" s="108"/>
      <c r="C6" s="109" t="s">
        <v>230</v>
      </c>
      <c r="D6" s="150"/>
      <c r="E6" s="155">
        <v>49732.561999999998</v>
      </c>
      <c r="F6" s="150">
        <v>50873.758999999998</v>
      </c>
      <c r="G6" s="155">
        <v>51623.565000000002</v>
      </c>
    </row>
    <row r="7" spans="1:49" s="62" customFormat="1" ht="12.75" customHeight="1">
      <c r="A7" s="107" t="s">
        <v>371</v>
      </c>
      <c r="B7" s="108"/>
      <c r="C7" s="109" t="s">
        <v>372</v>
      </c>
      <c r="D7" s="150"/>
      <c r="E7" s="155">
        <v>0</v>
      </c>
      <c r="F7" s="150">
        <v>327.67899999999997</v>
      </c>
      <c r="G7" s="155">
        <v>0</v>
      </c>
    </row>
    <row r="8" spans="1:49" s="62" customFormat="1" ht="12.75" customHeight="1">
      <c r="A8" s="145">
        <v>330</v>
      </c>
      <c r="B8" s="102"/>
      <c r="C8" s="103" t="s">
        <v>231</v>
      </c>
      <c r="D8" s="105"/>
      <c r="E8" s="113">
        <v>122740.73699999999</v>
      </c>
      <c r="F8" s="105">
        <f>4858.586+155625.568</f>
        <v>160484.15400000001</v>
      </c>
      <c r="G8" s="113">
        <f>5551.071+125819.47</f>
        <v>131370.541</v>
      </c>
    </row>
    <row r="9" spans="1:49" s="62" customFormat="1" ht="12.75" customHeight="1">
      <c r="A9" s="145">
        <v>332</v>
      </c>
      <c r="B9" s="102"/>
      <c r="C9" s="103" t="s">
        <v>232</v>
      </c>
      <c r="D9" s="105"/>
      <c r="E9" s="113">
        <v>5422.0159999999996</v>
      </c>
      <c r="F9" s="105">
        <v>5501.2839999999997</v>
      </c>
      <c r="G9" s="113">
        <v>3215.0189999999998</v>
      </c>
    </row>
    <row r="10" spans="1:49" s="62" customFormat="1" ht="12.75" customHeight="1">
      <c r="A10" s="145">
        <v>339</v>
      </c>
      <c r="B10" s="102"/>
      <c r="C10" s="103" t="s">
        <v>233</v>
      </c>
      <c r="D10" s="105"/>
      <c r="E10" s="113">
        <v>0</v>
      </c>
      <c r="F10" s="105">
        <v>0</v>
      </c>
      <c r="G10" s="113">
        <v>0</v>
      </c>
    </row>
    <row r="11" spans="1:49" s="62" customFormat="1" ht="12.75" customHeight="1">
      <c r="A11" s="101">
        <v>350</v>
      </c>
      <c r="B11" s="102"/>
      <c r="C11" s="103" t="s">
        <v>234</v>
      </c>
      <c r="D11" s="105"/>
      <c r="E11" s="113">
        <v>0</v>
      </c>
      <c r="F11" s="105">
        <v>0</v>
      </c>
      <c r="G11" s="113">
        <v>0</v>
      </c>
    </row>
    <row r="12" spans="1:49" s="63" customFormat="1" ht="14">
      <c r="A12" s="114">
        <v>351</v>
      </c>
      <c r="B12" s="115"/>
      <c r="C12" s="116" t="s">
        <v>272</v>
      </c>
      <c r="D12" s="119"/>
      <c r="E12" s="296">
        <v>0</v>
      </c>
      <c r="F12" s="104">
        <v>154.59399999999999</v>
      </c>
      <c r="G12" s="296">
        <v>0</v>
      </c>
    </row>
    <row r="13" spans="1:49" s="62" customFormat="1" ht="12.75" customHeight="1">
      <c r="A13" s="101">
        <v>36</v>
      </c>
      <c r="B13" s="102"/>
      <c r="C13" s="103" t="s">
        <v>5</v>
      </c>
      <c r="D13" s="104"/>
      <c r="E13" s="113">
        <v>1813092.0919999999</v>
      </c>
      <c r="F13" s="104">
        <f>1837553.49+22122.315</f>
        <v>1859675.8049999999</v>
      </c>
      <c r="G13" s="113">
        <f>1835008.632+7776.635</f>
        <v>1842785.267</v>
      </c>
    </row>
    <row r="14" spans="1:49" s="62" customFormat="1" ht="12.75" customHeight="1">
      <c r="A14" s="121" t="s">
        <v>173</v>
      </c>
      <c r="B14" s="102"/>
      <c r="C14" s="122" t="s">
        <v>174</v>
      </c>
      <c r="D14" s="104"/>
      <c r="E14" s="113">
        <v>303529.7</v>
      </c>
      <c r="F14" s="104">
        <f>97371.978+159358.096+40784</f>
        <v>297514.07400000002</v>
      </c>
      <c r="G14" s="113">
        <v>297205.38099999999</v>
      </c>
    </row>
    <row r="15" spans="1:49" s="62" customFormat="1" ht="12.75" customHeight="1">
      <c r="A15" s="121" t="s">
        <v>175</v>
      </c>
      <c r="B15" s="102"/>
      <c r="C15" s="122" t="s">
        <v>176</v>
      </c>
      <c r="D15" s="104"/>
      <c r="E15" s="113">
        <v>12248.5</v>
      </c>
      <c r="F15" s="104">
        <f>3125.991+7988.45</f>
        <v>11114.440999999999</v>
      </c>
      <c r="G15" s="113">
        <v>10752.5</v>
      </c>
    </row>
    <row r="16" spans="1:49" s="64" customFormat="1" ht="26.25" customHeight="1">
      <c r="A16" s="121" t="s">
        <v>146</v>
      </c>
      <c r="B16" s="123"/>
      <c r="C16" s="122" t="s">
        <v>148</v>
      </c>
      <c r="D16" s="126"/>
      <c r="E16" s="127">
        <v>6874.7709999999997</v>
      </c>
      <c r="F16" s="126">
        <f>2500+10321.993+9300.323</f>
        <v>22122.315999999999</v>
      </c>
      <c r="G16" s="127">
        <v>7776.6350000000002</v>
      </c>
    </row>
    <row r="17" spans="1:7" s="65" customFormat="1">
      <c r="A17" s="101">
        <v>37</v>
      </c>
      <c r="B17" s="102"/>
      <c r="C17" s="103" t="s">
        <v>6</v>
      </c>
      <c r="D17" s="104"/>
      <c r="E17" s="157">
        <v>0</v>
      </c>
      <c r="F17" s="104">
        <v>0</v>
      </c>
      <c r="G17" s="157">
        <v>0</v>
      </c>
    </row>
    <row r="18" spans="1:7" s="65" customFormat="1">
      <c r="A18" s="112" t="s">
        <v>196</v>
      </c>
      <c r="B18" s="108"/>
      <c r="C18" s="109" t="s">
        <v>197</v>
      </c>
      <c r="D18" s="104"/>
      <c r="E18" s="157">
        <v>0</v>
      </c>
      <c r="F18" s="104">
        <v>0</v>
      </c>
      <c r="G18" s="157">
        <v>0</v>
      </c>
    </row>
    <row r="19" spans="1:7" s="65" customFormat="1">
      <c r="A19" s="112" t="s">
        <v>198</v>
      </c>
      <c r="B19" s="108"/>
      <c r="C19" s="109" t="s">
        <v>199</v>
      </c>
      <c r="D19" s="104"/>
      <c r="E19" s="157">
        <v>0</v>
      </c>
      <c r="F19" s="104">
        <v>0</v>
      </c>
      <c r="G19" s="157">
        <v>0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0</v>
      </c>
      <c r="E20" s="159">
        <v>211037.39</v>
      </c>
      <c r="F20" s="134">
        <v>241796.32</v>
      </c>
      <c r="G20" s="159">
        <v>228248.85399999999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0</v>
      </c>
      <c r="E21" s="15">
        <f t="shared" si="0"/>
        <v>3557809.7350000003</v>
      </c>
      <c r="F21" s="15">
        <f t="shared" ref="F21:G21" si="1">F4+F5+SUM(F8:F13)+F17</f>
        <v>3602875.057</v>
      </c>
      <c r="G21" s="15">
        <f t="shared" si="1"/>
        <v>3612755.0130000003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/>
      <c r="E22" s="141">
        <v>2366900</v>
      </c>
      <c r="F22" s="105">
        <f>1611694.629+678460.979</f>
        <v>2290155.608</v>
      </c>
      <c r="G22" s="113">
        <f>1735000+643000</f>
        <v>2378000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/>
      <c r="E23" s="141">
        <v>151132</v>
      </c>
      <c r="F23" s="105">
        <f>157390.507+33834.295</f>
        <v>191224.80200000003</v>
      </c>
      <c r="G23" s="113">
        <f>117000+33635</f>
        <v>150635</v>
      </c>
    </row>
    <row r="24" spans="1:7" s="67" customFormat="1" ht="12.75" customHeight="1">
      <c r="A24" s="101">
        <v>41</v>
      </c>
      <c r="B24" s="102"/>
      <c r="C24" s="103" t="s">
        <v>9</v>
      </c>
      <c r="D24" s="152"/>
      <c r="E24" s="141">
        <v>34235.599999999999</v>
      </c>
      <c r="F24" s="105">
        <v>33373.540999999997</v>
      </c>
      <c r="G24" s="113">
        <v>33515.599999999999</v>
      </c>
    </row>
    <row r="25" spans="1:7" s="62" customFormat="1" ht="12.75" customHeight="1">
      <c r="A25" s="161">
        <v>42</v>
      </c>
      <c r="B25" s="162"/>
      <c r="C25" s="103" t="s">
        <v>10</v>
      </c>
      <c r="D25" s="152"/>
      <c r="E25" s="141">
        <v>358379.79</v>
      </c>
      <c r="F25" s="105">
        <v>419027.67300000001</v>
      </c>
      <c r="G25" s="113">
        <v>351530.10800000001</v>
      </c>
    </row>
    <row r="26" spans="1:7" s="68" customFormat="1" ht="12.75" customHeight="1">
      <c r="A26" s="114">
        <v>430</v>
      </c>
      <c r="B26" s="102"/>
      <c r="C26" s="103" t="s">
        <v>11</v>
      </c>
      <c r="D26" s="268"/>
      <c r="E26" s="144">
        <v>100</v>
      </c>
      <c r="F26" s="128">
        <v>3399.0949999999998</v>
      </c>
      <c r="G26" s="157">
        <v>2090.9920000000002</v>
      </c>
    </row>
    <row r="27" spans="1:7" s="68" customFormat="1" ht="12.75" customHeight="1">
      <c r="A27" s="114">
        <v>431</v>
      </c>
      <c r="B27" s="102"/>
      <c r="C27" s="103" t="s">
        <v>377</v>
      </c>
      <c r="D27" s="268"/>
      <c r="E27" s="144">
        <v>0</v>
      </c>
      <c r="F27" s="128">
        <v>0</v>
      </c>
      <c r="G27" s="157">
        <v>0</v>
      </c>
    </row>
    <row r="28" spans="1:7" s="68" customFormat="1" ht="12.75" customHeight="1">
      <c r="A28" s="114">
        <v>432</v>
      </c>
      <c r="B28" s="102"/>
      <c r="C28" s="103" t="s">
        <v>378</v>
      </c>
      <c r="D28" s="268"/>
      <c r="E28" s="144">
        <v>0</v>
      </c>
      <c r="F28" s="128">
        <v>0</v>
      </c>
      <c r="G28" s="157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/>
      <c r="E29" s="144">
        <v>0</v>
      </c>
      <c r="F29" s="128">
        <v>11619.6</v>
      </c>
      <c r="G29" s="157">
        <v>200</v>
      </c>
    </row>
    <row r="30" spans="1:7" s="62" customFormat="1" ht="14">
      <c r="A30" s="114">
        <v>450</v>
      </c>
      <c r="B30" s="115"/>
      <c r="C30" s="116" t="s">
        <v>271</v>
      </c>
      <c r="D30" s="104"/>
      <c r="E30" s="106">
        <v>0</v>
      </c>
      <c r="F30" s="104">
        <v>0</v>
      </c>
      <c r="G30" s="106">
        <v>0</v>
      </c>
    </row>
    <row r="31" spans="1:7" s="63" customFormat="1" ht="14">
      <c r="A31" s="114">
        <v>451</v>
      </c>
      <c r="B31" s="115"/>
      <c r="C31" s="116" t="s">
        <v>14</v>
      </c>
      <c r="D31" s="279"/>
      <c r="E31" s="218">
        <v>0</v>
      </c>
      <c r="F31" s="117">
        <v>177.48099999999999</v>
      </c>
      <c r="G31" s="249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52"/>
      <c r="E32" s="141">
        <v>508151.41899999999</v>
      </c>
      <c r="F32" s="105">
        <f>521877.48+8581.943</f>
        <v>530459.42299999995</v>
      </c>
      <c r="G32" s="113">
        <f>528499.965+2750</f>
        <v>531249.96499999997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/>
      <c r="E33" s="143">
        <v>0</v>
      </c>
      <c r="F33" s="105">
        <v>8581.9429999999993</v>
      </c>
      <c r="G33" s="155">
        <v>2750</v>
      </c>
    </row>
    <row r="34" spans="1:7" s="62" customFormat="1" ht="15" customHeight="1">
      <c r="A34" s="101">
        <v>47</v>
      </c>
      <c r="B34" s="102"/>
      <c r="C34" s="103" t="s">
        <v>6</v>
      </c>
      <c r="D34" s="152"/>
      <c r="E34" s="141">
        <v>0</v>
      </c>
      <c r="F34" s="105">
        <v>0</v>
      </c>
      <c r="G34" s="113">
        <v>0</v>
      </c>
    </row>
    <row r="35" spans="1:7" s="62" customFormat="1" ht="15" customHeight="1">
      <c r="A35" s="131">
        <v>49</v>
      </c>
      <c r="B35" s="132"/>
      <c r="C35" s="133" t="s">
        <v>26</v>
      </c>
      <c r="D35" s="146"/>
      <c r="E35" s="147">
        <v>211037.39</v>
      </c>
      <c r="F35" s="134">
        <v>241796.32</v>
      </c>
      <c r="G35" s="159">
        <v>228248.85399999999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0</v>
      </c>
      <c r="E36" s="15">
        <f t="shared" si="2"/>
        <v>3418898.8090000004</v>
      </c>
      <c r="F36" s="15">
        <f t="shared" ref="F36:G36" si="3">F22+F23+F24+F25+F26+F27+F28+F29+F30+F31+F32+F34</f>
        <v>3479437.2230000007</v>
      </c>
      <c r="G36" s="15">
        <f t="shared" si="3"/>
        <v>3447221.665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0</v>
      </c>
      <c r="E37" s="16">
        <f t="shared" si="4"/>
        <v>-138910.92599999998</v>
      </c>
      <c r="F37" s="16">
        <f t="shared" ref="F37:G37" si="5">F36-F21</f>
        <v>-123437.83399999933</v>
      </c>
      <c r="G37" s="16">
        <f t="shared" si="5"/>
        <v>-165533.34800000023</v>
      </c>
    </row>
    <row r="38" spans="1:7" s="63" customFormat="1" ht="15" customHeight="1">
      <c r="A38" s="145">
        <v>340</v>
      </c>
      <c r="B38" s="102"/>
      <c r="C38" s="103" t="s">
        <v>78</v>
      </c>
      <c r="D38" s="140"/>
      <c r="E38" s="141">
        <v>77496.554000000004</v>
      </c>
      <c r="F38" s="104">
        <v>59895.32</v>
      </c>
      <c r="G38" s="113">
        <v>63324.803999999996</v>
      </c>
    </row>
    <row r="39" spans="1:7" s="63" customFormat="1" ht="15" customHeight="1">
      <c r="A39" s="145">
        <v>341</v>
      </c>
      <c r="B39" s="102"/>
      <c r="C39" s="103" t="s">
        <v>237</v>
      </c>
      <c r="D39" s="152"/>
      <c r="E39" s="141">
        <v>0.7</v>
      </c>
      <c r="F39" s="105">
        <v>482.233</v>
      </c>
      <c r="G39" s="113">
        <v>20.87</v>
      </c>
    </row>
    <row r="40" spans="1:7" s="63" customFormat="1" ht="15" customHeight="1">
      <c r="A40" s="145">
        <v>342</v>
      </c>
      <c r="B40" s="102"/>
      <c r="C40" s="103" t="s">
        <v>238</v>
      </c>
      <c r="D40" s="152"/>
      <c r="E40" s="141">
        <v>2412.44</v>
      </c>
      <c r="F40" s="105">
        <v>2991.386</v>
      </c>
      <c r="G40" s="113">
        <v>2917.9290000000001</v>
      </c>
    </row>
    <row r="41" spans="1:7" s="63" customFormat="1" ht="15" customHeight="1">
      <c r="A41" s="145">
        <v>343</v>
      </c>
      <c r="B41" s="102"/>
      <c r="C41" s="103" t="s">
        <v>239</v>
      </c>
      <c r="D41" s="152"/>
      <c r="E41" s="141">
        <v>63463.976000000002</v>
      </c>
      <c r="F41" s="105">
        <v>41041.516000000003</v>
      </c>
      <c r="G41" s="113">
        <v>69334.396999999997</v>
      </c>
    </row>
    <row r="42" spans="1:7" s="63" customFormat="1" ht="15" customHeight="1">
      <c r="A42" s="145">
        <v>344</v>
      </c>
      <c r="B42" s="102"/>
      <c r="C42" s="103" t="s">
        <v>83</v>
      </c>
      <c r="D42" s="152"/>
      <c r="E42" s="141">
        <v>152</v>
      </c>
      <c r="F42" s="105">
        <v>71674.805999999997</v>
      </c>
      <c r="G42" s="113">
        <v>202</v>
      </c>
    </row>
    <row r="43" spans="1:7" s="63" customFormat="1" ht="15" customHeight="1">
      <c r="A43" s="145">
        <v>349</v>
      </c>
      <c r="B43" s="102"/>
      <c r="C43" s="103" t="s">
        <v>240</v>
      </c>
      <c r="D43" s="152"/>
      <c r="E43" s="141">
        <v>1.127</v>
      </c>
      <c r="F43" s="105">
        <v>26.715</v>
      </c>
      <c r="G43" s="113">
        <v>1.5</v>
      </c>
    </row>
    <row r="44" spans="1:7" s="62" customFormat="1" ht="15" customHeight="1">
      <c r="A44" s="101">
        <v>440</v>
      </c>
      <c r="B44" s="102"/>
      <c r="C44" s="103" t="s">
        <v>79</v>
      </c>
      <c r="D44" s="140"/>
      <c r="E44" s="141">
        <v>20293.234</v>
      </c>
      <c r="F44" s="104">
        <v>20158.495999999999</v>
      </c>
      <c r="G44" s="113">
        <v>19331.623</v>
      </c>
    </row>
    <row r="45" spans="1:7" s="62" customFormat="1" ht="15" customHeight="1">
      <c r="A45" s="101">
        <v>441</v>
      </c>
      <c r="B45" s="102"/>
      <c r="C45" s="103" t="s">
        <v>80</v>
      </c>
      <c r="D45" s="140"/>
      <c r="E45" s="141">
        <v>5</v>
      </c>
      <c r="F45" s="104">
        <v>2208.61</v>
      </c>
      <c r="G45" s="113">
        <v>7.5</v>
      </c>
    </row>
    <row r="46" spans="1:7" s="62" customFormat="1" ht="15" customHeight="1">
      <c r="A46" s="101">
        <v>442</v>
      </c>
      <c r="B46" s="102"/>
      <c r="C46" s="103" t="s">
        <v>81</v>
      </c>
      <c r="D46" s="152"/>
      <c r="E46" s="138">
        <v>5553.0159999999996</v>
      </c>
      <c r="F46" s="105">
        <v>6155.1589999999997</v>
      </c>
      <c r="G46" s="106">
        <v>5619.0879999999997</v>
      </c>
    </row>
    <row r="47" spans="1:7" s="62" customFormat="1" ht="15" customHeight="1">
      <c r="A47" s="101">
        <v>443</v>
      </c>
      <c r="B47" s="102"/>
      <c r="C47" s="103" t="s">
        <v>82</v>
      </c>
      <c r="D47" s="140"/>
      <c r="E47" s="141">
        <v>148390.20800000001</v>
      </c>
      <c r="F47" s="104">
        <v>133093.02900000001</v>
      </c>
      <c r="G47" s="113">
        <v>148202.43400000001</v>
      </c>
    </row>
    <row r="48" spans="1:7" s="62" customFormat="1" ht="15" customHeight="1">
      <c r="A48" s="101">
        <v>444</v>
      </c>
      <c r="B48" s="102"/>
      <c r="C48" s="103" t="s">
        <v>83</v>
      </c>
      <c r="D48" s="140"/>
      <c r="E48" s="141">
        <v>0</v>
      </c>
      <c r="F48" s="104">
        <v>90605.031000000003</v>
      </c>
      <c r="G48" s="113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/>
      <c r="E49" s="141">
        <v>23653.165000000001</v>
      </c>
      <c r="F49" s="104">
        <v>23586.162</v>
      </c>
      <c r="G49" s="113">
        <v>22008.462</v>
      </c>
    </row>
    <row r="50" spans="1:7" s="62" customFormat="1" ht="15" customHeight="1">
      <c r="A50" s="101">
        <v>446</v>
      </c>
      <c r="B50" s="102"/>
      <c r="C50" s="103" t="s">
        <v>85</v>
      </c>
      <c r="D50" s="140"/>
      <c r="E50" s="141">
        <v>91165.433000000005</v>
      </c>
      <c r="F50" s="104">
        <v>103693.337</v>
      </c>
      <c r="G50" s="113">
        <v>103408.25</v>
      </c>
    </row>
    <row r="51" spans="1:7" s="62" customFormat="1" ht="15" customHeight="1">
      <c r="A51" s="101">
        <v>447</v>
      </c>
      <c r="B51" s="102"/>
      <c r="C51" s="103" t="s">
        <v>86</v>
      </c>
      <c r="D51" s="140"/>
      <c r="E51" s="141">
        <v>1050.71</v>
      </c>
      <c r="F51" s="104">
        <v>5129.076</v>
      </c>
      <c r="G51" s="113">
        <v>4981.7969999999996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04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/>
      <c r="E53" s="141">
        <v>60</v>
      </c>
      <c r="F53" s="104">
        <v>310.51299999999998</v>
      </c>
      <c r="G53" s="113">
        <v>5.5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68">
        <v>0</v>
      </c>
      <c r="G54" s="174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0</v>
      </c>
      <c r="E55" s="15">
        <f t="shared" si="6"/>
        <v>146643.96900000004</v>
      </c>
      <c r="F55" s="15">
        <f t="shared" ref="F55:G55" si="7">SUM(F44:F53)-SUM(F38:F43)</f>
        <v>208827.43700000001</v>
      </c>
      <c r="G55" s="15">
        <f t="shared" si="7"/>
        <v>167763.15400000004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0</v>
      </c>
      <c r="E56" s="15">
        <f t="shared" si="8"/>
        <v>7733.0430000000633</v>
      </c>
      <c r="F56" s="15">
        <f t="shared" ref="F56:G56" si="9">F55+F37</f>
        <v>85389.603000000672</v>
      </c>
      <c r="G56" s="15">
        <f t="shared" si="9"/>
        <v>2229.8059999998077</v>
      </c>
    </row>
    <row r="57" spans="1:7" s="62" customFormat="1" ht="15.75" customHeight="1">
      <c r="A57" s="175">
        <v>380</v>
      </c>
      <c r="B57" s="176"/>
      <c r="C57" s="97" t="s">
        <v>484</v>
      </c>
      <c r="D57" s="137">
        <v>0</v>
      </c>
      <c r="E57" s="183">
        <v>0</v>
      </c>
      <c r="F57" s="98">
        <v>0</v>
      </c>
      <c r="G57" s="369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/>
      <c r="E58" s="291"/>
      <c r="F58" s="153"/>
      <c r="G58" s="362"/>
    </row>
    <row r="59" spans="1:7" s="62" customFormat="1" ht="15.75" customHeight="1">
      <c r="A59" s="285">
        <v>383</v>
      </c>
      <c r="B59" s="286"/>
      <c r="C59" s="116" t="s">
        <v>57</v>
      </c>
      <c r="D59" s="290"/>
      <c r="E59" s="291"/>
      <c r="F59" s="153"/>
      <c r="G59" s="362"/>
    </row>
    <row r="60" spans="1:7" s="63" customFormat="1" ht="14">
      <c r="A60" s="114">
        <v>3840</v>
      </c>
      <c r="B60" s="115"/>
      <c r="C60" s="116" t="s">
        <v>241</v>
      </c>
      <c r="D60" s="261">
        <v>0</v>
      </c>
      <c r="E60" s="165">
        <v>0</v>
      </c>
      <c r="F60" s="201">
        <v>0</v>
      </c>
      <c r="G60" s="271">
        <v>0</v>
      </c>
    </row>
    <row r="61" spans="1:7" s="63" customFormat="1" ht="14">
      <c r="A61" s="114">
        <v>3841</v>
      </c>
      <c r="B61" s="115"/>
      <c r="C61" s="116" t="s">
        <v>242</v>
      </c>
      <c r="D61" s="154"/>
      <c r="E61" s="149"/>
      <c r="F61" s="118"/>
      <c r="G61" s="296"/>
    </row>
    <row r="62" spans="1:7" s="63" customFormat="1" ht="14">
      <c r="A62" s="114">
        <v>386</v>
      </c>
      <c r="B62" s="115"/>
      <c r="C62" s="179" t="s">
        <v>243</v>
      </c>
      <c r="D62" s="154"/>
      <c r="E62" s="149"/>
      <c r="F62" s="118"/>
      <c r="G62" s="296"/>
    </row>
    <row r="63" spans="1:7" s="63" customFormat="1" ht="28">
      <c r="A63" s="177">
        <v>387</v>
      </c>
      <c r="B63" s="178"/>
      <c r="C63" s="116" t="s">
        <v>58</v>
      </c>
      <c r="D63" s="154"/>
      <c r="E63" s="149"/>
      <c r="F63" s="118"/>
      <c r="G63" s="296"/>
    </row>
    <row r="64" spans="1:7" s="63" customFormat="1">
      <c r="A64" s="114">
        <v>389</v>
      </c>
      <c r="B64" s="115"/>
      <c r="C64" s="103" t="s">
        <v>7</v>
      </c>
      <c r="D64" s="154">
        <v>0</v>
      </c>
      <c r="E64" s="149">
        <v>0</v>
      </c>
      <c r="F64" s="118">
        <v>0</v>
      </c>
      <c r="G64" s="296">
        <v>0</v>
      </c>
    </row>
    <row r="65" spans="1:7" s="62" customFormat="1">
      <c r="A65" s="145" t="s">
        <v>471</v>
      </c>
      <c r="B65" s="102"/>
      <c r="C65" s="103" t="s">
        <v>244</v>
      </c>
      <c r="D65" s="152"/>
      <c r="E65" s="141"/>
      <c r="F65" s="105"/>
      <c r="G65" s="113"/>
    </row>
    <row r="66" spans="1:7" s="95" customFormat="1" ht="14">
      <c r="A66" s="221" t="s">
        <v>472</v>
      </c>
      <c r="B66" s="111"/>
      <c r="C66" s="116" t="s">
        <v>245</v>
      </c>
      <c r="D66" s="260"/>
      <c r="E66" s="165"/>
      <c r="F66" s="270"/>
      <c r="G66" s="271"/>
    </row>
    <row r="67" spans="1:7" s="62" customFormat="1">
      <c r="A67" s="110">
        <v>481</v>
      </c>
      <c r="B67" s="102"/>
      <c r="C67" s="103" t="s">
        <v>246</v>
      </c>
      <c r="D67" s="152"/>
      <c r="E67" s="141"/>
      <c r="F67" s="105"/>
      <c r="G67" s="113"/>
    </row>
    <row r="68" spans="1:7" s="62" customFormat="1">
      <c r="A68" s="110">
        <v>482</v>
      </c>
      <c r="B68" s="102"/>
      <c r="C68" s="103" t="s">
        <v>247</v>
      </c>
      <c r="D68" s="152"/>
      <c r="E68" s="141"/>
      <c r="F68" s="105"/>
      <c r="G68" s="113"/>
    </row>
    <row r="69" spans="1:7" s="62" customFormat="1">
      <c r="A69" s="110">
        <v>483</v>
      </c>
      <c r="B69" s="102"/>
      <c r="C69" s="103" t="s">
        <v>248</v>
      </c>
      <c r="D69" s="152"/>
      <c r="E69" s="141"/>
      <c r="F69" s="105"/>
      <c r="G69" s="113"/>
    </row>
    <row r="70" spans="1:7" s="62" customFormat="1">
      <c r="A70" s="110">
        <v>484</v>
      </c>
      <c r="B70" s="102"/>
      <c r="C70" s="103" t="s">
        <v>249</v>
      </c>
      <c r="D70" s="152"/>
      <c r="E70" s="141"/>
      <c r="F70" s="105"/>
      <c r="G70" s="113"/>
    </row>
    <row r="71" spans="1:7" s="62" customFormat="1">
      <c r="A71" s="110">
        <v>485</v>
      </c>
      <c r="B71" s="102"/>
      <c r="C71" s="103" t="s">
        <v>250</v>
      </c>
      <c r="D71" s="152"/>
      <c r="E71" s="141"/>
      <c r="F71" s="105"/>
      <c r="G71" s="113"/>
    </row>
    <row r="72" spans="1:7" s="62" customFormat="1">
      <c r="A72" s="110">
        <v>486</v>
      </c>
      <c r="B72" s="102"/>
      <c r="C72" s="103" t="s">
        <v>251</v>
      </c>
      <c r="D72" s="152"/>
      <c r="E72" s="141"/>
      <c r="F72" s="105"/>
      <c r="G72" s="113"/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04">
        <v>0</v>
      </c>
      <c r="G73" s="113">
        <v>0</v>
      </c>
    </row>
    <row r="74" spans="1:7" s="63" customFormat="1">
      <c r="A74" s="110">
        <v>489</v>
      </c>
      <c r="B74" s="182"/>
      <c r="C74" s="133" t="s">
        <v>18</v>
      </c>
      <c r="D74" s="140">
        <v>0</v>
      </c>
      <c r="E74" s="141">
        <v>0</v>
      </c>
      <c r="F74" s="104">
        <v>0</v>
      </c>
      <c r="G74" s="113">
        <v>0</v>
      </c>
    </row>
    <row r="75" spans="1:7" s="63" customFormat="1">
      <c r="A75" s="181" t="s">
        <v>381</v>
      </c>
      <c r="B75" s="182"/>
      <c r="C75" s="167" t="s">
        <v>382</v>
      </c>
      <c r="D75" s="152"/>
      <c r="E75" s="141"/>
      <c r="F75" s="105"/>
      <c r="G75" s="113"/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0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0</v>
      </c>
      <c r="E77" s="15">
        <f t="shared" si="12"/>
        <v>7733.0430000000633</v>
      </c>
      <c r="F77" s="15">
        <f t="shared" ref="F77:G77" si="13">F56+F76</f>
        <v>85389.603000000672</v>
      </c>
      <c r="G77" s="15">
        <f t="shared" si="13"/>
        <v>2229.8059999998077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0</v>
      </c>
      <c r="E78" s="37">
        <f t="shared" si="14"/>
        <v>3912373.9220000003</v>
      </c>
      <c r="F78" s="37">
        <f t="shared" ref="F78:G78" si="15">F20+F21+SUM(F38:F43)+SUM(F57:F64)</f>
        <v>4020783.3529999997</v>
      </c>
      <c r="G78" s="37">
        <f t="shared" si="15"/>
        <v>3976805.3670000001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0</v>
      </c>
      <c r="E79" s="37">
        <f t="shared" si="16"/>
        <v>3920106.9650000008</v>
      </c>
      <c r="F79" s="37">
        <f t="shared" ref="F79:G79" si="17">F35+F36+SUM(F44:F53)+SUM(F65:F74)</f>
        <v>4106172.9560000007</v>
      </c>
      <c r="G79" s="37">
        <f t="shared" si="17"/>
        <v>3979035.173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/>
      <c r="E82" s="141">
        <v>339127</v>
      </c>
      <c r="F82" s="105">
        <v>269657.19400000002</v>
      </c>
      <c r="G82" s="113">
        <v>359344.5</v>
      </c>
    </row>
    <row r="83" spans="1:7" s="62" customFormat="1">
      <c r="A83" s="186">
        <v>51</v>
      </c>
      <c r="B83" s="187"/>
      <c r="C83" s="187" t="s">
        <v>253</v>
      </c>
      <c r="D83" s="152"/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52"/>
      <c r="E84" s="141">
        <v>160</v>
      </c>
      <c r="F84" s="105">
        <v>1621.048</v>
      </c>
      <c r="G84" s="113">
        <v>260</v>
      </c>
    </row>
    <row r="85" spans="1:7" s="62" customFormat="1">
      <c r="A85" s="188">
        <v>54</v>
      </c>
      <c r="B85" s="189"/>
      <c r="C85" s="189" t="s">
        <v>89</v>
      </c>
      <c r="D85" s="152"/>
      <c r="E85" s="141">
        <v>46000</v>
      </c>
      <c r="F85" s="105">
        <f>72616.335+21377+30683+11065.762</f>
        <v>135742.09700000001</v>
      </c>
      <c r="G85" s="113">
        <v>27200</v>
      </c>
    </row>
    <row r="86" spans="1:7" s="62" customFormat="1">
      <c r="A86" s="188">
        <v>55</v>
      </c>
      <c r="B86" s="189"/>
      <c r="C86" s="189" t="s">
        <v>181</v>
      </c>
      <c r="D86" s="152">
        <v>0</v>
      </c>
      <c r="E86" s="141">
        <v>15900</v>
      </c>
      <c r="F86" s="105">
        <f>31007+18973.848</f>
        <v>49980.847999999998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2"/>
      <c r="E87" s="141">
        <v>0</v>
      </c>
      <c r="F87" s="105">
        <v>20367.885999999999</v>
      </c>
      <c r="G87" s="113">
        <v>0</v>
      </c>
    </row>
    <row r="88" spans="1:7" s="62" customFormat="1">
      <c r="A88" s="186">
        <v>57</v>
      </c>
      <c r="B88" s="187"/>
      <c r="C88" s="187" t="s">
        <v>150</v>
      </c>
      <c r="D88" s="152">
        <v>0</v>
      </c>
      <c r="E88" s="141">
        <v>0</v>
      </c>
      <c r="F88" s="105"/>
      <c r="G88" s="113"/>
    </row>
    <row r="89" spans="1:7" s="62" customFormat="1">
      <c r="A89" s="186">
        <v>580</v>
      </c>
      <c r="B89" s="187"/>
      <c r="C89" s="187" t="s">
        <v>256</v>
      </c>
      <c r="D89" s="152"/>
      <c r="E89" s="141">
        <v>0</v>
      </c>
      <c r="F89" s="105"/>
      <c r="G89" s="113"/>
    </row>
    <row r="90" spans="1:7" s="62" customFormat="1">
      <c r="A90" s="186">
        <v>582</v>
      </c>
      <c r="B90" s="187"/>
      <c r="C90" s="187" t="s">
        <v>257</v>
      </c>
      <c r="D90" s="152"/>
      <c r="E90" s="141">
        <v>0</v>
      </c>
      <c r="F90" s="105"/>
      <c r="G90" s="113"/>
    </row>
    <row r="91" spans="1:7" s="62" customFormat="1">
      <c r="A91" s="186">
        <v>584</v>
      </c>
      <c r="B91" s="187"/>
      <c r="C91" s="187" t="s">
        <v>258</v>
      </c>
      <c r="D91" s="152"/>
      <c r="E91" s="141">
        <v>0</v>
      </c>
      <c r="F91" s="105"/>
      <c r="G91" s="113"/>
    </row>
    <row r="92" spans="1:7" s="62" customFormat="1">
      <c r="A92" s="186">
        <v>585</v>
      </c>
      <c r="B92" s="187"/>
      <c r="C92" s="187" t="s">
        <v>259</v>
      </c>
      <c r="D92" s="152"/>
      <c r="E92" s="141">
        <v>0</v>
      </c>
      <c r="F92" s="105"/>
      <c r="G92" s="113"/>
    </row>
    <row r="93" spans="1:7" s="62" customFormat="1">
      <c r="A93" s="186">
        <v>586</v>
      </c>
      <c r="B93" s="187"/>
      <c r="C93" s="187" t="s">
        <v>260</v>
      </c>
      <c r="D93" s="152"/>
      <c r="E93" s="141">
        <v>0</v>
      </c>
      <c r="F93" s="105"/>
      <c r="G93" s="113"/>
    </row>
    <row r="94" spans="1:7" s="62" customFormat="1">
      <c r="A94" s="190">
        <v>589</v>
      </c>
      <c r="B94" s="191"/>
      <c r="C94" s="191" t="s">
        <v>261</v>
      </c>
      <c r="D94" s="273"/>
      <c r="E94" s="147">
        <v>0</v>
      </c>
      <c r="F94" s="135"/>
      <c r="G94" s="159"/>
    </row>
    <row r="95" spans="1:7">
      <c r="A95" s="41">
        <v>5</v>
      </c>
      <c r="B95" s="32"/>
      <c r="C95" s="32" t="s">
        <v>133</v>
      </c>
      <c r="D95" s="33">
        <f t="shared" ref="D95:E95" si="18">SUM(D82:D94)</f>
        <v>0</v>
      </c>
      <c r="E95" s="33">
        <f t="shared" si="18"/>
        <v>401187</v>
      </c>
      <c r="F95" s="33">
        <f t="shared" ref="F95:G95" si="19">SUM(F82:F94)</f>
        <v>477369.07300000003</v>
      </c>
      <c r="G95" s="33">
        <f t="shared" si="19"/>
        <v>386804.5</v>
      </c>
    </row>
    <row r="96" spans="1:7" s="62" customFormat="1">
      <c r="A96" s="186">
        <v>60</v>
      </c>
      <c r="B96" s="187"/>
      <c r="C96" s="187" t="s">
        <v>262</v>
      </c>
      <c r="D96" s="152"/>
      <c r="E96" s="141">
        <v>0</v>
      </c>
      <c r="F96" s="105">
        <f>7642.48+81913.894+11065.762+6721.859+5400</f>
        <v>112743.995</v>
      </c>
      <c r="G96" s="113">
        <v>0</v>
      </c>
    </row>
    <row r="97" spans="1:7" s="62" customFormat="1">
      <c r="A97" s="186">
        <v>61</v>
      </c>
      <c r="B97" s="187"/>
      <c r="C97" s="187" t="s">
        <v>263</v>
      </c>
      <c r="D97" s="152"/>
      <c r="E97" s="141">
        <v>0</v>
      </c>
      <c r="F97" s="105"/>
      <c r="G97" s="113"/>
    </row>
    <row r="98" spans="1:7" s="62" customFormat="1">
      <c r="A98" s="186">
        <v>62</v>
      </c>
      <c r="B98" s="187"/>
      <c r="C98" s="187" t="s">
        <v>264</v>
      </c>
      <c r="D98" s="152"/>
      <c r="E98" s="141">
        <v>0</v>
      </c>
      <c r="F98" s="105"/>
      <c r="G98" s="113"/>
    </row>
    <row r="99" spans="1:7" s="62" customFormat="1">
      <c r="A99" s="186">
        <v>63</v>
      </c>
      <c r="B99" s="187"/>
      <c r="C99" s="187" t="s">
        <v>265</v>
      </c>
      <c r="D99" s="152"/>
      <c r="E99" s="141">
        <v>28250</v>
      </c>
      <c r="F99" s="105">
        <v>22367.82</v>
      </c>
      <c r="G99" s="113">
        <v>11000</v>
      </c>
    </row>
    <row r="100" spans="1:7" s="62" customFormat="1">
      <c r="A100" s="188">
        <v>64</v>
      </c>
      <c r="B100" s="189"/>
      <c r="C100" s="189" t="s">
        <v>185</v>
      </c>
      <c r="D100" s="152">
        <v>0</v>
      </c>
      <c r="E100" s="141">
        <v>0</v>
      </c>
      <c r="F100" s="105">
        <v>94700</v>
      </c>
      <c r="G100" s="113">
        <v>0</v>
      </c>
    </row>
    <row r="101" spans="1:7" s="62" customFormat="1">
      <c r="A101" s="188">
        <v>65</v>
      </c>
      <c r="B101" s="189"/>
      <c r="C101" s="189" t="s">
        <v>186</v>
      </c>
      <c r="D101" s="152">
        <v>0</v>
      </c>
      <c r="E101" s="141">
        <v>0</v>
      </c>
      <c r="F101" s="105"/>
      <c r="G101" s="113"/>
    </row>
    <row r="102" spans="1:7" s="62" customFormat="1">
      <c r="A102" s="188">
        <v>66</v>
      </c>
      <c r="B102" s="189"/>
      <c r="C102" s="189" t="s">
        <v>266</v>
      </c>
      <c r="D102" s="152"/>
      <c r="E102" s="141">
        <v>0</v>
      </c>
      <c r="F102" s="105"/>
      <c r="G102" s="113"/>
    </row>
    <row r="103" spans="1:7" s="62" customFormat="1">
      <c r="A103" s="186">
        <v>67</v>
      </c>
      <c r="B103" s="187"/>
      <c r="C103" s="187" t="s">
        <v>150</v>
      </c>
      <c r="D103" s="140">
        <v>0</v>
      </c>
      <c r="E103" s="138">
        <v>0</v>
      </c>
      <c r="F103" s="104"/>
      <c r="G103" s="106"/>
    </row>
    <row r="104" spans="1:7" s="62" customFormat="1" ht="28">
      <c r="A104" s="192" t="s">
        <v>268</v>
      </c>
      <c r="B104" s="187"/>
      <c r="C104" s="193" t="s">
        <v>267</v>
      </c>
      <c r="D104" s="140"/>
      <c r="E104" s="138">
        <v>0</v>
      </c>
      <c r="F104" s="104"/>
      <c r="G104" s="106"/>
    </row>
    <row r="105" spans="1:7" s="62" customFormat="1" ht="42">
      <c r="A105" s="194" t="s">
        <v>269</v>
      </c>
      <c r="B105" s="191"/>
      <c r="C105" s="195" t="s">
        <v>270</v>
      </c>
      <c r="D105" s="146"/>
      <c r="E105" s="151">
        <v>0</v>
      </c>
      <c r="F105" s="134"/>
      <c r="G105" s="136"/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0</v>
      </c>
      <c r="E106" s="33">
        <f t="shared" si="20"/>
        <v>28250</v>
      </c>
      <c r="F106" s="33">
        <f t="shared" ref="F106:G106" si="21">SUM(F96:F105)</f>
        <v>229811.815</v>
      </c>
      <c r="G106" s="33">
        <f t="shared" si="21"/>
        <v>11000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0</v>
      </c>
      <c r="E107" s="33">
        <f t="shared" si="22"/>
        <v>372937</v>
      </c>
      <c r="F107" s="33">
        <f t="shared" ref="F107:G107" si="23">(F95-F88)-(F106-F103)</f>
        <v>247557.25800000003</v>
      </c>
      <c r="G107" s="33">
        <f t="shared" si="23"/>
        <v>375804.5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0</v>
      </c>
      <c r="E108" s="50">
        <f t="shared" si="24"/>
        <v>311037</v>
      </c>
      <c r="F108" s="50">
        <f t="shared" ref="F108:G108" si="25">F107-F85-F86+F100+F101</f>
        <v>156534.31300000002</v>
      </c>
      <c r="G108" s="50">
        <f t="shared" si="25"/>
        <v>348604.5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0</v>
      </c>
      <c r="E111" s="337">
        <f t="shared" si="26"/>
        <v>0</v>
      </c>
      <c r="F111" s="336">
        <f t="shared" ref="F111:G111" si="27">F112+F117</f>
        <v>4833059.4454200007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0</v>
      </c>
      <c r="E112" s="337">
        <f t="shared" si="28"/>
        <v>0</v>
      </c>
      <c r="F112" s="336">
        <f t="shared" ref="F112:G112" si="29">F113+F114+F115+F116</f>
        <v>2825017.4173000003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/>
      <c r="E113" s="113"/>
      <c r="F113" s="105">
        <f>658061.373+343751.34257</f>
        <v>1001812.71557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/>
      <c r="E114" s="271"/>
      <c r="F114" s="270">
        <v>4239.5620900000004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/>
      <c r="E115" s="113"/>
      <c r="F115" s="105">
        <v>1812161.1821300001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>
        <v>6803.9575100000002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0</v>
      </c>
      <c r="E117" s="337">
        <f t="shared" si="30"/>
        <v>0</v>
      </c>
      <c r="F117" s="336">
        <f t="shared" ref="F117:G117" si="31">F118+F119+F120</f>
        <v>2008042.0281199999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/>
      <c r="E118" s="113"/>
      <c r="F118" s="105">
        <v>299156.72902999999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/>
      <c r="E119" s="113"/>
      <c r="F119" s="105">
        <v>1688090.42447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/>
      <c r="E120" s="249"/>
      <c r="F120" s="117">
        <v>20794.874619999999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0</v>
      </c>
      <c r="E121" s="336">
        <f t="shared" si="32"/>
        <v>0</v>
      </c>
      <c r="F121" s="336">
        <f t="shared" ref="F121:G121" si="33">SUM(F122:F130)</f>
        <v>5705761.9614000004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/>
      <c r="E122" s="113"/>
      <c r="F122" s="105">
        <f>2752422.84172+12712.97553</f>
        <v>2765135.8172499998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/>
      <c r="E123" s="113"/>
      <c r="F123" s="105">
        <v>899484.88248999999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/>
      <c r="E124" s="210"/>
      <c r="F124" s="105">
        <v>1906962.52642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/>
      <c r="E125" s="210"/>
      <c r="F125" s="105">
        <v>134178.73524000001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0</v>
      </c>
      <c r="E131" s="18">
        <f>E111+E121</f>
        <v>0</v>
      </c>
      <c r="F131" s="18">
        <f>F111+F121</f>
        <v>10538821.406820001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0</v>
      </c>
      <c r="E133" s="339">
        <f t="shared" si="34"/>
        <v>0</v>
      </c>
      <c r="F133" s="338">
        <f t="shared" ref="F133:G133" si="35">F134+F140</f>
        <v>6867275.7917999998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0</v>
      </c>
      <c r="E134" s="337">
        <f t="shared" si="36"/>
        <v>0</v>
      </c>
      <c r="F134" s="336">
        <f t="shared" ref="F134:G134" si="37">F135+F136+F138+F139</f>
        <v>4064386.2070599999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/>
      <c r="E135" s="113"/>
      <c r="F135" s="105">
        <v>2746341.7097100001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/>
      <c r="E136" s="113"/>
      <c r="F136" s="105">
        <v>1001000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/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/>
      <c r="E138" s="210"/>
      <c r="F138" s="105">
        <v>214533.35506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/>
      <c r="E139" s="210"/>
      <c r="F139" s="105">
        <v>102511.14229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0</v>
      </c>
      <c r="E140" s="337">
        <f t="shared" si="38"/>
        <v>0</v>
      </c>
      <c r="F140" s="336">
        <f t="shared" ref="F140:G140" si="39">F141+F143+F144</f>
        <v>2802889.5847400003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/>
      <c r="E141" s="210"/>
      <c r="F141" s="105">
        <v>2558000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/>
      <c r="E143" s="210"/>
      <c r="F143" s="105">
        <v>130343.00706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/>
      <c r="E144" s="276"/>
      <c r="F144" s="117">
        <v>114546.57768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/>
      <c r="E145" s="210"/>
      <c r="F145" s="209">
        <v>3671545.61522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>
        <v>2196491.4835399999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0</v>
      </c>
      <c r="E147" s="18">
        <f>E133+E145</f>
        <v>0</v>
      </c>
      <c r="F147" s="18">
        <f>F133+F145</f>
        <v>10538821.407019999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46"/>
      <c r="C150" s="46" t="s">
        <v>153</v>
      </c>
      <c r="D150" s="55">
        <f t="shared" ref="D150:E150" si="40">D77+SUM(D8:D12)-D30-D31+D16-D33+D59+D63-D73+D64-D74-D54+D20-D35</f>
        <v>0</v>
      </c>
      <c r="E150" s="55">
        <f t="shared" si="40"/>
        <v>142770.56700000004</v>
      </c>
      <c r="F150" s="55">
        <f t="shared" ref="F150:G150" si="41">F77+SUM(F8:F12)-F30-F31+F16-F33+F59+F63-F73+F64-F74-F54+F20-F35</f>
        <v>264892.5270000007</v>
      </c>
      <c r="G150" s="55">
        <f t="shared" si="41"/>
        <v>141842.00099999981</v>
      </c>
    </row>
    <row r="151" spans="1:7">
      <c r="A151" s="326" t="s">
        <v>403</v>
      </c>
      <c r="B151" s="19"/>
      <c r="C151" s="19" t="s">
        <v>154</v>
      </c>
      <c r="D151" s="258">
        <f t="shared" ref="D151:E151" si="42">IF(D177=0,0,D150/D177)</f>
        <v>0</v>
      </c>
      <c r="E151" s="258">
        <f t="shared" si="42"/>
        <v>3.849228603375552E-2</v>
      </c>
      <c r="F151" s="258">
        <f t="shared" ref="F151:G151" si="43">IF(F177=0,0,F150/F177)</f>
        <v>6.854728509956777E-2</v>
      </c>
      <c r="G151" s="258">
        <f t="shared" si="43"/>
        <v>3.7816604022864311E-2</v>
      </c>
    </row>
    <row r="152" spans="1:7" s="251" customFormat="1" ht="28">
      <c r="A152" s="58" t="s">
        <v>404</v>
      </c>
      <c r="B152" s="53"/>
      <c r="C152" s="53" t="s">
        <v>161</v>
      </c>
      <c r="D152" s="242">
        <f t="shared" ref="D152:E152" si="44">IF(D107=0,0,D150/D107)</f>
        <v>0</v>
      </c>
      <c r="E152" s="242">
        <f t="shared" si="44"/>
        <v>0.38282757409428414</v>
      </c>
      <c r="F152" s="242">
        <f t="shared" ref="F152:G152" si="45">IF(F107=0,0,F150/F107)</f>
        <v>1.0700252908763461</v>
      </c>
      <c r="G152" s="242">
        <f t="shared" si="45"/>
        <v>0.3774356108029569</v>
      </c>
    </row>
    <row r="153" spans="1:7" s="251" customFormat="1" ht="28">
      <c r="A153" s="57" t="s">
        <v>404</v>
      </c>
      <c r="B153" s="54"/>
      <c r="C153" s="54" t="s">
        <v>162</v>
      </c>
      <c r="D153" s="245">
        <f t="shared" ref="D153:E153" si="46">IF(0=D108,0,D150/D108)</f>
        <v>0</v>
      </c>
      <c r="E153" s="245">
        <f t="shared" si="46"/>
        <v>0.45901473779646806</v>
      </c>
      <c r="F153" s="245">
        <f t="shared" ref="F153:G153" si="47">IF(0=F108,0,F150/F108)</f>
        <v>1.6922329802539886</v>
      </c>
      <c r="G153" s="245">
        <f t="shared" si="47"/>
        <v>0.40688516929643714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48">D150-D107</f>
        <v>0</v>
      </c>
      <c r="E154" s="56">
        <f t="shared" si="48"/>
        <v>-230166.43299999996</v>
      </c>
      <c r="F154" s="56">
        <f t="shared" ref="F154:G154" si="49">F150-F107</f>
        <v>17335.26900000067</v>
      </c>
      <c r="G154" s="56">
        <f t="shared" si="49"/>
        <v>-233962.49900000019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0">D150-D108</f>
        <v>0</v>
      </c>
      <c r="E155" s="59">
        <f t="shared" si="50"/>
        <v>-168266.43299999996</v>
      </c>
      <c r="F155" s="59">
        <f t="shared" ref="F155:G155" si="51">F150-F108</f>
        <v>108358.21400000068</v>
      </c>
      <c r="G155" s="59">
        <f t="shared" si="51"/>
        <v>-206762.49900000019</v>
      </c>
    </row>
    <row r="156" spans="1:7">
      <c r="A156" s="51" t="s">
        <v>391</v>
      </c>
      <c r="B156" s="46"/>
      <c r="C156" s="46" t="s">
        <v>35</v>
      </c>
      <c r="D156" s="47">
        <f t="shared" ref="D156:E156" si="52">D135+D136-D137+D141-D142</f>
        <v>0</v>
      </c>
      <c r="E156" s="47">
        <f t="shared" si="52"/>
        <v>0</v>
      </c>
      <c r="F156" s="47">
        <f t="shared" ref="F156:G156" si="53">F135+F136-F137+F141-F142</f>
        <v>6305341.7097100001</v>
      </c>
      <c r="G156" s="47">
        <f t="shared" si="53"/>
        <v>0</v>
      </c>
    </row>
    <row r="157" spans="1:7">
      <c r="A157" s="233" t="s">
        <v>399</v>
      </c>
      <c r="B157" s="48"/>
      <c r="C157" s="48" t="s">
        <v>132</v>
      </c>
      <c r="D157" s="241">
        <f t="shared" ref="D157:E157" si="54">IF(D177=0,0,D156/D177)</f>
        <v>0</v>
      </c>
      <c r="E157" s="241">
        <f t="shared" si="54"/>
        <v>0</v>
      </c>
      <c r="F157" s="241">
        <f t="shared" ref="F157:G157" si="55">IF(F177=0,0,F156/F177)</f>
        <v>1.6316581699025672</v>
      </c>
      <c r="G157" s="241">
        <f t="shared" si="55"/>
        <v>0</v>
      </c>
    </row>
    <row r="158" spans="1:7">
      <c r="A158" s="51" t="s">
        <v>392</v>
      </c>
      <c r="B158" s="46"/>
      <c r="C158" s="46" t="s">
        <v>393</v>
      </c>
      <c r="D158" s="47">
        <f t="shared" ref="D158:E158" si="56">D133-D142-D111</f>
        <v>0</v>
      </c>
      <c r="E158" s="47">
        <f t="shared" si="56"/>
        <v>0</v>
      </c>
      <c r="F158" s="47">
        <f t="shared" ref="F158:G158" si="57">F133-F142-F111</f>
        <v>2034216.3463799991</v>
      </c>
      <c r="G158" s="47">
        <f t="shared" si="57"/>
        <v>0</v>
      </c>
    </row>
    <row r="159" spans="1:7">
      <c r="A159" s="38" t="s">
        <v>395</v>
      </c>
      <c r="B159" s="19"/>
      <c r="C159" s="19" t="s">
        <v>394</v>
      </c>
      <c r="D159" s="40">
        <f t="shared" ref="D159:E159" si="58">D121-D123-D124-D142-D145</f>
        <v>0</v>
      </c>
      <c r="E159" s="40">
        <f t="shared" si="58"/>
        <v>0</v>
      </c>
      <c r="F159" s="40">
        <f t="shared" ref="F159:G159" si="59">F121-F123-F124-F142-F145</f>
        <v>-772231.06272999942</v>
      </c>
      <c r="G159" s="40">
        <f t="shared" si="59"/>
        <v>0</v>
      </c>
    </row>
    <row r="160" spans="1:7">
      <c r="A160" s="38" t="s">
        <v>400</v>
      </c>
      <c r="B160" s="19"/>
      <c r="C160" s="19" t="s">
        <v>115</v>
      </c>
      <c r="D160" s="240" t="str">
        <f t="shared" ref="D160:E160" si="60">IF(D175=0,"-",1000*D158/D175)</f>
        <v>-</v>
      </c>
      <c r="E160" s="240">
        <f t="shared" si="60"/>
        <v>0</v>
      </c>
      <c r="F160" s="240">
        <f t="shared" ref="F160:G160" si="61">IF(F175=0,"-",1000*F158/F175)</f>
        <v>10448.113460299846</v>
      </c>
      <c r="G160" s="240">
        <f t="shared" si="61"/>
        <v>0</v>
      </c>
    </row>
    <row r="161" spans="1:7">
      <c r="A161" s="38" t="s">
        <v>400</v>
      </c>
      <c r="B161" s="19"/>
      <c r="C161" s="19" t="s">
        <v>139</v>
      </c>
      <c r="D161" s="40">
        <f t="shared" ref="D161:E161" si="62">IF(D175=0,0,1000*(D159/D175))</f>
        <v>0</v>
      </c>
      <c r="E161" s="40">
        <f t="shared" si="62"/>
        <v>0</v>
      </c>
      <c r="F161" s="40">
        <f t="shared" ref="F161:G161" si="63">IF(F175=0,0,1000*(F159/F175))</f>
        <v>-3966.3223507809539</v>
      </c>
      <c r="G161" s="40">
        <f t="shared" si="63"/>
        <v>0</v>
      </c>
    </row>
    <row r="162" spans="1:7">
      <c r="A162" s="233" t="s">
        <v>401</v>
      </c>
      <c r="B162" s="48"/>
      <c r="C162" s="48" t="s">
        <v>116</v>
      </c>
      <c r="D162" s="241">
        <f t="shared" ref="D162:E162" si="64">IF((D22+D23+D65+D66)=0,0,D158/(D22+D23+D65+D66))</f>
        <v>0</v>
      </c>
      <c r="E162" s="241">
        <f t="shared" si="64"/>
        <v>0</v>
      </c>
      <c r="F162" s="241">
        <f t="shared" ref="F162:G162" si="65">IF((F22+F23+F65+F66)=0,0,F158/(F22+F23+F65+F66))</f>
        <v>0.81979221653482748</v>
      </c>
      <c r="G162" s="241">
        <f t="shared" si="65"/>
        <v>0</v>
      </c>
    </row>
    <row r="163" spans="1:7">
      <c r="A163" s="38" t="s">
        <v>409</v>
      </c>
      <c r="B163" s="19"/>
      <c r="C163" s="19" t="s">
        <v>36</v>
      </c>
      <c r="D163" s="55">
        <f t="shared" ref="D163:E163" si="66">D145</f>
        <v>0</v>
      </c>
      <c r="E163" s="55">
        <f t="shared" si="66"/>
        <v>0</v>
      </c>
      <c r="F163" s="55">
        <f t="shared" ref="F163:G163" si="67">F145</f>
        <v>3671545.61522</v>
      </c>
      <c r="G163" s="55">
        <f t="shared" si="67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0.58123816365579994</v>
      </c>
      <c r="G164" s="245">
        <f>IF(G178=0,0,G146/G178)</f>
        <v>0</v>
      </c>
    </row>
    <row r="165" spans="1:7">
      <c r="A165" s="234" t="s">
        <v>493</v>
      </c>
      <c r="B165" s="34"/>
      <c r="C165" s="34" t="s">
        <v>118</v>
      </c>
      <c r="D165" s="259">
        <f t="shared" ref="D165:E165" si="68">IF(D177=0,0,D180/D177)</f>
        <v>0</v>
      </c>
      <c r="E165" s="259">
        <f t="shared" si="68"/>
        <v>5.1829937431141337E-2</v>
      </c>
      <c r="F165" s="259">
        <f t="shared" ref="F165:G165" si="69">IF(F177=0,0,F180/F177)</f>
        <v>5.6739457784052275E-2</v>
      </c>
      <c r="G165" s="259">
        <f t="shared" si="69"/>
        <v>4.8951169270808045E-2</v>
      </c>
    </row>
    <row r="166" spans="1:7">
      <c r="A166" s="38" t="s">
        <v>411</v>
      </c>
      <c r="B166" s="19"/>
      <c r="C166" s="19" t="s">
        <v>20</v>
      </c>
      <c r="D166" s="55">
        <f t="shared" ref="D166:E166" si="70">D55</f>
        <v>0</v>
      </c>
      <c r="E166" s="55">
        <f t="shared" si="70"/>
        <v>146643.96900000004</v>
      </c>
      <c r="F166" s="55">
        <f t="shared" ref="F166:G166" si="71">F55</f>
        <v>208827.43700000001</v>
      </c>
      <c r="G166" s="55">
        <f t="shared" si="71"/>
        <v>167763.15400000004</v>
      </c>
    </row>
    <row r="167" spans="1:7">
      <c r="A167" s="233" t="s">
        <v>410</v>
      </c>
      <c r="B167" s="48"/>
      <c r="C167" s="48" t="s">
        <v>119</v>
      </c>
      <c r="D167" s="241">
        <f t="shared" ref="D167:E167" si="72">IF(0=D111,0,(D44+D45+D46+D47+D48)/D111)</f>
        <v>0</v>
      </c>
      <c r="E167" s="241">
        <f t="shared" si="72"/>
        <v>0</v>
      </c>
      <c r="F167" s="241">
        <f t="shared" ref="F167:G167" si="73">IF(0=F111,0,(F44+F45+F46+F47+F48)/F111)</f>
        <v>5.218647274016338E-2</v>
      </c>
      <c r="G167" s="241">
        <f t="shared" si="73"/>
        <v>0</v>
      </c>
    </row>
    <row r="168" spans="1:7">
      <c r="A168" s="38" t="s">
        <v>396</v>
      </c>
      <c r="B168" s="46"/>
      <c r="C168" s="46" t="s">
        <v>397</v>
      </c>
      <c r="D168" s="55">
        <f t="shared" ref="D168:E168" si="74">D38-D44</f>
        <v>0</v>
      </c>
      <c r="E168" s="55">
        <f t="shared" si="74"/>
        <v>57203.320000000007</v>
      </c>
      <c r="F168" s="55">
        <f t="shared" ref="F168:G168" si="75">F38-F44</f>
        <v>39736.824000000001</v>
      </c>
      <c r="G168" s="55">
        <f t="shared" si="75"/>
        <v>43993.180999999997</v>
      </c>
    </row>
    <row r="169" spans="1:7">
      <c r="A169" s="233" t="s">
        <v>398</v>
      </c>
      <c r="B169" s="48"/>
      <c r="C169" s="48" t="s">
        <v>120</v>
      </c>
      <c r="D169" s="258">
        <f t="shared" ref="D169:E169" si="76">IF(D177=0,0,D168/D177)</f>
        <v>0</v>
      </c>
      <c r="E169" s="258">
        <f t="shared" si="76"/>
        <v>1.542255243351697E-2</v>
      </c>
      <c r="F169" s="258">
        <f t="shared" ref="F169:G169" si="77">IF(F177=0,0,F168/F177)</f>
        <v>1.0282854841274326E-2</v>
      </c>
      <c r="G169" s="258">
        <f t="shared" si="77"/>
        <v>1.1729055525543522E-2</v>
      </c>
    </row>
    <row r="170" spans="1:7">
      <c r="A170" s="38" t="s">
        <v>366</v>
      </c>
      <c r="B170" s="19"/>
      <c r="C170" s="19" t="s">
        <v>364</v>
      </c>
      <c r="D170" s="55">
        <f t="shared" ref="D170:E170" si="78">SUM(D82:D87)+SUM(D89:D94)</f>
        <v>0</v>
      </c>
      <c r="E170" s="55">
        <f t="shared" si="78"/>
        <v>401187</v>
      </c>
      <c r="F170" s="55">
        <f t="shared" ref="F170:G170" si="79">SUM(F82:F87)+SUM(F89:F94)</f>
        <v>477369.07300000003</v>
      </c>
      <c r="G170" s="55">
        <f t="shared" si="79"/>
        <v>386804.5</v>
      </c>
    </row>
    <row r="171" spans="1:7">
      <c r="A171" s="38" t="s">
        <v>367</v>
      </c>
      <c r="B171" s="19"/>
      <c r="C171" s="19" t="s">
        <v>365</v>
      </c>
      <c r="D171" s="40">
        <f t="shared" ref="D171:E171" si="80">SUM(D96:D102)+SUM(D104:D105)</f>
        <v>0</v>
      </c>
      <c r="E171" s="40">
        <f t="shared" si="80"/>
        <v>28250</v>
      </c>
      <c r="F171" s="40">
        <f t="shared" ref="F171:G171" si="81">SUM(F96:F102)+SUM(F104:F105)</f>
        <v>229811.815</v>
      </c>
      <c r="G171" s="40">
        <f t="shared" si="81"/>
        <v>11000</v>
      </c>
    </row>
    <row r="172" spans="1:7">
      <c r="A172" s="234" t="s">
        <v>368</v>
      </c>
      <c r="B172" s="34"/>
      <c r="C172" s="34" t="s">
        <v>121</v>
      </c>
      <c r="D172" s="259">
        <f t="shared" ref="D172:E172" si="82">IF(D184=0,0,D170/D184)</f>
        <v>0</v>
      </c>
      <c r="E172" s="259">
        <f t="shared" si="82"/>
        <v>0.10112256724314601</v>
      </c>
      <c r="F172" s="259">
        <f t="shared" ref="F172:G172" si="83">IF(F184=0,0,F170/F184)</f>
        <v>0.11945900140604723</v>
      </c>
      <c r="G172" s="259">
        <f t="shared" si="83"/>
        <v>9.6875578105111576E-2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1"/>
      <c r="E175" s="340">
        <v>192560</v>
      </c>
      <c r="F175" s="340">
        <v>194697</v>
      </c>
      <c r="G175" s="340">
        <v>194697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4">SUM(D22:D32)+SUM(D44:D53)+SUM(D65:D72)+D75</f>
        <v>0</v>
      </c>
      <c r="E177" s="39">
        <f t="shared" si="84"/>
        <v>3709069.5750000002</v>
      </c>
      <c r="F177" s="39">
        <f t="shared" ref="F177:G177" si="85">SUM(F22:F32)+SUM(F44:F53)+SUM(F65:F72)+F75</f>
        <v>3864376.6360000009</v>
      </c>
      <c r="G177" s="39">
        <f t="shared" si="85"/>
        <v>3750786.3190000001</v>
      </c>
    </row>
    <row r="178" spans="1:7">
      <c r="A178" s="236" t="s">
        <v>385</v>
      </c>
      <c r="B178" s="23"/>
      <c r="C178" s="23" t="s">
        <v>100</v>
      </c>
      <c r="D178" s="39">
        <f t="shared" ref="D178:E178" si="86">D78-D17-D20-D59-D63-D64</f>
        <v>0</v>
      </c>
      <c r="E178" s="39">
        <f t="shared" si="86"/>
        <v>3701336.5320000001</v>
      </c>
      <c r="F178" s="39">
        <f t="shared" ref="F178:G178" si="87">F78-F17-F20-F59-F63-F64</f>
        <v>3778987.0329999998</v>
      </c>
      <c r="G178" s="39">
        <f t="shared" si="87"/>
        <v>3748556.5130000003</v>
      </c>
    </row>
    <row r="179" spans="1:7">
      <c r="A179" s="236"/>
      <c r="B179" s="23"/>
      <c r="C179" s="23" t="s">
        <v>388</v>
      </c>
      <c r="D179" s="39">
        <f t="shared" ref="D179:E179" si="88">D178+D170</f>
        <v>0</v>
      </c>
      <c r="E179" s="39">
        <f t="shared" si="88"/>
        <v>4102523.5320000001</v>
      </c>
      <c r="F179" s="39">
        <f t="shared" ref="F179:G179" si="89">F178+F170</f>
        <v>4256356.1059999997</v>
      </c>
      <c r="G179" s="39">
        <f t="shared" si="89"/>
        <v>4135361.0130000003</v>
      </c>
    </row>
    <row r="180" spans="1:7">
      <c r="A180" s="236" t="s">
        <v>389</v>
      </c>
      <c r="B180" s="23"/>
      <c r="C180" s="23" t="s">
        <v>390</v>
      </c>
      <c r="D180" s="39">
        <f t="shared" ref="D180:E180" si="90">D38-D44+D8+D9+D10+D16-D33</f>
        <v>0</v>
      </c>
      <c r="E180" s="39">
        <f t="shared" si="90"/>
        <v>192240.84400000001</v>
      </c>
      <c r="F180" s="39">
        <f t="shared" ref="F180:G180" si="91">F38-F44+F8+F9+F10+F16-F33</f>
        <v>219262.63499999998</v>
      </c>
      <c r="G180" s="39">
        <f t="shared" si="91"/>
        <v>183605.37600000002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2">D22+D23+D24+D25+D26+D29+SUM(D44:D47)+SUM(D49:D53)-D54+D32-D33+SUM(D65:D70)+D72</f>
        <v>0</v>
      </c>
      <c r="E181" s="73">
        <f t="shared" si="92"/>
        <v>3709069.5750000002</v>
      </c>
      <c r="F181" s="73">
        <f t="shared" ref="F181:G181" si="93">F22+F23+F24+F25+F26+F29+SUM(F44:F47)+SUM(F49:F53)-F54+F32-F33+SUM(F65:F70)+F72</f>
        <v>3765012.1810000008</v>
      </c>
      <c r="G181" s="73">
        <f t="shared" si="93"/>
        <v>3748036.3190000001</v>
      </c>
    </row>
    <row r="182" spans="1:7">
      <c r="A182" s="237" t="s">
        <v>375</v>
      </c>
      <c r="B182" s="71"/>
      <c r="C182" s="71" t="s">
        <v>170</v>
      </c>
      <c r="D182" s="73">
        <f t="shared" ref="D182:E182" si="94">D181+D171</f>
        <v>0</v>
      </c>
      <c r="E182" s="73">
        <f t="shared" si="94"/>
        <v>3737319.5750000002</v>
      </c>
      <c r="F182" s="73">
        <f t="shared" ref="F182:G182" si="95">F181+F171</f>
        <v>3994823.9960000007</v>
      </c>
      <c r="G182" s="73">
        <f t="shared" si="95"/>
        <v>3759036.3190000001</v>
      </c>
    </row>
    <row r="183" spans="1:7">
      <c r="A183" s="237" t="s">
        <v>369</v>
      </c>
      <c r="B183" s="71"/>
      <c r="C183" s="71" t="s">
        <v>370</v>
      </c>
      <c r="D183" s="73">
        <f t="shared" ref="D183" si="96">D4+D5-D7+D38+D39+D40+D41+D43+D13-D16+D57+D58+D60+D61+D62</f>
        <v>0</v>
      </c>
      <c r="E183" s="73">
        <f>E4+E5-E7+E38+E39+E40+E41+E43+E13-E16+E57+E58+E60+E62</f>
        <v>3566147.0079999999</v>
      </c>
      <c r="F183" s="73">
        <f t="shared" ref="F183:G183" si="97">F4+F5-F7+F38+F39+F40+F41+F43+F13-F16+F57+F58+F60+F62</f>
        <v>3518722.1999999997</v>
      </c>
      <c r="G183" s="73">
        <f t="shared" si="97"/>
        <v>3605992.3180000004</v>
      </c>
    </row>
    <row r="184" spans="1:7">
      <c r="A184" s="237" t="s">
        <v>373</v>
      </c>
      <c r="B184" s="71"/>
      <c r="C184" s="71" t="s">
        <v>171</v>
      </c>
      <c r="D184" s="73">
        <f t="shared" ref="D184:E184" si="98">D183+D170</f>
        <v>0</v>
      </c>
      <c r="E184" s="73">
        <f t="shared" si="98"/>
        <v>3967334.0079999999</v>
      </c>
      <c r="F184" s="73">
        <f t="shared" ref="F184:G184" si="99">F183+F170</f>
        <v>3996091.2729999996</v>
      </c>
      <c r="G184" s="73">
        <f t="shared" si="99"/>
        <v>3992796.8180000004</v>
      </c>
    </row>
    <row r="185" spans="1:7">
      <c r="A185" s="237"/>
      <c r="B185" s="71"/>
      <c r="C185" s="71" t="s">
        <v>405</v>
      </c>
      <c r="D185" s="73">
        <f t="shared" ref="D185:E185" si="100">D181-D183</f>
        <v>0</v>
      </c>
      <c r="E185" s="73">
        <f t="shared" si="100"/>
        <v>142922.56700000027</v>
      </c>
      <c r="F185" s="73">
        <f t="shared" ref="F185:G185" si="101">F181-F183</f>
        <v>246289.98100000108</v>
      </c>
      <c r="G185" s="73">
        <f t="shared" si="101"/>
        <v>142044.0009999997</v>
      </c>
    </row>
    <row r="186" spans="1:7">
      <c r="A186" s="237"/>
      <c r="B186" s="71"/>
      <c r="C186" s="71" t="s">
        <v>406</v>
      </c>
      <c r="D186" s="73">
        <f t="shared" ref="D186:E186" si="102">D182-D184</f>
        <v>0</v>
      </c>
      <c r="E186" s="73">
        <f t="shared" si="102"/>
        <v>-230014.43299999973</v>
      </c>
      <c r="F186" s="73">
        <f t="shared" ref="F186:G186" si="103">F182-F184</f>
        <v>-1267.2769999988377</v>
      </c>
      <c r="G186" s="73">
        <f t="shared" si="103"/>
        <v>-233760.4990000003</v>
      </c>
    </row>
    <row r="188" spans="1:7">
      <c r="A188" s="802" t="s">
        <v>226</v>
      </c>
      <c r="B188" s="803"/>
      <c r="C188" s="803"/>
    </row>
    <row r="189" spans="1:7">
      <c r="A189" s="91" t="s">
        <v>488</v>
      </c>
      <c r="B189" s="91"/>
      <c r="C189" s="91"/>
    </row>
  </sheetData>
  <sheetProtection selectLockedCells="1" sort="0" autoFilter="0" pivotTables="0"/>
  <mergeCells count="3">
    <mergeCell ref="A3:C3"/>
    <mergeCell ref="A81:C81"/>
    <mergeCell ref="A188:C188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Y186"/>
  <sheetViews>
    <sheetView view="pageLayout" topLeftCell="A163" zoomScaleNormal="115" workbookViewId="0">
      <selection activeCell="D184" sqref="D184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5" width="11.5" style="1"/>
    <col min="6" max="6" width="9.6640625" style="1" customWidth="1"/>
    <col min="7" max="16384" width="11.5" style="1"/>
  </cols>
  <sheetData>
    <row r="1" spans="1:51" s="2" customFormat="1" ht="18" customHeight="1">
      <c r="A1" s="45" t="s">
        <v>3</v>
      </c>
      <c r="B1" s="45" t="s">
        <v>165</v>
      </c>
      <c r="C1" s="45" t="s">
        <v>166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1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1" s="62" customFormat="1" ht="12.75" customHeight="1">
      <c r="A4" s="148">
        <v>30</v>
      </c>
      <c r="B4" s="96"/>
      <c r="C4" s="97" t="s">
        <v>1</v>
      </c>
      <c r="D4" s="98">
        <v>633135.5</v>
      </c>
      <c r="E4" s="100">
        <v>641853.9</v>
      </c>
      <c r="F4" s="98">
        <v>632209.9</v>
      </c>
      <c r="G4" s="98">
        <v>634853.9</v>
      </c>
    </row>
    <row r="5" spans="1:51" s="62" customFormat="1" ht="12.75" customHeight="1">
      <c r="A5" s="101">
        <v>31</v>
      </c>
      <c r="B5" s="102"/>
      <c r="C5" s="103" t="s">
        <v>4</v>
      </c>
      <c r="D5" s="105">
        <v>236174.2</v>
      </c>
      <c r="E5" s="106">
        <v>254949.7</v>
      </c>
      <c r="F5" s="105">
        <v>250980.2</v>
      </c>
      <c r="G5" s="105">
        <v>251813.1</v>
      </c>
    </row>
    <row r="6" spans="1:51" s="62" customFormat="1" ht="12.75" customHeight="1">
      <c r="A6" s="107" t="s">
        <v>229</v>
      </c>
      <c r="B6" s="108"/>
      <c r="C6" s="109" t="s">
        <v>230</v>
      </c>
      <c r="D6" s="150">
        <v>25720.400000000001</v>
      </c>
      <c r="E6" s="155">
        <v>29870.5</v>
      </c>
      <c r="F6" s="150">
        <v>29229.8</v>
      </c>
      <c r="G6" s="150">
        <v>30948</v>
      </c>
    </row>
    <row r="7" spans="1:51" s="62" customFormat="1" ht="12.75" customHeight="1">
      <c r="A7" s="107" t="s">
        <v>371</v>
      </c>
      <c r="B7" s="108"/>
      <c r="C7" s="109" t="s">
        <v>372</v>
      </c>
      <c r="D7" s="150">
        <v>24774</v>
      </c>
      <c r="E7" s="155">
        <v>25531.200000000001</v>
      </c>
      <c r="F7" s="150">
        <v>26559.9</v>
      </c>
      <c r="G7" s="150">
        <v>25340.1</v>
      </c>
    </row>
    <row r="8" spans="1:51" s="62" customFormat="1" ht="12.75" customHeight="1">
      <c r="A8" s="145">
        <v>330</v>
      </c>
      <c r="B8" s="102"/>
      <c r="C8" s="103" t="s">
        <v>231</v>
      </c>
      <c r="D8" s="105">
        <v>59893.8</v>
      </c>
      <c r="E8" s="113">
        <v>63388.800000000003</v>
      </c>
      <c r="F8" s="105">
        <v>69465.3</v>
      </c>
      <c r="G8" s="105">
        <v>71857.8</v>
      </c>
    </row>
    <row r="9" spans="1:51" s="62" customFormat="1" ht="12.75" customHeight="1">
      <c r="A9" s="145">
        <v>332</v>
      </c>
      <c r="B9" s="102"/>
      <c r="C9" s="103" t="s">
        <v>232</v>
      </c>
      <c r="D9" s="105">
        <v>0</v>
      </c>
      <c r="E9" s="113">
        <v>0</v>
      </c>
      <c r="F9" s="105">
        <v>0</v>
      </c>
      <c r="G9" s="105">
        <v>0</v>
      </c>
    </row>
    <row r="10" spans="1:51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05">
        <v>0</v>
      </c>
    </row>
    <row r="11" spans="1:51" s="62" customFormat="1" ht="12.75" customHeight="1">
      <c r="A11" s="101">
        <v>350</v>
      </c>
      <c r="B11" s="102"/>
      <c r="C11" s="103" t="s">
        <v>234</v>
      </c>
      <c r="D11" s="105">
        <v>23463.5</v>
      </c>
      <c r="E11" s="113">
        <v>23234</v>
      </c>
      <c r="F11" s="105">
        <v>22962.9</v>
      </c>
      <c r="G11" s="105">
        <v>22721</v>
      </c>
    </row>
    <row r="12" spans="1:51" s="63" customFormat="1" ht="14">
      <c r="A12" s="114">
        <v>351</v>
      </c>
      <c r="B12" s="115"/>
      <c r="C12" s="116" t="s">
        <v>272</v>
      </c>
      <c r="D12" s="119">
        <v>0</v>
      </c>
      <c r="E12" s="120">
        <v>56.5</v>
      </c>
      <c r="F12" s="119">
        <v>0</v>
      </c>
      <c r="G12" s="119">
        <v>0</v>
      </c>
    </row>
    <row r="13" spans="1:51" s="62" customFormat="1" ht="12.75" customHeight="1">
      <c r="A13" s="101">
        <v>36</v>
      </c>
      <c r="B13" s="102"/>
      <c r="C13" s="103" t="s">
        <v>5</v>
      </c>
      <c r="D13" s="150">
        <v>1393313</v>
      </c>
      <c r="E13" s="155">
        <v>1391278</v>
      </c>
      <c r="F13" s="150">
        <v>1403759.5</v>
      </c>
      <c r="G13" s="150">
        <v>1431664.9</v>
      </c>
    </row>
    <row r="14" spans="1:51" s="62" customFormat="1" ht="12.75" customHeight="1">
      <c r="A14" s="121" t="s">
        <v>173</v>
      </c>
      <c r="B14" s="102"/>
      <c r="C14" s="122" t="s">
        <v>174</v>
      </c>
      <c r="D14" s="150">
        <v>232136</v>
      </c>
      <c r="E14" s="155">
        <v>251894</v>
      </c>
      <c r="F14" s="150">
        <v>243629.7</v>
      </c>
      <c r="G14" s="150">
        <v>81545</v>
      </c>
    </row>
    <row r="15" spans="1:51" s="62" customFormat="1" ht="12.75" customHeight="1">
      <c r="A15" s="121" t="s">
        <v>175</v>
      </c>
      <c r="B15" s="102"/>
      <c r="C15" s="122" t="s">
        <v>176</v>
      </c>
      <c r="D15" s="150">
        <v>147766</v>
      </c>
      <c r="E15" s="155">
        <v>171732</v>
      </c>
      <c r="F15" s="150">
        <v>179164.9</v>
      </c>
      <c r="G15" s="150">
        <v>96022</v>
      </c>
    </row>
    <row r="16" spans="1:51" s="64" customFormat="1" ht="26.25" customHeight="1">
      <c r="A16" s="121" t="s">
        <v>146</v>
      </c>
      <c r="B16" s="123"/>
      <c r="C16" s="122" t="s">
        <v>148</v>
      </c>
      <c r="D16" s="125">
        <v>54478</v>
      </c>
      <c r="E16" s="156">
        <v>0</v>
      </c>
      <c r="F16" s="125">
        <v>112.8</v>
      </c>
      <c r="G16" s="125">
        <v>1800</v>
      </c>
    </row>
    <row r="17" spans="1:7" s="65" customFormat="1">
      <c r="A17" s="101">
        <v>37</v>
      </c>
      <c r="B17" s="102"/>
      <c r="C17" s="103" t="s">
        <v>6</v>
      </c>
      <c r="D17" s="128">
        <v>92390.5</v>
      </c>
      <c r="E17" s="157">
        <v>91091.948000000004</v>
      </c>
      <c r="F17" s="128">
        <v>95811.4</v>
      </c>
      <c r="G17" s="128">
        <v>95855.1</v>
      </c>
    </row>
    <row r="18" spans="1:7" s="65" customFormat="1">
      <c r="A18" s="112" t="s">
        <v>196</v>
      </c>
      <c r="B18" s="108"/>
      <c r="C18" s="109" t="s">
        <v>197</v>
      </c>
      <c r="D18" s="129">
        <v>637</v>
      </c>
      <c r="E18" s="158">
        <v>817.6</v>
      </c>
      <c r="F18" s="129">
        <v>769.3</v>
      </c>
      <c r="G18" s="129">
        <v>925</v>
      </c>
    </row>
    <row r="19" spans="1:7" s="65" customFormat="1">
      <c r="A19" s="112" t="s">
        <v>198</v>
      </c>
      <c r="B19" s="108"/>
      <c r="C19" s="109" t="s">
        <v>199</v>
      </c>
      <c r="D19" s="129">
        <v>55538</v>
      </c>
      <c r="E19" s="158">
        <v>55668</v>
      </c>
      <c r="F19" s="129">
        <v>55381.8</v>
      </c>
      <c r="G19" s="129">
        <v>59584.9</v>
      </c>
    </row>
    <row r="20" spans="1:7" s="62" customFormat="1" ht="12.75" customHeight="1">
      <c r="A20" s="131">
        <v>39</v>
      </c>
      <c r="B20" s="132"/>
      <c r="C20" s="133" t="s">
        <v>8</v>
      </c>
      <c r="D20" s="135">
        <v>175.9</v>
      </c>
      <c r="E20" s="159">
        <v>174.6</v>
      </c>
      <c r="F20" s="135">
        <v>178.9</v>
      </c>
      <c r="G20" s="135">
        <v>175.5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2438370.5</v>
      </c>
      <c r="E21" s="15">
        <f t="shared" si="0"/>
        <v>2465852.8480000002</v>
      </c>
      <c r="F21" s="15">
        <f t="shared" ref="F21:G21" si="1">F4+F5+SUM(F8:F13)+F17</f>
        <v>2475189.1999999997</v>
      </c>
      <c r="G21" s="15">
        <f t="shared" si="1"/>
        <v>2508765.8000000003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05">
        <v>1371859.5</v>
      </c>
      <c r="E22" s="113">
        <v>1386985</v>
      </c>
      <c r="F22" s="105">
        <v>1389772.7</v>
      </c>
      <c r="G22" s="105">
        <v>1450850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05">
        <v>187404.4</v>
      </c>
      <c r="E23" s="113">
        <v>190400</v>
      </c>
      <c r="F23" s="105">
        <v>190184.2</v>
      </c>
      <c r="G23" s="105">
        <v>191700</v>
      </c>
    </row>
    <row r="24" spans="1:7" s="67" customFormat="1" ht="12.75" customHeight="1">
      <c r="A24" s="101">
        <v>41</v>
      </c>
      <c r="B24" s="102"/>
      <c r="C24" s="103" t="s">
        <v>9</v>
      </c>
      <c r="D24" s="105">
        <v>30735.8</v>
      </c>
      <c r="E24" s="113">
        <v>30643.282999999999</v>
      </c>
      <c r="F24" s="105">
        <v>31173.5</v>
      </c>
      <c r="G24" s="105">
        <v>30683</v>
      </c>
    </row>
    <row r="25" spans="1:7" s="62" customFormat="1" ht="12.75" customHeight="1">
      <c r="A25" s="161">
        <v>42</v>
      </c>
      <c r="B25" s="162"/>
      <c r="C25" s="103" t="s">
        <v>10</v>
      </c>
      <c r="D25" s="105">
        <v>142207.4</v>
      </c>
      <c r="E25" s="113">
        <v>153971.39799999999</v>
      </c>
      <c r="F25" s="105">
        <v>137046.9</v>
      </c>
      <c r="G25" s="105">
        <v>150492.20000000001</v>
      </c>
    </row>
    <row r="26" spans="1:7" s="68" customFormat="1" ht="12.75" customHeight="1">
      <c r="A26" s="114">
        <v>430</v>
      </c>
      <c r="B26" s="102"/>
      <c r="C26" s="103" t="s">
        <v>11</v>
      </c>
      <c r="D26" s="128">
        <v>1875.2</v>
      </c>
      <c r="E26" s="157">
        <v>1361.3</v>
      </c>
      <c r="F26" s="128">
        <v>2044.2</v>
      </c>
      <c r="G26" s="128">
        <v>1533.8</v>
      </c>
    </row>
    <row r="27" spans="1:7" s="68" customFormat="1" ht="12.75" customHeight="1">
      <c r="A27" s="114">
        <v>431</v>
      </c>
      <c r="B27" s="102"/>
      <c r="C27" s="103" t="s">
        <v>377</v>
      </c>
      <c r="D27" s="128">
        <v>0</v>
      </c>
      <c r="E27" s="157">
        <v>0</v>
      </c>
      <c r="F27" s="128">
        <v>0</v>
      </c>
      <c r="G27" s="128">
        <v>0</v>
      </c>
    </row>
    <row r="28" spans="1:7" s="68" customFormat="1" ht="12.75" customHeight="1">
      <c r="A28" s="114">
        <v>432</v>
      </c>
      <c r="B28" s="102"/>
      <c r="C28" s="103" t="s">
        <v>378</v>
      </c>
      <c r="D28" s="128">
        <v>0</v>
      </c>
      <c r="E28" s="157">
        <v>0</v>
      </c>
      <c r="F28" s="128">
        <v>0</v>
      </c>
      <c r="G28" s="128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128">
        <v>76.7</v>
      </c>
      <c r="E29" s="157">
        <v>198.5</v>
      </c>
      <c r="F29" s="128">
        <v>228.7</v>
      </c>
      <c r="G29" s="128">
        <v>196</v>
      </c>
    </row>
    <row r="30" spans="1:7" s="62" customFormat="1" ht="14">
      <c r="A30" s="114">
        <v>450</v>
      </c>
      <c r="B30" s="115"/>
      <c r="C30" s="116" t="s">
        <v>271</v>
      </c>
      <c r="D30" s="104">
        <v>1636.2</v>
      </c>
      <c r="E30" s="106">
        <v>2271.9</v>
      </c>
      <c r="F30" s="104">
        <v>1845</v>
      </c>
      <c r="G30" s="104">
        <v>2323.8000000000002</v>
      </c>
    </row>
    <row r="31" spans="1:7" s="63" customFormat="1" ht="14">
      <c r="A31" s="114">
        <v>451</v>
      </c>
      <c r="B31" s="115"/>
      <c r="C31" s="116" t="s">
        <v>14</v>
      </c>
      <c r="D31" s="117">
        <v>0.5</v>
      </c>
      <c r="E31" s="249">
        <v>69951.58</v>
      </c>
      <c r="F31" s="117">
        <v>59410.9</v>
      </c>
      <c r="G31" s="117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63">
        <v>450409.9</v>
      </c>
      <c r="E32" s="164">
        <v>446409</v>
      </c>
      <c r="F32" s="105">
        <v>446531.3</v>
      </c>
      <c r="G32" s="105">
        <v>466069.3</v>
      </c>
    </row>
    <row r="33" spans="1:7" s="63" customFormat="1" ht="12.75" customHeight="1">
      <c r="A33" s="112" t="s">
        <v>16</v>
      </c>
      <c r="B33" s="108"/>
      <c r="C33" s="109" t="s">
        <v>17</v>
      </c>
      <c r="D33" s="150">
        <v>0</v>
      </c>
      <c r="E33" s="155">
        <v>0</v>
      </c>
      <c r="F33" s="150">
        <v>0</v>
      </c>
      <c r="G33" s="150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05">
        <v>92390.5</v>
      </c>
      <c r="E34" s="113">
        <v>91091.948000000004</v>
      </c>
      <c r="F34" s="105">
        <v>95811.4</v>
      </c>
      <c r="G34" s="105">
        <v>95855.1</v>
      </c>
    </row>
    <row r="35" spans="1:7" s="62" customFormat="1" ht="15" customHeight="1">
      <c r="A35" s="131">
        <v>49</v>
      </c>
      <c r="B35" s="132"/>
      <c r="C35" s="133" t="s">
        <v>26</v>
      </c>
      <c r="D35" s="135">
        <v>175.8</v>
      </c>
      <c r="E35" s="159">
        <v>174.67400000000001</v>
      </c>
      <c r="F35" s="135">
        <v>178.9</v>
      </c>
      <c r="G35" s="135">
        <v>175.5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2278596.0999999996</v>
      </c>
      <c r="E36" s="15">
        <f t="shared" si="2"/>
        <v>2373283.909</v>
      </c>
      <c r="F36" s="15">
        <f t="shared" ref="F36:G36" si="3">F22+F23+F24+F25+F26+F27+F28+F29+F30+F31+F32+F34</f>
        <v>2354048.7999999993</v>
      </c>
      <c r="G36" s="15">
        <f t="shared" si="3"/>
        <v>2389703.2000000002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-159774.40000000037</v>
      </c>
      <c r="E37" s="16">
        <f t="shared" si="4"/>
        <v>-92568.939000000246</v>
      </c>
      <c r="F37" s="16">
        <f t="shared" ref="F37:G37" si="5">F36-F21</f>
        <v>-121140.40000000037</v>
      </c>
      <c r="G37" s="16">
        <f t="shared" si="5"/>
        <v>-119062.60000000009</v>
      </c>
    </row>
    <row r="38" spans="1:7" s="63" customFormat="1" ht="15" customHeight="1">
      <c r="A38" s="145">
        <v>340</v>
      </c>
      <c r="B38" s="102"/>
      <c r="C38" s="103" t="s">
        <v>78</v>
      </c>
      <c r="D38" s="105">
        <v>29589.599999999999</v>
      </c>
      <c r="E38" s="113">
        <v>28724.6</v>
      </c>
      <c r="F38" s="105">
        <v>29004.400000000001</v>
      </c>
      <c r="G38" s="105">
        <v>28474.5</v>
      </c>
    </row>
    <row r="39" spans="1:7" s="63" customFormat="1" ht="15" customHeight="1">
      <c r="A39" s="145">
        <v>341</v>
      </c>
      <c r="B39" s="102"/>
      <c r="C39" s="103" t="s">
        <v>237</v>
      </c>
      <c r="D39" s="105">
        <v>172</v>
      </c>
      <c r="E39" s="113">
        <v>70.3</v>
      </c>
      <c r="F39" s="105">
        <v>65.7</v>
      </c>
      <c r="G39" s="105">
        <v>20.6</v>
      </c>
    </row>
    <row r="40" spans="1:7" s="63" customFormat="1" ht="15" customHeight="1">
      <c r="A40" s="145">
        <v>342</v>
      </c>
      <c r="B40" s="102"/>
      <c r="C40" s="103" t="s">
        <v>238</v>
      </c>
      <c r="D40" s="105">
        <v>797.9</v>
      </c>
      <c r="E40" s="113">
        <v>1966.7</v>
      </c>
      <c r="F40" s="105">
        <v>782.7</v>
      </c>
      <c r="G40" s="105">
        <v>1070.3</v>
      </c>
    </row>
    <row r="41" spans="1:7" s="63" customFormat="1" ht="15" customHeight="1">
      <c r="A41" s="145">
        <v>343</v>
      </c>
      <c r="B41" s="102"/>
      <c r="C41" s="103" t="s">
        <v>239</v>
      </c>
      <c r="D41" s="105">
        <v>754.1</v>
      </c>
      <c r="E41" s="113">
        <v>781.9</v>
      </c>
      <c r="F41" s="105">
        <v>742.1</v>
      </c>
      <c r="G41" s="105">
        <v>926.3</v>
      </c>
    </row>
    <row r="42" spans="1:7" s="63" customFormat="1" ht="15" customHeight="1">
      <c r="A42" s="145">
        <v>344</v>
      </c>
      <c r="B42" s="102"/>
      <c r="C42" s="103" t="s">
        <v>83</v>
      </c>
      <c r="D42" s="105">
        <v>1555.2</v>
      </c>
      <c r="E42" s="113">
        <v>0</v>
      </c>
      <c r="F42" s="105">
        <v>1157.3</v>
      </c>
      <c r="G42" s="105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05">
        <v>-91.4</v>
      </c>
      <c r="E43" s="113">
        <v>2000</v>
      </c>
      <c r="F43" s="105">
        <v>-482.9</v>
      </c>
      <c r="G43" s="105">
        <v>2000.1</v>
      </c>
    </row>
    <row r="44" spans="1:7" s="62" customFormat="1" ht="15" customHeight="1">
      <c r="A44" s="101">
        <v>440</v>
      </c>
      <c r="B44" s="102"/>
      <c r="C44" s="103" t="s">
        <v>79</v>
      </c>
      <c r="D44" s="105">
        <v>18590.3</v>
      </c>
      <c r="E44" s="113">
        <v>21079.289000000001</v>
      </c>
      <c r="F44" s="105">
        <v>22927.9</v>
      </c>
      <c r="G44" s="105">
        <v>17425.099999999999</v>
      </c>
    </row>
    <row r="45" spans="1:7" s="62" customFormat="1" ht="15" customHeight="1">
      <c r="A45" s="101">
        <v>441</v>
      </c>
      <c r="B45" s="102"/>
      <c r="C45" s="103" t="s">
        <v>80</v>
      </c>
      <c r="D45" s="105">
        <v>916.3</v>
      </c>
      <c r="E45" s="113">
        <v>1000</v>
      </c>
      <c r="F45" s="105">
        <v>3926.1</v>
      </c>
      <c r="G45" s="105">
        <v>1200</v>
      </c>
    </row>
    <row r="46" spans="1:7" s="62" customFormat="1" ht="15" customHeight="1">
      <c r="A46" s="101">
        <v>442</v>
      </c>
      <c r="B46" s="102"/>
      <c r="C46" s="103" t="s">
        <v>81</v>
      </c>
      <c r="D46" s="105">
        <v>4.3</v>
      </c>
      <c r="E46" s="113">
        <v>4</v>
      </c>
      <c r="F46" s="105">
        <v>4.3</v>
      </c>
      <c r="G46" s="105">
        <v>4</v>
      </c>
    </row>
    <row r="47" spans="1:7" s="62" customFormat="1" ht="15" customHeight="1">
      <c r="A47" s="101">
        <v>443</v>
      </c>
      <c r="B47" s="102"/>
      <c r="C47" s="103" t="s">
        <v>82</v>
      </c>
      <c r="D47" s="105">
        <v>24865.9</v>
      </c>
      <c r="E47" s="113">
        <v>9530</v>
      </c>
      <c r="F47" s="105">
        <v>15093.9</v>
      </c>
      <c r="G47" s="105">
        <v>9995</v>
      </c>
    </row>
    <row r="48" spans="1:7" s="62" customFormat="1" ht="15" customHeight="1">
      <c r="A48" s="101">
        <v>444</v>
      </c>
      <c r="B48" s="102"/>
      <c r="C48" s="103" t="s">
        <v>83</v>
      </c>
      <c r="D48" s="105">
        <v>96.4</v>
      </c>
      <c r="E48" s="113">
        <v>0</v>
      </c>
      <c r="F48" s="105">
        <v>284.7</v>
      </c>
      <c r="G48" s="105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05">
        <v>4075.9</v>
      </c>
      <c r="E49" s="113">
        <v>1310</v>
      </c>
      <c r="F49" s="105">
        <v>4066.1</v>
      </c>
      <c r="G49" s="105">
        <v>3950</v>
      </c>
    </row>
    <row r="50" spans="1:7" s="62" customFormat="1" ht="15" customHeight="1">
      <c r="A50" s="101">
        <v>446</v>
      </c>
      <c r="B50" s="102"/>
      <c r="C50" s="103" t="s">
        <v>85</v>
      </c>
      <c r="D50" s="105">
        <v>52330.3</v>
      </c>
      <c r="E50" s="113">
        <v>55320</v>
      </c>
      <c r="F50" s="105">
        <v>53239.4</v>
      </c>
      <c r="G50" s="105">
        <v>55160</v>
      </c>
    </row>
    <row r="51" spans="1:7" s="62" customFormat="1" ht="15" customHeight="1">
      <c r="A51" s="101">
        <v>447</v>
      </c>
      <c r="B51" s="102"/>
      <c r="C51" s="103" t="s">
        <v>86</v>
      </c>
      <c r="D51" s="105">
        <v>17290.7</v>
      </c>
      <c r="E51" s="113">
        <v>13112.1</v>
      </c>
      <c r="F51" s="105">
        <v>14465.5</v>
      </c>
      <c r="G51" s="105">
        <v>12842.1</v>
      </c>
    </row>
    <row r="52" spans="1:7" s="62" customFormat="1" ht="15" customHeight="1">
      <c r="A52" s="101">
        <v>448</v>
      </c>
      <c r="B52" s="102"/>
      <c r="C52" s="103" t="s">
        <v>87</v>
      </c>
      <c r="D52" s="105">
        <v>0</v>
      </c>
      <c r="E52" s="113">
        <v>0</v>
      </c>
      <c r="F52" s="105">
        <v>0</v>
      </c>
      <c r="G52" s="105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05">
        <v>32629.599999999999</v>
      </c>
      <c r="E53" s="113">
        <v>0</v>
      </c>
      <c r="F53" s="105">
        <v>16643.8</v>
      </c>
      <c r="G53" s="105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69">
        <v>32630</v>
      </c>
      <c r="E54" s="174">
        <v>0</v>
      </c>
      <c r="F54" s="169">
        <v>16643.8</v>
      </c>
      <c r="G54" s="169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118022.30000000002</v>
      </c>
      <c r="E55" s="15">
        <f t="shared" si="6"/>
        <v>67811.88900000001</v>
      </c>
      <c r="F55" s="15">
        <f t="shared" ref="F55:G55" si="7">SUM(F44:F53)-SUM(F38:F43)</f>
        <v>99382.399999999994</v>
      </c>
      <c r="G55" s="15">
        <f t="shared" si="7"/>
        <v>68084.400000000023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-41752.100000000355</v>
      </c>
      <c r="E56" s="15">
        <f t="shared" si="8"/>
        <v>-24757.050000000236</v>
      </c>
      <c r="F56" s="15">
        <f t="shared" ref="F56:G56" si="9">F55+F37</f>
        <v>-21758.000000000378</v>
      </c>
      <c r="G56" s="15">
        <f t="shared" si="9"/>
        <v>-50978.20000000007</v>
      </c>
    </row>
    <row r="57" spans="1:7" s="62" customFormat="1" ht="15.75" customHeight="1">
      <c r="A57" s="285">
        <v>380</v>
      </c>
      <c r="B57" s="286"/>
      <c r="C57" s="287" t="s">
        <v>484</v>
      </c>
      <c r="D57" s="288">
        <v>111000</v>
      </c>
      <c r="E57" s="291">
        <v>0</v>
      </c>
      <c r="F57" s="288">
        <v>10215.1</v>
      </c>
      <c r="G57" s="288">
        <v>1352440</v>
      </c>
    </row>
    <row r="58" spans="1:7" s="62" customFormat="1" ht="15.75" customHeight="1">
      <c r="A58" s="285">
        <v>381</v>
      </c>
      <c r="B58" s="286"/>
      <c r="C58" s="287" t="s">
        <v>485</v>
      </c>
      <c r="D58" s="288">
        <v>0</v>
      </c>
      <c r="E58" s="291">
        <v>0</v>
      </c>
      <c r="F58" s="288">
        <v>0</v>
      </c>
      <c r="G58" s="288">
        <v>0</v>
      </c>
    </row>
    <row r="59" spans="1:7" s="63" customFormat="1" ht="14">
      <c r="A59" s="285">
        <v>383</v>
      </c>
      <c r="B59" s="115"/>
      <c r="C59" s="116" t="s">
        <v>57</v>
      </c>
      <c r="D59" s="270">
        <v>0</v>
      </c>
      <c r="E59" s="165">
        <v>0</v>
      </c>
      <c r="F59" s="270">
        <v>0</v>
      </c>
      <c r="G59" s="270">
        <v>0</v>
      </c>
    </row>
    <row r="60" spans="1:7" s="63" customFormat="1" ht="14">
      <c r="A60" s="114">
        <v>3840</v>
      </c>
      <c r="B60" s="115"/>
      <c r="C60" s="116" t="s">
        <v>241</v>
      </c>
      <c r="D60" s="118">
        <v>0</v>
      </c>
      <c r="E60" s="149">
        <v>0</v>
      </c>
      <c r="F60" s="118">
        <v>0</v>
      </c>
      <c r="G60" s="118">
        <v>0</v>
      </c>
    </row>
    <row r="61" spans="1:7" s="63" customFormat="1" ht="14">
      <c r="A61" s="114">
        <v>3841</v>
      </c>
      <c r="B61" s="115"/>
      <c r="C61" s="116" t="s">
        <v>242</v>
      </c>
      <c r="D61" s="118">
        <v>0</v>
      </c>
      <c r="E61" s="149">
        <v>0</v>
      </c>
      <c r="F61" s="118">
        <v>0</v>
      </c>
      <c r="G61" s="118">
        <v>0</v>
      </c>
    </row>
    <row r="62" spans="1:7" s="63" customFormat="1" ht="14">
      <c r="A62" s="114">
        <v>386</v>
      </c>
      <c r="B62" s="178"/>
      <c r="C62" s="179" t="s">
        <v>243</v>
      </c>
      <c r="D62" s="118">
        <v>0</v>
      </c>
      <c r="E62" s="149">
        <v>0</v>
      </c>
      <c r="F62" s="118">
        <v>0</v>
      </c>
      <c r="G62" s="118">
        <v>0</v>
      </c>
    </row>
    <row r="63" spans="1:7" s="63" customFormat="1" ht="28">
      <c r="A63" s="177">
        <v>387</v>
      </c>
      <c r="B63" s="115"/>
      <c r="C63" s="116" t="s">
        <v>58</v>
      </c>
      <c r="D63" s="118">
        <v>0</v>
      </c>
      <c r="E63" s="149">
        <v>0</v>
      </c>
      <c r="F63" s="118">
        <v>0</v>
      </c>
      <c r="G63" s="118">
        <v>0</v>
      </c>
    </row>
    <row r="64" spans="1:7" s="63" customFormat="1">
      <c r="A64" s="114">
        <v>389</v>
      </c>
      <c r="B64" s="180"/>
      <c r="C64" s="109" t="s">
        <v>7</v>
      </c>
      <c r="D64" s="150">
        <v>0</v>
      </c>
      <c r="E64" s="143">
        <v>0</v>
      </c>
      <c r="F64" s="150">
        <v>0</v>
      </c>
      <c r="G64" s="150">
        <v>0</v>
      </c>
    </row>
    <row r="65" spans="1:7" s="62" customFormat="1">
      <c r="A65" s="224" t="s">
        <v>471</v>
      </c>
      <c r="B65" s="102"/>
      <c r="C65" s="103" t="s">
        <v>244</v>
      </c>
      <c r="D65" s="105">
        <v>0</v>
      </c>
      <c r="E65" s="141">
        <v>0</v>
      </c>
      <c r="F65" s="105">
        <v>0</v>
      </c>
      <c r="G65" s="105">
        <v>0</v>
      </c>
    </row>
    <row r="66" spans="1:7" s="95" customFormat="1" ht="14">
      <c r="A66" s="224" t="s">
        <v>472</v>
      </c>
      <c r="B66" s="111"/>
      <c r="C66" s="116" t="s">
        <v>245</v>
      </c>
      <c r="D66" s="270">
        <v>0</v>
      </c>
      <c r="E66" s="165">
        <v>0</v>
      </c>
      <c r="F66" s="270">
        <v>0</v>
      </c>
      <c r="G66" s="270">
        <v>0</v>
      </c>
    </row>
    <row r="67" spans="1:7" s="62" customFormat="1">
      <c r="A67" s="110">
        <v>481</v>
      </c>
      <c r="B67" s="102"/>
      <c r="C67" s="103" t="s">
        <v>246</v>
      </c>
      <c r="D67" s="105">
        <v>0</v>
      </c>
      <c r="E67" s="141">
        <v>0</v>
      </c>
      <c r="F67" s="105">
        <v>0</v>
      </c>
      <c r="G67" s="105">
        <v>0</v>
      </c>
    </row>
    <row r="68" spans="1:7" s="62" customFormat="1">
      <c r="A68" s="110">
        <v>482</v>
      </c>
      <c r="B68" s="102"/>
      <c r="C68" s="103" t="s">
        <v>247</v>
      </c>
      <c r="D68" s="105">
        <v>0</v>
      </c>
      <c r="E68" s="141">
        <v>0</v>
      </c>
      <c r="F68" s="105">
        <v>0</v>
      </c>
      <c r="G68" s="105">
        <v>0</v>
      </c>
    </row>
    <row r="69" spans="1:7" s="62" customFormat="1">
      <c r="A69" s="110">
        <v>483</v>
      </c>
      <c r="B69" s="102"/>
      <c r="C69" s="103" t="s">
        <v>248</v>
      </c>
      <c r="D69" s="105">
        <v>0</v>
      </c>
      <c r="E69" s="141">
        <v>0</v>
      </c>
      <c r="F69" s="105">
        <v>0</v>
      </c>
      <c r="G69" s="105">
        <v>459400</v>
      </c>
    </row>
    <row r="70" spans="1:7" s="62" customFormat="1">
      <c r="A70" s="110">
        <v>484</v>
      </c>
      <c r="B70" s="102"/>
      <c r="C70" s="103" t="s">
        <v>249</v>
      </c>
      <c r="D70" s="105">
        <v>0</v>
      </c>
      <c r="E70" s="141">
        <v>0</v>
      </c>
      <c r="F70" s="105">
        <v>0</v>
      </c>
      <c r="G70" s="105">
        <v>0</v>
      </c>
    </row>
    <row r="71" spans="1:7" s="62" customFormat="1">
      <c r="A71" s="110">
        <v>485</v>
      </c>
      <c r="B71" s="102"/>
      <c r="C71" s="103" t="s">
        <v>250</v>
      </c>
      <c r="D71" s="105">
        <v>0</v>
      </c>
      <c r="E71" s="141">
        <v>0</v>
      </c>
      <c r="F71" s="105">
        <v>0</v>
      </c>
      <c r="G71" s="105">
        <v>0</v>
      </c>
    </row>
    <row r="72" spans="1:7" s="62" customFormat="1">
      <c r="A72" s="110">
        <v>486</v>
      </c>
      <c r="B72" s="102"/>
      <c r="C72" s="103" t="s">
        <v>251</v>
      </c>
      <c r="D72" s="105">
        <v>0</v>
      </c>
      <c r="E72" s="141">
        <v>0</v>
      </c>
      <c r="F72" s="105">
        <v>0</v>
      </c>
      <c r="G72" s="105">
        <v>0</v>
      </c>
    </row>
    <row r="73" spans="1:7" s="63" customFormat="1">
      <c r="A73" s="110">
        <v>487</v>
      </c>
      <c r="B73" s="108"/>
      <c r="C73" s="103" t="s">
        <v>64</v>
      </c>
      <c r="D73" s="105">
        <v>0</v>
      </c>
      <c r="E73" s="141">
        <v>0</v>
      </c>
      <c r="F73" s="105">
        <v>0</v>
      </c>
      <c r="G73" s="105">
        <v>0</v>
      </c>
    </row>
    <row r="74" spans="1:7" s="63" customFormat="1">
      <c r="A74" s="110">
        <v>489</v>
      </c>
      <c r="B74" s="182"/>
      <c r="C74" s="133" t="s">
        <v>18</v>
      </c>
      <c r="D74" s="105">
        <v>120499.2</v>
      </c>
      <c r="E74" s="141">
        <v>0</v>
      </c>
      <c r="F74" s="105">
        <v>27725.5</v>
      </c>
      <c r="G74" s="105">
        <v>10650</v>
      </c>
    </row>
    <row r="75" spans="1:7" s="63" customFormat="1">
      <c r="A75" s="181" t="s">
        <v>381</v>
      </c>
      <c r="B75" s="182"/>
      <c r="C75" s="167" t="s">
        <v>382</v>
      </c>
      <c r="D75" s="105">
        <v>0</v>
      </c>
      <c r="E75" s="141">
        <v>0</v>
      </c>
      <c r="F75" s="105">
        <v>0</v>
      </c>
      <c r="G75" s="105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9499.1999999999971</v>
      </c>
      <c r="E76" s="15">
        <f t="shared" si="10"/>
        <v>0</v>
      </c>
      <c r="F76" s="15">
        <f t="shared" ref="F76:G76" si="11">SUM(F65:F74)-SUM(F57:F64)</f>
        <v>17510.400000000001</v>
      </c>
      <c r="G76" s="15">
        <f t="shared" si="11"/>
        <v>-882390</v>
      </c>
    </row>
    <row r="77" spans="1:7">
      <c r="A77" s="9"/>
      <c r="B77" s="9"/>
      <c r="C77" s="8" t="s">
        <v>23</v>
      </c>
      <c r="D77" s="15">
        <f t="shared" ref="D77:E77" si="12">D56+D76</f>
        <v>-32252.900000000358</v>
      </c>
      <c r="E77" s="15">
        <f t="shared" si="12"/>
        <v>-24757.050000000236</v>
      </c>
      <c r="F77" s="15">
        <f t="shared" ref="F77:G77" si="13">F56+F76</f>
        <v>-4247.6000000003769</v>
      </c>
      <c r="G77" s="15">
        <f t="shared" si="13"/>
        <v>-933368.20000000007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2582323.7999999998</v>
      </c>
      <c r="E78" s="37">
        <f t="shared" si="14"/>
        <v>2499570.9480000003</v>
      </c>
      <c r="F78" s="37">
        <f t="shared" ref="F78:G78" si="15">F20+F21+SUM(F38:F43)+SUM(F57:F64)</f>
        <v>2516852.4999999995</v>
      </c>
      <c r="G78" s="37">
        <f t="shared" si="15"/>
        <v>3893873.1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2550070.7999999998</v>
      </c>
      <c r="E79" s="37">
        <f t="shared" si="16"/>
        <v>2474813.9720000001</v>
      </c>
      <c r="F79" s="37">
        <f t="shared" ref="F79:G79" si="17">F35+F36+SUM(F44:F53)+SUM(F65:F74)</f>
        <v>2512604.8999999994</v>
      </c>
      <c r="G79" s="37">
        <f t="shared" si="17"/>
        <v>2960504.9000000004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05">
        <v>186363</v>
      </c>
      <c r="E82" s="141">
        <v>234630</v>
      </c>
      <c r="F82" s="105">
        <v>234629.2</v>
      </c>
      <c r="G82" s="113">
        <v>161090</v>
      </c>
    </row>
    <row r="83" spans="1:7" s="62" customFormat="1">
      <c r="A83" s="186">
        <v>51</v>
      </c>
      <c r="B83" s="187"/>
      <c r="C83" s="187" t="s">
        <v>253</v>
      </c>
      <c r="D83" s="105">
        <v>0</v>
      </c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05">
        <v>0</v>
      </c>
      <c r="E84" s="141">
        <v>0</v>
      </c>
      <c r="F84" s="105">
        <v>0</v>
      </c>
      <c r="G84" s="113">
        <v>0</v>
      </c>
    </row>
    <row r="85" spans="1:7" s="62" customFormat="1">
      <c r="A85" s="188">
        <v>54</v>
      </c>
      <c r="B85" s="189"/>
      <c r="C85" s="189" t="s">
        <v>89</v>
      </c>
      <c r="D85" s="150">
        <v>3690</v>
      </c>
      <c r="E85" s="141">
        <v>38000</v>
      </c>
      <c r="F85" s="150">
        <v>1753.3</v>
      </c>
      <c r="G85" s="113">
        <v>13750</v>
      </c>
    </row>
    <row r="86" spans="1:7" s="62" customFormat="1">
      <c r="A86" s="188">
        <v>55</v>
      </c>
      <c r="B86" s="189"/>
      <c r="C86" s="189" t="s">
        <v>181</v>
      </c>
      <c r="D86" s="150">
        <v>0</v>
      </c>
      <c r="E86" s="141">
        <v>11000</v>
      </c>
      <c r="F86" s="150">
        <v>18825.599999999999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0">
        <v>0</v>
      </c>
      <c r="E87" s="141">
        <v>77750.399999999994</v>
      </c>
      <c r="F87" s="150">
        <v>44790.8</v>
      </c>
      <c r="G87" s="113">
        <v>72050</v>
      </c>
    </row>
    <row r="88" spans="1:7" s="62" customFormat="1">
      <c r="A88" s="186">
        <v>57</v>
      </c>
      <c r="B88" s="187"/>
      <c r="C88" s="187" t="s">
        <v>150</v>
      </c>
      <c r="D88" s="105">
        <v>0</v>
      </c>
      <c r="E88" s="141"/>
      <c r="F88" s="105">
        <v>0</v>
      </c>
      <c r="G88" s="113">
        <v>0</v>
      </c>
    </row>
    <row r="89" spans="1:7" s="62" customFormat="1">
      <c r="A89" s="186">
        <v>580</v>
      </c>
      <c r="B89" s="187"/>
      <c r="C89" s="187" t="s">
        <v>256</v>
      </c>
      <c r="D89" s="105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05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05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05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05">
        <v>0</v>
      </c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135">
        <v>0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190053</v>
      </c>
      <c r="E95" s="33">
        <f t="shared" si="18"/>
        <v>361380.4</v>
      </c>
      <c r="F95" s="33">
        <f t="shared" ref="F95:G95" si="19">SUM(F82:F94)</f>
        <v>299998.90000000002</v>
      </c>
      <c r="G95" s="33">
        <f t="shared" si="19"/>
        <v>246890</v>
      </c>
    </row>
    <row r="96" spans="1:7" s="62" customFormat="1">
      <c r="A96" s="186">
        <v>60</v>
      </c>
      <c r="B96" s="187"/>
      <c r="C96" s="187" t="s">
        <v>262</v>
      </c>
      <c r="D96" s="105">
        <v>0</v>
      </c>
      <c r="E96" s="141">
        <v>0</v>
      </c>
      <c r="F96" s="105">
        <v>0</v>
      </c>
      <c r="G96" s="113">
        <v>0</v>
      </c>
    </row>
    <row r="97" spans="1:7" s="62" customFormat="1">
      <c r="A97" s="186">
        <v>61</v>
      </c>
      <c r="B97" s="187"/>
      <c r="C97" s="187" t="s">
        <v>263</v>
      </c>
      <c r="D97" s="105">
        <v>0</v>
      </c>
      <c r="E97" s="141">
        <v>0</v>
      </c>
      <c r="F97" s="105">
        <v>0</v>
      </c>
      <c r="G97" s="113">
        <v>0</v>
      </c>
    </row>
    <row r="98" spans="1:7" s="62" customFormat="1">
      <c r="A98" s="186">
        <v>62</v>
      </c>
      <c r="B98" s="187"/>
      <c r="C98" s="187" t="s">
        <v>264</v>
      </c>
      <c r="D98" s="105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265</v>
      </c>
      <c r="D99" s="105">
        <v>75106.7</v>
      </c>
      <c r="E99" s="141">
        <v>60900</v>
      </c>
      <c r="F99" s="105">
        <v>81635.3</v>
      </c>
      <c r="G99" s="113">
        <v>42690</v>
      </c>
    </row>
    <row r="100" spans="1:7" s="62" customFormat="1">
      <c r="A100" s="188">
        <v>64</v>
      </c>
      <c r="B100" s="189"/>
      <c r="C100" s="189" t="s">
        <v>185</v>
      </c>
      <c r="D100" s="150">
        <v>0</v>
      </c>
      <c r="E100" s="141">
        <v>0</v>
      </c>
      <c r="F100" s="150">
        <v>0</v>
      </c>
      <c r="G100" s="113">
        <v>0</v>
      </c>
    </row>
    <row r="101" spans="1:7" s="62" customFormat="1">
      <c r="A101" s="188">
        <v>65</v>
      </c>
      <c r="B101" s="189"/>
      <c r="C101" s="189" t="s">
        <v>186</v>
      </c>
      <c r="D101" s="150">
        <v>0</v>
      </c>
      <c r="E101" s="141">
        <v>0</v>
      </c>
      <c r="F101" s="150">
        <v>1000</v>
      </c>
      <c r="G101" s="113">
        <v>0</v>
      </c>
    </row>
    <row r="102" spans="1:7" s="62" customFormat="1">
      <c r="A102" s="188">
        <v>66</v>
      </c>
      <c r="B102" s="189"/>
      <c r="C102" s="189" t="s">
        <v>266</v>
      </c>
      <c r="D102" s="150">
        <v>0</v>
      </c>
      <c r="E102" s="141">
        <v>0</v>
      </c>
      <c r="F102" s="150">
        <v>0</v>
      </c>
      <c r="G102" s="113">
        <v>0</v>
      </c>
    </row>
    <row r="103" spans="1:7" s="62" customFormat="1">
      <c r="A103" s="186">
        <v>67</v>
      </c>
      <c r="B103" s="187"/>
      <c r="C103" s="187" t="s">
        <v>150</v>
      </c>
      <c r="D103" s="105">
        <v>0</v>
      </c>
      <c r="E103" s="138">
        <v>0</v>
      </c>
      <c r="F103" s="105">
        <v>0</v>
      </c>
      <c r="G103" s="106">
        <v>0</v>
      </c>
    </row>
    <row r="104" spans="1:7" s="95" customFormat="1" ht="28">
      <c r="A104" s="192" t="s">
        <v>268</v>
      </c>
      <c r="B104" s="200"/>
      <c r="C104" s="193" t="s">
        <v>267</v>
      </c>
      <c r="D104" s="201">
        <v>0</v>
      </c>
      <c r="E104" s="202">
        <v>0</v>
      </c>
      <c r="F104" s="201">
        <v>0</v>
      </c>
      <c r="G104" s="295">
        <v>0</v>
      </c>
    </row>
    <row r="105" spans="1:7" s="95" customFormat="1" ht="42">
      <c r="A105" s="194" t="s">
        <v>269</v>
      </c>
      <c r="B105" s="196"/>
      <c r="C105" s="195" t="s">
        <v>270</v>
      </c>
      <c r="D105" s="197">
        <v>0</v>
      </c>
      <c r="E105" s="199">
        <v>0</v>
      </c>
      <c r="F105" s="197">
        <v>0</v>
      </c>
      <c r="G105" s="357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75106.7</v>
      </c>
      <c r="E106" s="33">
        <f t="shared" si="20"/>
        <v>60900</v>
      </c>
      <c r="F106" s="33">
        <f t="shared" ref="F106:G106" si="21">SUM(F96:F105)</f>
        <v>82635.3</v>
      </c>
      <c r="G106" s="33">
        <f t="shared" si="21"/>
        <v>42690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114946.3</v>
      </c>
      <c r="E107" s="33">
        <f t="shared" si="22"/>
        <v>300480.40000000002</v>
      </c>
      <c r="F107" s="33">
        <f t="shared" ref="F107:G107" si="23">(F95-F88)-(F106-F103)</f>
        <v>217363.60000000003</v>
      </c>
      <c r="G107" s="33">
        <f t="shared" si="23"/>
        <v>204200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111256.3</v>
      </c>
      <c r="E108" s="50">
        <f t="shared" si="24"/>
        <v>251480.40000000002</v>
      </c>
      <c r="F108" s="50">
        <f t="shared" ref="F108:G108" si="25">F107-F85-F86+F100+F101</f>
        <v>197784.70000000004</v>
      </c>
      <c r="G108" s="50">
        <f t="shared" si="25"/>
        <v>190450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1340600</v>
      </c>
      <c r="E111" s="337">
        <f t="shared" si="26"/>
        <v>0</v>
      </c>
      <c r="F111" s="336">
        <f t="shared" ref="F111:G111" si="27">F112+F117</f>
        <v>1749414.9999999998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1129600</v>
      </c>
      <c r="E112" s="337">
        <f t="shared" si="28"/>
        <v>0</v>
      </c>
      <c r="F112" s="336">
        <f t="shared" ref="F112:G112" si="29">F113+F114+F115+F116</f>
        <v>1341564.2999999998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664000</v>
      </c>
      <c r="E113" s="113"/>
      <c r="F113" s="105">
        <v>900228.2</v>
      </c>
      <c r="G113" s="113">
        <v>0</v>
      </c>
    </row>
    <row r="114" spans="1:7" s="95" customFormat="1" ht="15" customHeight="1">
      <c r="A114" s="262">
        <v>102</v>
      </c>
      <c r="B114" s="265"/>
      <c r="C114" s="265" t="s">
        <v>291</v>
      </c>
      <c r="D114" s="270">
        <v>6000</v>
      </c>
      <c r="E114" s="271"/>
      <c r="F114" s="270">
        <v>0</v>
      </c>
      <c r="G114" s="271">
        <v>0</v>
      </c>
    </row>
    <row r="115" spans="1:7" s="62" customFormat="1">
      <c r="A115" s="212">
        <v>104</v>
      </c>
      <c r="B115" s="206"/>
      <c r="C115" s="206" t="s">
        <v>273</v>
      </c>
      <c r="D115" s="105">
        <v>454000</v>
      </c>
      <c r="E115" s="113"/>
      <c r="F115" s="105">
        <v>436158.7</v>
      </c>
      <c r="G115" s="113">
        <v>0</v>
      </c>
    </row>
    <row r="116" spans="1:7" s="62" customFormat="1">
      <c r="A116" s="212">
        <v>106</v>
      </c>
      <c r="B116" s="206"/>
      <c r="C116" s="206" t="s">
        <v>481</v>
      </c>
      <c r="D116" s="105">
        <v>5600</v>
      </c>
      <c r="E116" s="113"/>
      <c r="F116" s="105">
        <v>5177.3999999999996</v>
      </c>
      <c r="G116" s="113">
        <v>0</v>
      </c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211000</v>
      </c>
      <c r="E117" s="337">
        <f t="shared" si="30"/>
        <v>0</v>
      </c>
      <c r="F117" s="336">
        <f t="shared" ref="F117:G117" si="31">F118+F119+F120</f>
        <v>407850.7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105400</v>
      </c>
      <c r="E118" s="113"/>
      <c r="F118" s="105">
        <v>76616.2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105600</v>
      </c>
      <c r="E119" s="113"/>
      <c r="F119" s="105">
        <v>331234.5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1846000</v>
      </c>
      <c r="E121" s="336">
        <f t="shared" si="32"/>
        <v>0</v>
      </c>
      <c r="F121" s="336">
        <f t="shared" ref="F121:G121" si="33">SUM(F122:F130)</f>
        <v>2010334.9999999998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1334090</v>
      </c>
      <c r="E122" s="113"/>
      <c r="F122" s="105">
        <v>1405294.9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199400</v>
      </c>
      <c r="E123" s="113"/>
      <c r="F123" s="105">
        <v>201077.2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312510</v>
      </c>
      <c r="E124" s="210"/>
      <c r="F124" s="105">
        <v>359172.1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0</v>
      </c>
      <c r="E125" s="210"/>
      <c r="F125" s="105">
        <v>44790.8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0</v>
      </c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>
        <v>0</v>
      </c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3186600</v>
      </c>
      <c r="E131" s="18">
        <f>E111+E121</f>
        <v>0</v>
      </c>
      <c r="F131" s="18">
        <f>F111+F121</f>
        <v>3759749.9999999995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2867100</v>
      </c>
      <c r="E133" s="339">
        <f t="shared" si="34"/>
        <v>0</v>
      </c>
      <c r="F133" s="338">
        <f t="shared" ref="F133:G133" si="35">F134+F140</f>
        <v>3207443.7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1194000</v>
      </c>
      <c r="E134" s="337">
        <f t="shared" si="36"/>
        <v>0</v>
      </c>
      <c r="F134" s="336">
        <f t="shared" ref="F134:G134" si="37">F135+F136+F138+F139</f>
        <v>1457210.3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983000</v>
      </c>
      <c r="E135" s="113"/>
      <c r="F135" s="105">
        <v>1128422.3999999999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33300</v>
      </c>
      <c r="E136" s="113"/>
      <c r="F136" s="105">
        <v>131155.79999999999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2457</v>
      </c>
      <c r="E137" s="213"/>
      <c r="F137" s="150">
        <v>10816.9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176300</v>
      </c>
      <c r="E138" s="210"/>
      <c r="F138" s="105">
        <v>197632.1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1400</v>
      </c>
      <c r="E139" s="210"/>
      <c r="F139" s="105">
        <v>0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1673100</v>
      </c>
      <c r="E140" s="337">
        <f t="shared" si="38"/>
        <v>0</v>
      </c>
      <c r="F140" s="336">
        <f t="shared" ref="F140:G140" si="39">F141+F143+F144</f>
        <v>1750233.4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1132400</v>
      </c>
      <c r="E141" s="210"/>
      <c r="F141" s="105">
        <v>1202793.5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540700</v>
      </c>
      <c r="E143" s="210"/>
      <c r="F143" s="105">
        <v>547439.9</v>
      </c>
      <c r="G143" s="210"/>
    </row>
    <row r="144" spans="1:7" s="64" customFormat="1" ht="29" customHeight="1">
      <c r="A144" s="262">
        <v>209</v>
      </c>
      <c r="B144" s="263"/>
      <c r="C144" s="263" t="s">
        <v>285</v>
      </c>
      <c r="D144" s="117">
        <v>0</v>
      </c>
      <c r="E144" s="276"/>
      <c r="F144" s="117">
        <v>0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319500</v>
      </c>
      <c r="E145" s="210"/>
      <c r="F145" s="209">
        <v>552306.4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334900</v>
      </c>
      <c r="E146" s="174"/>
      <c r="F146" s="169">
        <v>330640.5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3186600</v>
      </c>
      <c r="E147" s="18">
        <f>E133+E145</f>
        <v>0</v>
      </c>
      <c r="F147" s="18">
        <f>F133+F145</f>
        <v>3759750.1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46"/>
      <c r="C150" s="46" t="s">
        <v>153</v>
      </c>
      <c r="D150" s="55">
        <f t="shared" ref="D150:E150" si="40">D77+SUM(D8:D12)-D30-D31+D16-D33+D59+D63-D73+D64-D74-D54+D20-D35</f>
        <v>-49183.400000000351</v>
      </c>
      <c r="E150" s="55">
        <f t="shared" si="40"/>
        <v>-10301.304000000237</v>
      </c>
      <c r="F150" s="55">
        <f t="shared" ref="F150:G150" si="41">F77+SUM(F8:F12)-F30-F31+F16-F33+F59+F63-F73+F64-F74-F54+F20-F35</f>
        <v>-17331.800000000374</v>
      </c>
      <c r="G150" s="55">
        <f t="shared" si="41"/>
        <v>-849963.20000000007</v>
      </c>
    </row>
    <row r="151" spans="1:7">
      <c r="A151" s="38" t="s">
        <v>403</v>
      </c>
      <c r="B151" s="19"/>
      <c r="C151" s="19" t="s">
        <v>154</v>
      </c>
      <c r="D151" s="258">
        <f t="shared" ref="D151:E151" si="42">IF(D177=0,0,D150/D177)</f>
        <v>-2.1045480726980103E-2</v>
      </c>
      <c r="E151" s="258">
        <f t="shared" si="42"/>
        <v>-4.3218373656391746E-3</v>
      </c>
      <c r="F151" s="258">
        <f t="shared" ref="F151:G151" si="43">IF(F177=0,0,F150/F177)</f>
        <v>-7.2551714518687268E-3</v>
      </c>
      <c r="G151" s="258">
        <f t="shared" si="43"/>
        <v>-0.29783305160026846</v>
      </c>
    </row>
    <row r="152" spans="1:7" s="317" customFormat="1" ht="28">
      <c r="A152" s="58" t="s">
        <v>404</v>
      </c>
      <c r="B152" s="309"/>
      <c r="C152" s="309" t="s">
        <v>161</v>
      </c>
      <c r="D152" s="316">
        <f t="shared" ref="D152:E152" si="44">IF(D107=0,0,D150/D107)</f>
        <v>-0.42788154120663607</v>
      </c>
      <c r="E152" s="316">
        <f t="shared" si="44"/>
        <v>-3.4282781838683107E-2</v>
      </c>
      <c r="F152" s="316">
        <f t="shared" ref="F152:G152" si="45">IF(F107=0,0,F150/F107)</f>
        <v>-7.9736441612120762E-2</v>
      </c>
      <c r="G152" s="316">
        <f t="shared" si="45"/>
        <v>-4.1624054848188052</v>
      </c>
    </row>
    <row r="153" spans="1:7" s="317" customFormat="1" ht="28">
      <c r="A153" s="57" t="s">
        <v>404</v>
      </c>
      <c r="B153" s="310"/>
      <c r="C153" s="310" t="s">
        <v>162</v>
      </c>
      <c r="D153" s="318">
        <f t="shared" ref="D153:E153" si="46">IF(0=D108,0,D150/D108)</f>
        <v>-0.44207294328501262</v>
      </c>
      <c r="E153" s="318">
        <f t="shared" si="46"/>
        <v>-4.096265156250839E-2</v>
      </c>
      <c r="F153" s="318">
        <f t="shared" ref="F153:G153" si="47">IF(0=F108,0,F150/F108)</f>
        <v>-8.7629629592179625E-2</v>
      </c>
      <c r="G153" s="318">
        <f t="shared" si="47"/>
        <v>-4.4629204515620904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48">D150-D107</f>
        <v>-164129.70000000036</v>
      </c>
      <c r="E154" s="56">
        <f t="shared" si="48"/>
        <v>-310781.70400000026</v>
      </c>
      <c r="F154" s="56">
        <f t="shared" ref="F154:G154" si="49">F150-F107</f>
        <v>-234695.4000000004</v>
      </c>
      <c r="G154" s="56">
        <f t="shared" si="49"/>
        <v>-1054163.2000000002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0">D150-D108</f>
        <v>-160439.70000000036</v>
      </c>
      <c r="E155" s="59">
        <f t="shared" si="50"/>
        <v>-261781.70400000026</v>
      </c>
      <c r="F155" s="59">
        <f t="shared" ref="F155:G155" si="51">F150-F108</f>
        <v>-215116.50000000041</v>
      </c>
      <c r="G155" s="59">
        <f t="shared" si="51"/>
        <v>-1040413.2000000001</v>
      </c>
    </row>
    <row r="156" spans="1:7">
      <c r="A156" s="325" t="s">
        <v>391</v>
      </c>
      <c r="B156" s="46"/>
      <c r="C156" s="46" t="s">
        <v>35</v>
      </c>
      <c r="D156" s="47">
        <f t="shared" ref="D156:E156" si="52">D135+D136-D137+D141-D142</f>
        <v>2146243</v>
      </c>
      <c r="E156" s="47">
        <f t="shared" si="52"/>
        <v>0</v>
      </c>
      <c r="F156" s="47">
        <f t="shared" ref="F156:G156" si="53">F135+F136-F137+F141-F142</f>
        <v>2451554.7999999998</v>
      </c>
      <c r="G156" s="47">
        <f t="shared" si="53"/>
        <v>0</v>
      </c>
    </row>
    <row r="157" spans="1:7">
      <c r="A157" s="327" t="s">
        <v>399</v>
      </c>
      <c r="B157" s="48"/>
      <c r="C157" s="48" t="s">
        <v>132</v>
      </c>
      <c r="D157" s="241">
        <f t="shared" ref="D157:E157" si="54">IF(D177=0,0,D156/D177)</f>
        <v>0.91837318469068097</v>
      </c>
      <c r="E157" s="241">
        <f t="shared" si="54"/>
        <v>0</v>
      </c>
      <c r="F157" s="241">
        <f t="shared" ref="F157:G157" si="55">IF(F177=0,0,F156/F177)</f>
        <v>1.026232151170182</v>
      </c>
      <c r="G157" s="241">
        <f t="shared" si="55"/>
        <v>0</v>
      </c>
    </row>
    <row r="158" spans="1:7">
      <c r="A158" s="325" t="s">
        <v>392</v>
      </c>
      <c r="B158" s="46"/>
      <c r="C158" s="46" t="s">
        <v>393</v>
      </c>
      <c r="D158" s="47">
        <f t="shared" ref="D158:E158" si="56">D133-D142-D111</f>
        <v>1526500</v>
      </c>
      <c r="E158" s="47">
        <f t="shared" si="56"/>
        <v>0</v>
      </c>
      <c r="F158" s="47">
        <f t="shared" ref="F158:G158" si="57">F133-F142-F111</f>
        <v>1458028.7000000004</v>
      </c>
      <c r="G158" s="47">
        <f t="shared" si="57"/>
        <v>0</v>
      </c>
    </row>
    <row r="159" spans="1:7">
      <c r="A159" s="326" t="s">
        <v>395</v>
      </c>
      <c r="B159" s="19"/>
      <c r="C159" s="19" t="s">
        <v>394</v>
      </c>
      <c r="D159" s="40">
        <f t="shared" ref="D159:E159" si="58">D121-D123-D124-D142-D145</f>
        <v>1014590</v>
      </c>
      <c r="E159" s="40">
        <f t="shared" si="58"/>
        <v>0</v>
      </c>
      <c r="F159" s="40">
        <f t="shared" ref="F159:G159" si="59">F121-F123-F124-F142-F145</f>
        <v>897779.2999999997</v>
      </c>
      <c r="G159" s="40">
        <f t="shared" si="59"/>
        <v>0</v>
      </c>
    </row>
    <row r="160" spans="1:7">
      <c r="A160" s="326" t="s">
        <v>400</v>
      </c>
      <c r="B160" s="19"/>
      <c r="C160" s="19" t="s">
        <v>115</v>
      </c>
      <c r="D160" s="240">
        <f t="shared" ref="D160:E160" si="60">IF(D175=0,"-",1000*D158/D175)</f>
        <v>5491.5405453047597</v>
      </c>
      <c r="E160" s="240">
        <f t="shared" si="60"/>
        <v>0</v>
      </c>
      <c r="F160" s="240">
        <f t="shared" ref="F160:G160" si="61">IF(F175=0,"-",1000*F158/F175)</f>
        <v>5225.1976433317341</v>
      </c>
      <c r="G160" s="240">
        <f t="shared" si="61"/>
        <v>0</v>
      </c>
    </row>
    <row r="161" spans="1:7">
      <c r="A161" s="326" t="s">
        <v>400</v>
      </c>
      <c r="B161" s="19"/>
      <c r="C161" s="19" t="s">
        <v>139</v>
      </c>
      <c r="D161" s="40">
        <f t="shared" ref="D161:E161" si="62">IF(D175=0,0,1000*(D159/D175))</f>
        <v>3649.9588089490708</v>
      </c>
      <c r="E161" s="40">
        <f t="shared" si="62"/>
        <v>0</v>
      </c>
      <c r="F161" s="40">
        <f t="shared" ref="F161:G161" si="63">IF(F175=0,0,1000*(F159/F175))</f>
        <v>3217.4087400282388</v>
      </c>
      <c r="G161" s="40">
        <f t="shared" si="63"/>
        <v>0</v>
      </c>
    </row>
    <row r="162" spans="1:7">
      <c r="A162" s="327" t="s">
        <v>401</v>
      </c>
      <c r="B162" s="48"/>
      <c r="C162" s="48" t="s">
        <v>116</v>
      </c>
      <c r="D162" s="241">
        <f t="shared" ref="D162:E162" si="64">IF((D22+D23+D65+D66)=0,0,D158/(D22+D23+D65+D66))</f>
        <v>0.97898758510345818</v>
      </c>
      <c r="E162" s="241">
        <f t="shared" si="64"/>
        <v>0</v>
      </c>
      <c r="F162" s="241">
        <f t="shared" ref="F162:G162" si="65">IF((F22+F23+F65+F66)=0,0,F158/(F22+F23+F65+F66))</f>
        <v>0.92282814803365876</v>
      </c>
      <c r="G162" s="241">
        <f t="shared" si="65"/>
        <v>0</v>
      </c>
    </row>
    <row r="163" spans="1:7">
      <c r="A163" s="326" t="s">
        <v>409</v>
      </c>
      <c r="B163" s="19"/>
      <c r="C163" s="19" t="s">
        <v>36</v>
      </c>
      <c r="D163" s="55">
        <f t="shared" ref="D163:E163" si="66">D145</f>
        <v>319500</v>
      </c>
      <c r="E163" s="55">
        <f t="shared" si="66"/>
        <v>0</v>
      </c>
      <c r="F163" s="55">
        <f t="shared" ref="F163:G163" si="67">F145</f>
        <v>552306.4</v>
      </c>
      <c r="G163" s="55">
        <f t="shared" si="67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0.13451109734627156</v>
      </c>
      <c r="E164" s="245">
        <f>IF(E178=0,0,E146/E178)</f>
        <v>0</v>
      </c>
      <c r="F164" s="245">
        <f>IF(F178=0,0,F146/F178)</f>
        <v>0.13657964505373335</v>
      </c>
      <c r="G164" s="245">
        <f>IF(G178=0,0,G146/G178)</f>
        <v>0</v>
      </c>
    </row>
    <row r="165" spans="1:7">
      <c r="A165" s="328" t="s">
        <v>493</v>
      </c>
      <c r="B165" s="34"/>
      <c r="C165" s="34" t="s">
        <v>118</v>
      </c>
      <c r="D165" s="259">
        <f t="shared" ref="D165:E165" si="68">IF(D177=0,0,D180/D177)</f>
        <v>5.3646048641823797E-2</v>
      </c>
      <c r="E165" s="259">
        <f t="shared" si="68"/>
        <v>2.9801845975495306E-2</v>
      </c>
      <c r="F165" s="259">
        <f t="shared" ref="F165:G165" si="69">IF(F177=0,0,F180/F177)</f>
        <v>3.1669364643172437E-2</v>
      </c>
      <c r="G165" s="259">
        <f t="shared" si="69"/>
        <v>2.9681995489350906E-2</v>
      </c>
    </row>
    <row r="166" spans="1:7">
      <c r="A166" s="326" t="s">
        <v>411</v>
      </c>
      <c r="B166" s="19"/>
      <c r="C166" s="19" t="s">
        <v>20</v>
      </c>
      <c r="D166" s="55">
        <f t="shared" ref="D166:E166" si="70">D55</f>
        <v>118022.30000000002</v>
      </c>
      <c r="E166" s="55">
        <f t="shared" si="70"/>
        <v>67811.88900000001</v>
      </c>
      <c r="F166" s="55">
        <f t="shared" ref="F166:G166" si="71">F55</f>
        <v>99382.399999999994</v>
      </c>
      <c r="G166" s="55">
        <f t="shared" si="71"/>
        <v>68084.400000000023</v>
      </c>
    </row>
    <row r="167" spans="1:7">
      <c r="A167" s="327" t="s">
        <v>410</v>
      </c>
      <c r="B167" s="48"/>
      <c r="C167" s="48" t="s">
        <v>119</v>
      </c>
      <c r="D167" s="241">
        <f t="shared" ref="D167:E167" si="72">IF(0=D111,0,(D44+D45+D46+D47+D48)/D111)</f>
        <v>3.3174101148739372E-2</v>
      </c>
      <c r="E167" s="241">
        <f t="shared" si="72"/>
        <v>0</v>
      </c>
      <c r="F167" s="241">
        <f t="shared" ref="F167:G167" si="73">IF(0=F111,0,(F44+F45+F46+F47+F48)/F111)</f>
        <v>2.4143442236404741E-2</v>
      </c>
      <c r="G167" s="241">
        <f t="shared" si="73"/>
        <v>0</v>
      </c>
    </row>
    <row r="168" spans="1:7">
      <c r="A168" s="326" t="s">
        <v>396</v>
      </c>
      <c r="B168" s="46"/>
      <c r="C168" s="46" t="s">
        <v>397</v>
      </c>
      <c r="D168" s="55">
        <f t="shared" ref="D168:E168" si="74">D38-D44</f>
        <v>10999.3</v>
      </c>
      <c r="E168" s="55">
        <f t="shared" si="74"/>
        <v>7645.3109999999979</v>
      </c>
      <c r="F168" s="55">
        <f t="shared" ref="F168:G168" si="75">F38-F44</f>
        <v>6076.5</v>
      </c>
      <c r="G168" s="55">
        <f t="shared" si="75"/>
        <v>11049.400000000001</v>
      </c>
    </row>
    <row r="169" spans="1:7">
      <c r="A169" s="327" t="s">
        <v>398</v>
      </c>
      <c r="B169" s="48"/>
      <c r="C169" s="48" t="s">
        <v>120</v>
      </c>
      <c r="D169" s="258">
        <f t="shared" ref="D169:E169" si="76">IF(D177=0,0,D168/D177)</f>
        <v>4.7065789709591164E-3</v>
      </c>
      <c r="E169" s="258">
        <f t="shared" si="76"/>
        <v>3.2075347695526154E-3</v>
      </c>
      <c r="F169" s="258">
        <f t="shared" ref="F169:G169" si="77">IF(F177=0,0,F168/F177)</f>
        <v>2.5436509380029407E-3</v>
      </c>
      <c r="G169" s="258">
        <f t="shared" si="77"/>
        <v>3.8717870613127797E-3</v>
      </c>
    </row>
    <row r="170" spans="1:7">
      <c r="A170" s="326" t="s">
        <v>366</v>
      </c>
      <c r="B170" s="19"/>
      <c r="C170" s="19" t="s">
        <v>364</v>
      </c>
      <c r="D170" s="55">
        <f t="shared" ref="D170:E170" si="78">SUM(D82:D87)+SUM(D89:D94)</f>
        <v>190053</v>
      </c>
      <c r="E170" s="55">
        <f t="shared" si="78"/>
        <v>361380.4</v>
      </c>
      <c r="F170" s="55">
        <f t="shared" ref="F170:G170" si="79">SUM(F82:F87)+SUM(F89:F94)</f>
        <v>299998.90000000002</v>
      </c>
      <c r="G170" s="55">
        <f t="shared" si="79"/>
        <v>246890</v>
      </c>
    </row>
    <row r="171" spans="1:7">
      <c r="A171" s="326" t="s">
        <v>367</v>
      </c>
      <c r="B171" s="19"/>
      <c r="C171" s="19" t="s">
        <v>365</v>
      </c>
      <c r="D171" s="40">
        <f t="shared" ref="D171:E171" si="80">SUM(D96:D102)+SUM(D104:D105)</f>
        <v>75106.7</v>
      </c>
      <c r="E171" s="40">
        <f t="shared" si="80"/>
        <v>60900</v>
      </c>
      <c r="F171" s="40">
        <f t="shared" ref="F171:G171" si="81">SUM(F96:F102)+SUM(F104:F105)</f>
        <v>82635.3</v>
      </c>
      <c r="G171" s="40">
        <f t="shared" si="81"/>
        <v>42690</v>
      </c>
    </row>
    <row r="172" spans="1:7">
      <c r="A172" s="328" t="s">
        <v>368</v>
      </c>
      <c r="B172" s="34"/>
      <c r="C172" s="34" t="s">
        <v>121</v>
      </c>
      <c r="D172" s="259">
        <f t="shared" ref="D172:E172" si="82">IF(D184=0,0,D170/D184)</f>
        <v>7.5548390971877238E-2</v>
      </c>
      <c r="E172" s="259">
        <f t="shared" si="82"/>
        <v>0.13598641386673052</v>
      </c>
      <c r="F172" s="259">
        <f t="shared" ref="F172:G172" si="83">IF(F184=0,0,F170/F184)</f>
        <v>0.11535744269146203</v>
      </c>
      <c r="G172" s="259">
        <f t="shared" si="83"/>
        <v>6.2933760922980225E-2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3">
        <v>277973</v>
      </c>
      <c r="E175" s="344">
        <v>277973</v>
      </c>
      <c r="F175" s="344">
        <v>279038</v>
      </c>
      <c r="G175" s="344">
        <v>279038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4">SUM(D22:D32)+SUM(D44:D53)+SUM(D65:D72)+D75</f>
        <v>2337005.2999999998</v>
      </c>
      <c r="E177" s="39">
        <f t="shared" si="84"/>
        <v>2383547.35</v>
      </c>
      <c r="F177" s="39">
        <f t="shared" ref="F177:G177" si="85">SUM(F22:F32)+SUM(F44:F53)+SUM(F65:F72)+F75</f>
        <v>2388889.0999999996</v>
      </c>
      <c r="G177" s="39">
        <f t="shared" si="85"/>
        <v>2853824.3000000003</v>
      </c>
    </row>
    <row r="178" spans="1:7">
      <c r="A178" s="236" t="s">
        <v>385</v>
      </c>
      <c r="B178" s="23"/>
      <c r="C178" s="23" t="s">
        <v>100</v>
      </c>
      <c r="D178" s="39">
        <f t="shared" ref="D178:E178" si="86">D78-D17-D20-D59-D63-D64</f>
        <v>2489757.4</v>
      </c>
      <c r="E178" s="39">
        <f t="shared" si="86"/>
        <v>2408304.4000000004</v>
      </c>
      <c r="F178" s="39">
        <f t="shared" ref="F178:G178" si="87">F78-F17-F20-F59-F63-F64</f>
        <v>2420862.1999999997</v>
      </c>
      <c r="G178" s="39">
        <f t="shared" si="87"/>
        <v>3797842.5</v>
      </c>
    </row>
    <row r="179" spans="1:7">
      <c r="A179" s="236"/>
      <c r="B179" s="23"/>
      <c r="C179" s="23" t="s">
        <v>388</v>
      </c>
      <c r="D179" s="39">
        <f t="shared" ref="D179:E179" si="88">D178+D170</f>
        <v>2679810.4</v>
      </c>
      <c r="E179" s="39">
        <f t="shared" si="88"/>
        <v>2769684.8000000003</v>
      </c>
      <c r="F179" s="39">
        <f t="shared" ref="F179:G179" si="89">F178+F170</f>
        <v>2720861.0999999996</v>
      </c>
      <c r="G179" s="39">
        <f t="shared" si="89"/>
        <v>4044732.5</v>
      </c>
    </row>
    <row r="180" spans="1:7">
      <c r="A180" s="236" t="s">
        <v>389</v>
      </c>
      <c r="B180" s="23"/>
      <c r="C180" s="23" t="s">
        <v>390</v>
      </c>
      <c r="D180" s="39">
        <f t="shared" ref="D180:E180" si="90">D38-D44+D8+D9+D10+D16-D33</f>
        <v>125371.1</v>
      </c>
      <c r="E180" s="39">
        <f t="shared" si="90"/>
        <v>71034.111000000004</v>
      </c>
      <c r="F180" s="39">
        <f t="shared" ref="F180:G180" si="91">F38-F44+F8+F9+F10+F16-F33</f>
        <v>75654.600000000006</v>
      </c>
      <c r="G180" s="39">
        <f t="shared" si="91"/>
        <v>84707.200000000012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2">D22+D23+D24+D25+D26+D29+SUM(D44:D47)+SUM(D49:D53)-D54+D32-D33+SUM(D65:D70)+D72</f>
        <v>2302642.1999999997</v>
      </c>
      <c r="E181" s="73">
        <f t="shared" si="92"/>
        <v>2311323.87</v>
      </c>
      <c r="F181" s="73">
        <f t="shared" ref="F181:G181" si="93">F22+F23+F24+F25+F26+F29+SUM(F44:F47)+SUM(F49:F53)-F54+F32-F33+SUM(F65:F70)+F72</f>
        <v>2310704.6999999997</v>
      </c>
      <c r="G181" s="73">
        <f t="shared" si="93"/>
        <v>2851500.5</v>
      </c>
    </row>
    <row r="182" spans="1:7">
      <c r="A182" s="237" t="s">
        <v>375</v>
      </c>
      <c r="B182" s="71"/>
      <c r="C182" s="71" t="s">
        <v>170</v>
      </c>
      <c r="D182" s="73">
        <f t="shared" ref="D182:E182" si="94">D181+D171</f>
        <v>2377748.9</v>
      </c>
      <c r="E182" s="73">
        <f t="shared" si="94"/>
        <v>2372223.87</v>
      </c>
      <c r="F182" s="73">
        <f t="shared" ref="F182:G182" si="95">F181+F171</f>
        <v>2393339.9999999995</v>
      </c>
      <c r="G182" s="73">
        <f t="shared" si="95"/>
        <v>2894190.5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2325592.9</v>
      </c>
      <c r="E183" s="73">
        <f t="shared" ref="E183:G183" si="96">E4+E5-E7+E38+E39+E40+E41+E43+E13-E16+E57+E58+E60+E62</f>
        <v>2296093.9000000004</v>
      </c>
      <c r="F183" s="73">
        <f t="shared" si="96"/>
        <v>2300604.0000000005</v>
      </c>
      <c r="G183" s="73">
        <f t="shared" si="96"/>
        <v>3676123.6</v>
      </c>
    </row>
    <row r="184" spans="1:7">
      <c r="A184" s="237" t="s">
        <v>373</v>
      </c>
      <c r="B184" s="71"/>
      <c r="C184" s="71" t="s">
        <v>171</v>
      </c>
      <c r="D184" s="73">
        <f t="shared" ref="D184:E184" si="97">D183+D170</f>
        <v>2515645.9</v>
      </c>
      <c r="E184" s="73">
        <f t="shared" si="97"/>
        <v>2657474.3000000003</v>
      </c>
      <c r="F184" s="73">
        <f t="shared" ref="F184:G184" si="98">F183+F170</f>
        <v>2600602.9000000004</v>
      </c>
      <c r="G184" s="73">
        <f t="shared" si="98"/>
        <v>3923013.6</v>
      </c>
    </row>
    <row r="185" spans="1:7">
      <c r="A185" s="237"/>
      <c r="B185" s="71"/>
      <c r="C185" s="71" t="s">
        <v>405</v>
      </c>
      <c r="D185" s="73">
        <f t="shared" ref="D185:E185" si="99">D181-D183</f>
        <v>-22950.700000000186</v>
      </c>
      <c r="E185" s="73">
        <f t="shared" si="99"/>
        <v>15229.969999999739</v>
      </c>
      <c r="F185" s="73">
        <f t="shared" ref="F185:G185" si="100">F181-F183</f>
        <v>10100.699999999255</v>
      </c>
      <c r="G185" s="73">
        <f t="shared" si="100"/>
        <v>-824623.10000000009</v>
      </c>
    </row>
    <row r="186" spans="1:7">
      <c r="A186" s="237"/>
      <c r="B186" s="71"/>
      <c r="C186" s="71" t="s">
        <v>406</v>
      </c>
      <c r="D186" s="73">
        <f t="shared" ref="D186:E186" si="101">D182-D184</f>
        <v>-137897</v>
      </c>
      <c r="E186" s="73">
        <f t="shared" si="101"/>
        <v>-285250.43000000017</v>
      </c>
      <c r="F186" s="73">
        <f t="shared" ref="F186:G186" si="102">F182-F184</f>
        <v>-207262.90000000084</v>
      </c>
      <c r="G186" s="73">
        <f t="shared" si="102"/>
        <v>-1028823.1000000001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3"/>
  <sheetViews>
    <sheetView view="pageLayout" zoomScaleNormal="100" workbookViewId="0">
      <selection activeCell="L9" sqref="L9"/>
    </sheetView>
  </sheetViews>
  <sheetFormatPr baseColWidth="10" defaultRowHeight="13"/>
  <sheetData>
    <row r="1" spans="1:12">
      <c r="A1" s="372" t="s">
        <v>513</v>
      </c>
      <c r="B1" s="373" t="s">
        <v>509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12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12">
      <c r="A3" s="377"/>
      <c r="B3" s="382" t="s">
        <v>517</v>
      </c>
      <c r="C3" s="433"/>
      <c r="D3" s="384"/>
      <c r="E3" s="385" t="s">
        <v>470</v>
      </c>
      <c r="F3" s="384"/>
      <c r="G3" s="385"/>
      <c r="H3" s="384"/>
      <c r="I3" s="386"/>
    </row>
    <row r="4" spans="1:12">
      <c r="A4" s="372" t="s">
        <v>518</v>
      </c>
      <c r="B4" s="387" t="s">
        <v>1</v>
      </c>
      <c r="C4" s="388">
        <v>171751.77202</v>
      </c>
      <c r="D4" s="389">
        <f t="shared" ref="D4:D16" si="0">CHOOSE((C4&lt;&gt;0)+1,"  -",(E4-C4)/C4)</f>
        <v>2.3905593122625191E-2</v>
      </c>
      <c r="E4" s="388">
        <v>175857.6</v>
      </c>
      <c r="F4" s="389">
        <f t="shared" ref="F4:F27" si="1">CHOOSE((E4&lt;&gt;0)+1,"  -",(G4-E4)/E4)</f>
        <v>-1.8068027767921286E-2</v>
      </c>
      <c r="G4" s="388">
        <v>172680.2</v>
      </c>
      <c r="H4" s="389">
        <f t="shared" ref="H4:H16" si="2">CHOOSE((G4&lt;&gt;0)+1,"  -",(I4-G4)/G4)</f>
        <v>2.4878358954875932E-3</v>
      </c>
      <c r="I4" s="390">
        <v>173109.8</v>
      </c>
    </row>
    <row r="5" spans="1:12">
      <c r="A5" s="391" t="s">
        <v>519</v>
      </c>
      <c r="B5" s="382" t="s">
        <v>520</v>
      </c>
      <c r="C5" s="392">
        <v>62393.445140000003</v>
      </c>
      <c r="D5" s="393">
        <f t="shared" si="0"/>
        <v>7.1562883728910828E-2</v>
      </c>
      <c r="E5" s="392">
        <v>66858.5</v>
      </c>
      <c r="F5" s="393">
        <f t="shared" si="1"/>
        <v>-7.9855216614191787E-3</v>
      </c>
      <c r="G5" s="392">
        <v>66324.600000000006</v>
      </c>
      <c r="H5" s="393">
        <f t="shared" si="2"/>
        <v>-8.5847483437517941E-2</v>
      </c>
      <c r="I5" s="394">
        <v>60630.8</v>
      </c>
    </row>
    <row r="6" spans="1:12">
      <c r="A6" s="391" t="s">
        <v>229</v>
      </c>
      <c r="B6" s="382" t="s">
        <v>521</v>
      </c>
      <c r="C6" s="392">
        <v>8794.2108399999997</v>
      </c>
      <c r="D6" s="393">
        <f t="shared" si="0"/>
        <v>0.16574416812594858</v>
      </c>
      <c r="E6" s="392">
        <v>10251.799999999999</v>
      </c>
      <c r="F6" s="393">
        <f t="shared" si="1"/>
        <v>-2.0796347958407201E-2</v>
      </c>
      <c r="G6" s="392">
        <v>10038.6</v>
      </c>
      <c r="H6" s="393">
        <f t="shared" si="2"/>
        <v>-0.16036100651485277</v>
      </c>
      <c r="I6" s="394">
        <v>8428.7999999999993</v>
      </c>
    </row>
    <row r="7" spans="1:12">
      <c r="A7" s="391" t="s">
        <v>522</v>
      </c>
      <c r="B7" s="382" t="s">
        <v>523</v>
      </c>
      <c r="C7" s="392">
        <v>3541.7187600000002</v>
      </c>
      <c r="D7" s="393">
        <f t="shared" si="0"/>
        <v>-0.43095425227947803</v>
      </c>
      <c r="E7" s="392">
        <v>2015.4</v>
      </c>
      <c r="F7" s="393">
        <f t="shared" si="1"/>
        <v>-9.3480202441202781E-2</v>
      </c>
      <c r="G7" s="392">
        <v>1827</v>
      </c>
      <c r="H7" s="393">
        <f t="shared" si="2"/>
        <v>0.29660645867542423</v>
      </c>
      <c r="I7" s="394">
        <v>2368.9</v>
      </c>
    </row>
    <row r="8" spans="1:12">
      <c r="A8" s="391" t="s">
        <v>524</v>
      </c>
      <c r="B8" s="382" t="s">
        <v>525</v>
      </c>
      <c r="C8" s="392">
        <v>2883.3993</v>
      </c>
      <c r="D8" s="393">
        <f t="shared" si="0"/>
        <v>0.2493240183556957</v>
      </c>
      <c r="E8" s="392">
        <v>3602.3</v>
      </c>
      <c r="F8" s="393">
        <f t="shared" si="1"/>
        <v>-5.6908086500291478E-2</v>
      </c>
      <c r="G8" s="392">
        <v>3397.3</v>
      </c>
      <c r="H8" s="393">
        <f t="shared" si="2"/>
        <v>-9.5075501133253405E-3</v>
      </c>
      <c r="I8" s="394">
        <v>3365</v>
      </c>
    </row>
    <row r="9" spans="1:12">
      <c r="A9" s="391" t="s">
        <v>526</v>
      </c>
      <c r="B9" s="382" t="s">
        <v>527</v>
      </c>
      <c r="C9" s="392">
        <v>15338.77054</v>
      </c>
      <c r="D9" s="393">
        <f t="shared" si="0"/>
        <v>0.12694169033445896</v>
      </c>
      <c r="E9" s="392">
        <v>17285.900000000001</v>
      </c>
      <c r="F9" s="393">
        <f t="shared" si="1"/>
        <v>4.5123482144406712E-3</v>
      </c>
      <c r="G9" s="392">
        <v>17363.900000000001</v>
      </c>
      <c r="H9" s="393">
        <f t="shared" si="2"/>
        <v>5.8253042231295959E-2</v>
      </c>
      <c r="I9" s="394">
        <v>18375.400000000001</v>
      </c>
      <c r="L9" s="806" t="s">
        <v>716</v>
      </c>
    </row>
    <row r="10" spans="1:12">
      <c r="A10" s="391" t="s">
        <v>528</v>
      </c>
      <c r="B10" s="382" t="s">
        <v>529</v>
      </c>
      <c r="C10" s="392">
        <v>372627.96366000001</v>
      </c>
      <c r="D10" s="393">
        <f t="shared" si="0"/>
        <v>-4.0100685018998692E-3</v>
      </c>
      <c r="E10" s="392">
        <v>371133.69999999995</v>
      </c>
      <c r="F10" s="393">
        <f t="shared" si="1"/>
        <v>1.7705748629133034E-2</v>
      </c>
      <c r="G10" s="392">
        <v>377704.9</v>
      </c>
      <c r="H10" s="393">
        <f t="shared" si="2"/>
        <v>2.6354701779087136E-2</v>
      </c>
      <c r="I10" s="394">
        <v>387659.19999999995</v>
      </c>
    </row>
    <row r="11" spans="1:12">
      <c r="A11" s="391" t="s">
        <v>530</v>
      </c>
      <c r="B11" s="382" t="s">
        <v>531</v>
      </c>
      <c r="C11" s="392">
        <v>67875.139569999999</v>
      </c>
      <c r="D11" s="393">
        <f t="shared" si="0"/>
        <v>2.3270087398805279E-2</v>
      </c>
      <c r="E11" s="392">
        <v>69454.600000000006</v>
      </c>
      <c r="F11" s="393">
        <f t="shared" si="1"/>
        <v>4.5569335940312088E-3</v>
      </c>
      <c r="G11" s="392">
        <v>69771.100000000006</v>
      </c>
      <c r="H11" s="393">
        <f t="shared" si="2"/>
        <v>-2.0231872508818204E-2</v>
      </c>
      <c r="I11" s="394">
        <v>68359.5</v>
      </c>
    </row>
    <row r="12" spans="1:12">
      <c r="A12" s="391" t="s">
        <v>532</v>
      </c>
      <c r="B12" s="382" t="s">
        <v>533</v>
      </c>
      <c r="C12" s="392">
        <v>4185.0911500000002</v>
      </c>
      <c r="D12" s="393">
        <f t="shared" si="0"/>
        <v>1.312010850707512E-2</v>
      </c>
      <c r="E12" s="392">
        <v>4240</v>
      </c>
      <c r="F12" s="393">
        <f t="shared" si="1"/>
        <v>-1.7641509433962307E-2</v>
      </c>
      <c r="G12" s="392">
        <v>4165.2</v>
      </c>
      <c r="H12" s="393">
        <f t="shared" si="2"/>
        <v>-0.21492365312590028</v>
      </c>
      <c r="I12" s="394">
        <v>3270</v>
      </c>
    </row>
    <row r="13" spans="1:12">
      <c r="A13" s="391" t="s">
        <v>534</v>
      </c>
      <c r="B13" s="382" t="s">
        <v>535</v>
      </c>
      <c r="C13" s="392">
        <v>113234.04996</v>
      </c>
      <c r="D13" s="393">
        <f t="shared" si="0"/>
        <v>-7.1727982553561609E-2</v>
      </c>
      <c r="E13" s="392">
        <v>105112</v>
      </c>
      <c r="F13" s="393">
        <f t="shared" si="1"/>
        <v>8.0699634675393872E-2</v>
      </c>
      <c r="G13" s="392">
        <v>113594.5</v>
      </c>
      <c r="H13" s="393">
        <f t="shared" si="2"/>
        <v>2.2214103675794111E-2</v>
      </c>
      <c r="I13" s="394">
        <v>116117.9</v>
      </c>
    </row>
    <row r="14" spans="1:12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0</v>
      </c>
    </row>
    <row r="15" spans="1:12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12">
      <c r="A16" s="391" t="s">
        <v>540</v>
      </c>
      <c r="B16" s="382" t="s">
        <v>541</v>
      </c>
      <c r="C16" s="392">
        <v>618.26205300000004</v>
      </c>
      <c r="D16" s="393">
        <f t="shared" si="0"/>
        <v>0.16859832573292341</v>
      </c>
      <c r="E16" s="392">
        <v>722.5</v>
      </c>
      <c r="F16" s="393">
        <f t="shared" si="1"/>
        <v>-0.25176470588235289</v>
      </c>
      <c r="G16" s="392">
        <v>540.6</v>
      </c>
      <c r="H16" s="393">
        <f t="shared" si="2"/>
        <v>0.33647798742138357</v>
      </c>
      <c r="I16" s="394">
        <v>722.5</v>
      </c>
    </row>
    <row r="17" spans="1:9">
      <c r="A17" s="391" t="s">
        <v>542</v>
      </c>
      <c r="B17" s="382" t="s">
        <v>543</v>
      </c>
      <c r="C17" s="392">
        <v>6448.2160000000003</v>
      </c>
      <c r="D17" s="393">
        <f>CHOOSE((C17&lt;&gt;0)+1,"  -",(E17-C17)/C17)</f>
        <v>8.4959933103977356E-3</v>
      </c>
      <c r="E17" s="392">
        <v>6503</v>
      </c>
      <c r="F17" s="393">
        <f t="shared" si="1"/>
        <v>1.3409195755804985E-2</v>
      </c>
      <c r="G17" s="392">
        <v>6590.2</v>
      </c>
      <c r="H17" s="393">
        <f>CHOOSE((G17&lt;&gt;0)+1,"  -",(I17-G17)/G17)</f>
        <v>1.6205881460350246E-2</v>
      </c>
      <c r="I17" s="394">
        <v>6697</v>
      </c>
    </row>
    <row r="18" spans="1:9">
      <c r="A18" s="391">
        <v>389</v>
      </c>
      <c r="B18" s="382" t="s">
        <v>7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20388.97265</v>
      </c>
      <c r="D19" s="393">
        <f t="shared" ref="D19:D27" si="3">CHOOSE((C19&lt;&gt;0)+1,"  -",(E19-C19)/C19)</f>
        <v>2.1253025222926058E-2</v>
      </c>
      <c r="E19" s="397">
        <v>20822.3</v>
      </c>
      <c r="F19" s="393">
        <f t="shared" si="1"/>
        <v>-1.349514702986632E-3</v>
      </c>
      <c r="G19" s="397">
        <v>20794.2</v>
      </c>
      <c r="H19" s="393">
        <f t="shared" ref="H19:H27" si="4">CHOOSE((G19&lt;&gt;0)+1,"  -",(I19-G19)/G19)</f>
        <v>2.4290427138336582E-2</v>
      </c>
      <c r="I19" s="398">
        <v>21299.3</v>
      </c>
    </row>
    <row r="20" spans="1:9">
      <c r="A20" s="399" t="s">
        <v>546</v>
      </c>
      <c r="B20" s="400" t="s">
        <v>547</v>
      </c>
      <c r="C20" s="401">
        <f>C19+C18+C17+C10+C9+C8+C7+C5+C4</f>
        <v>655374.2580700001</v>
      </c>
      <c r="D20" s="402">
        <f t="shared" si="3"/>
        <v>1.3281635375233398E-2</v>
      </c>
      <c r="E20" s="401">
        <f>E19+E18+E17+E10+E9+E8+E7+E5+E4</f>
        <v>664078.69999999995</v>
      </c>
      <c r="F20" s="402">
        <f t="shared" si="1"/>
        <v>3.9206196494483156E-3</v>
      </c>
      <c r="G20" s="401">
        <f>G19+G18+G17+G10+G9+G8+G7+G5+G4</f>
        <v>666682.30000000005</v>
      </c>
      <c r="H20" s="402">
        <f t="shared" si="4"/>
        <v>1.0234410003085217E-2</v>
      </c>
      <c r="I20" s="401">
        <f>I19+I18+I17+I10+I9+I8+I7+I5+I4</f>
        <v>673505.39999999991</v>
      </c>
    </row>
    <row r="21" spans="1:9">
      <c r="A21" s="403" t="s">
        <v>548</v>
      </c>
      <c r="B21" s="404" t="s">
        <v>549</v>
      </c>
      <c r="C21" s="388">
        <v>261043.20894000001</v>
      </c>
      <c r="D21" s="393">
        <f t="shared" si="3"/>
        <v>5.8905156439194313E-2</v>
      </c>
      <c r="E21" s="388">
        <v>276420</v>
      </c>
      <c r="F21" s="393">
        <f t="shared" si="1"/>
        <v>4.2786339628102582E-3</v>
      </c>
      <c r="G21" s="388">
        <v>277602.7</v>
      </c>
      <c r="H21" s="393">
        <f t="shared" si="4"/>
        <v>-2.378471102766656E-2</v>
      </c>
      <c r="I21" s="390">
        <v>271000</v>
      </c>
    </row>
    <row r="22" spans="1:9">
      <c r="A22" s="405" t="s">
        <v>550</v>
      </c>
      <c r="B22" s="378" t="s">
        <v>551</v>
      </c>
      <c r="C22" s="392">
        <v>17642.925450000002</v>
      </c>
      <c r="D22" s="393">
        <f t="shared" si="3"/>
        <v>7.4424989989400961E-2</v>
      </c>
      <c r="E22" s="392">
        <v>18956</v>
      </c>
      <c r="F22" s="393">
        <f t="shared" si="1"/>
        <v>-6.9160160371385601E-3</v>
      </c>
      <c r="G22" s="392">
        <v>18824.900000000001</v>
      </c>
      <c r="H22" s="393">
        <f t="shared" si="4"/>
        <v>-2.756455545580595E-2</v>
      </c>
      <c r="I22" s="394">
        <v>18306</v>
      </c>
    </row>
    <row r="23" spans="1:9">
      <c r="A23" s="405" t="s">
        <v>552</v>
      </c>
      <c r="B23" s="378" t="s">
        <v>553</v>
      </c>
      <c r="C23" s="392">
        <v>61263.657469999998</v>
      </c>
      <c r="D23" s="393">
        <f t="shared" si="3"/>
        <v>-7.9235515319617714E-2</v>
      </c>
      <c r="E23" s="392">
        <v>56409.4</v>
      </c>
      <c r="F23" s="393">
        <f t="shared" si="1"/>
        <v>-1.5759784716731866E-3</v>
      </c>
      <c r="G23" s="392">
        <v>56320.5</v>
      </c>
      <c r="H23" s="393">
        <f t="shared" si="4"/>
        <v>4.9600056817677401E-2</v>
      </c>
      <c r="I23" s="394">
        <v>59114</v>
      </c>
    </row>
    <row r="24" spans="1:9">
      <c r="A24" s="405" t="s">
        <v>554</v>
      </c>
      <c r="B24" s="378" t="s">
        <v>555</v>
      </c>
      <c r="C24" s="392">
        <v>70929.051999999996</v>
      </c>
      <c r="D24" s="393">
        <f t="shared" si="3"/>
        <v>8.6924607423205062E-3</v>
      </c>
      <c r="E24" s="392">
        <v>71545.600000000006</v>
      </c>
      <c r="F24" s="393">
        <f t="shared" si="1"/>
        <v>2.4274029430181549E-2</v>
      </c>
      <c r="G24" s="392">
        <v>73282.3</v>
      </c>
      <c r="H24" s="393">
        <f t="shared" si="4"/>
        <v>-2.4059015614957577E-2</v>
      </c>
      <c r="I24" s="394">
        <v>71519.199999999997</v>
      </c>
    </row>
    <row r="25" spans="1:9">
      <c r="A25" s="405" t="s">
        <v>556</v>
      </c>
      <c r="B25" s="378" t="s">
        <v>557</v>
      </c>
      <c r="C25" s="392">
        <v>185445.91191999998</v>
      </c>
      <c r="D25" s="393">
        <f t="shared" si="3"/>
        <v>1.6317901261180011E-2</v>
      </c>
      <c r="E25" s="392">
        <v>188472.00000000003</v>
      </c>
      <c r="F25" s="393">
        <f t="shared" si="1"/>
        <v>2.5380958444755592E-2</v>
      </c>
      <c r="G25" s="392">
        <v>193255.6</v>
      </c>
      <c r="H25" s="393">
        <f t="shared" si="4"/>
        <v>-3.6450690174049227E-2</v>
      </c>
      <c r="I25" s="394">
        <v>186211.30000000002</v>
      </c>
    </row>
    <row r="26" spans="1:9">
      <c r="A26" s="406" t="s">
        <v>558</v>
      </c>
      <c r="B26" s="378" t="s">
        <v>559</v>
      </c>
      <c r="C26" s="392">
        <v>8765.9438699999992</v>
      </c>
      <c r="D26" s="393">
        <f t="shared" si="3"/>
        <v>-0.10714691811048517</v>
      </c>
      <c r="E26" s="392">
        <v>7826.7</v>
      </c>
      <c r="F26" s="393">
        <f t="shared" si="1"/>
        <v>0.17007167771857865</v>
      </c>
      <c r="G26" s="392">
        <v>9157.7999999999993</v>
      </c>
      <c r="H26" s="393">
        <f t="shared" si="4"/>
        <v>-0.10220795387538492</v>
      </c>
      <c r="I26" s="394">
        <v>8221.7999999999993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20388.97265</v>
      </c>
      <c r="D28" s="393">
        <f>CHOOSE((C28&lt;&gt;0)+1,"  -",(E28-C28)/C28)</f>
        <v>2.1253025222926058E-2</v>
      </c>
      <c r="E28" s="397">
        <v>20822.3</v>
      </c>
      <c r="F28" s="393">
        <f>CHOOSE((E28&lt;&gt;0)+1,"  -",(G28-E28)/E28)</f>
        <v>-1.349514702986632E-3</v>
      </c>
      <c r="G28" s="397">
        <v>20794.2</v>
      </c>
      <c r="H28" s="393">
        <f>CHOOSE((G28&lt;&gt;0)+1,"  -",(I28-G28)/G28)</f>
        <v>2.4290427138336582E-2</v>
      </c>
      <c r="I28" s="398">
        <v>21299.3</v>
      </c>
    </row>
    <row r="29" spans="1:9">
      <c r="A29" s="410" t="s">
        <v>562</v>
      </c>
      <c r="B29" s="411" t="s">
        <v>563</v>
      </c>
      <c r="C29" s="401">
        <f t="shared" ref="C29:E29" si="5">SUM(C21:C28)</f>
        <v>625479.67229999998</v>
      </c>
      <c r="D29" s="412">
        <f>CHOOSE((C29&lt;&gt;0)+1,"  -",(E29-C29)/C29)</f>
        <v>2.3937352983741441E-2</v>
      </c>
      <c r="E29" s="401">
        <f t="shared" si="5"/>
        <v>640452</v>
      </c>
      <c r="F29" s="413">
        <f>CHOOSE((E29&lt;&gt;0)+1,"  -",(G29-E29)/E29)</f>
        <v>1.3718436354324758E-2</v>
      </c>
      <c r="G29" s="401">
        <f t="shared" ref="G29" si="6">SUM(G21:G28)</f>
        <v>649238</v>
      </c>
      <c r="H29" s="412">
        <f>CHOOSE((G29&lt;&gt;0)+1,"  -",(I29-G29)/G29)</f>
        <v>-2.089588101743876E-2</v>
      </c>
      <c r="I29" s="401">
        <f t="shared" ref="I29" si="7">SUM(I21:I28)</f>
        <v>635671.60000000009</v>
      </c>
    </row>
    <row r="30" spans="1:9">
      <c r="A30" s="414" t="s">
        <v>564</v>
      </c>
      <c r="B30" s="415" t="s">
        <v>565</v>
      </c>
      <c r="C30" s="416">
        <f t="shared" ref="C30:E30" si="8">C29-C20</f>
        <v>-29894.585770000122</v>
      </c>
      <c r="D30" s="417"/>
      <c r="E30" s="416">
        <f t="shared" si="8"/>
        <v>-23626.699999999953</v>
      </c>
      <c r="F30" s="418"/>
      <c r="G30" s="416">
        <f t="shared" ref="G30" si="9">G29-G20</f>
        <v>-17444.300000000047</v>
      </c>
      <c r="H30" s="417"/>
      <c r="I30" s="416">
        <f t="shared" ref="I30" si="10">I29-I20</f>
        <v>-37833.799999999814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21401.859090000002</v>
      </c>
      <c r="D32" s="393">
        <f t="shared" ref="D32:D42" si="11">CHOOSE((C32&lt;&gt;0)+1,"  -",(E32-C32)/C32)</f>
        <v>7.1121901307686725E-2</v>
      </c>
      <c r="E32" s="392">
        <v>22924</v>
      </c>
      <c r="F32" s="393">
        <f t="shared" ref="F32:F42" si="12">CHOOSE((E32&lt;&gt;0)+1,"  -",(G32-E32)/E32)</f>
        <v>-0.22313296108881514</v>
      </c>
      <c r="G32" s="392">
        <v>17808.900000000001</v>
      </c>
      <c r="H32" s="393">
        <f t="shared" ref="H32:H42" si="13">CHOOSE((G32&lt;&gt;0)+1,"  -",(I32-G32)/G32)</f>
        <v>-0.16839333142417562</v>
      </c>
      <c r="I32" s="394">
        <v>14810</v>
      </c>
    </row>
    <row r="33" spans="1:9">
      <c r="A33" s="406" t="s">
        <v>569</v>
      </c>
      <c r="B33" s="378" t="s">
        <v>570</v>
      </c>
      <c r="C33" s="392">
        <v>9907.0499999999993</v>
      </c>
      <c r="D33" s="393">
        <f t="shared" si="11"/>
        <v>-0.99142025123523148</v>
      </c>
      <c r="E33" s="392">
        <v>85</v>
      </c>
      <c r="F33" s="393">
        <f t="shared" si="12"/>
        <v>-0.25647058823529406</v>
      </c>
      <c r="G33" s="392">
        <v>63.2</v>
      </c>
      <c r="H33" s="393">
        <f t="shared" si="13"/>
        <v>-5.0632911392405104E-2</v>
      </c>
      <c r="I33" s="394">
        <v>60</v>
      </c>
    </row>
    <row r="34" spans="1:9">
      <c r="A34" s="405" t="s">
        <v>571</v>
      </c>
      <c r="B34" s="378" t="s">
        <v>572</v>
      </c>
      <c r="C34" s="392">
        <v>16878.464249999997</v>
      </c>
      <c r="D34" s="393">
        <f t="shared" si="11"/>
        <v>0.37826520561549337</v>
      </c>
      <c r="E34" s="392">
        <v>23263</v>
      </c>
      <c r="F34" s="393">
        <f t="shared" si="12"/>
        <v>-7.8175643726088581E-2</v>
      </c>
      <c r="G34" s="392">
        <v>21444.400000000001</v>
      </c>
      <c r="H34" s="393">
        <f t="shared" si="13"/>
        <v>0.565070601182593</v>
      </c>
      <c r="I34" s="394">
        <v>33562</v>
      </c>
    </row>
    <row r="35" spans="1:9">
      <c r="A35" s="410" t="s">
        <v>573</v>
      </c>
      <c r="B35" s="411" t="s">
        <v>574</v>
      </c>
      <c r="C35" s="401">
        <f t="shared" ref="C35:G35" si="14">SUM(C32:C34)</f>
        <v>48187.373339999998</v>
      </c>
      <c r="D35" s="412">
        <f t="shared" si="11"/>
        <v>-3.9748448758257185E-2</v>
      </c>
      <c r="E35" s="401">
        <f t="shared" si="14"/>
        <v>46272</v>
      </c>
      <c r="F35" s="412">
        <f t="shared" si="12"/>
        <v>-0.15031768672199169</v>
      </c>
      <c r="G35" s="401">
        <f t="shared" si="14"/>
        <v>39316.5</v>
      </c>
      <c r="H35" s="412">
        <f t="shared" si="13"/>
        <v>0.23184922360840868</v>
      </c>
      <c r="I35" s="434">
        <v>48432</v>
      </c>
    </row>
    <row r="36" spans="1:9">
      <c r="A36" s="405" t="s">
        <v>575</v>
      </c>
      <c r="B36" s="378" t="s">
        <v>576</v>
      </c>
      <c r="C36" s="392">
        <v>0</v>
      </c>
      <c r="D36" s="393" t="str">
        <f t="shared" si="11"/>
        <v xml:space="preserve">  -</v>
      </c>
      <c r="E36" s="392">
        <v>0</v>
      </c>
      <c r="F36" s="393" t="str">
        <f t="shared" si="12"/>
        <v xml:space="preserve">  -</v>
      </c>
      <c r="G36" s="392"/>
      <c r="H36" s="393" t="str">
        <f t="shared" si="13"/>
        <v xml:space="preserve">  -</v>
      </c>
      <c r="I36" s="394"/>
    </row>
    <row r="37" spans="1:9">
      <c r="A37" s="405" t="s">
        <v>577</v>
      </c>
      <c r="B37" s="378" t="s">
        <v>578</v>
      </c>
      <c r="C37" s="392">
        <v>13069.599409999999</v>
      </c>
      <c r="D37" s="393">
        <f t="shared" si="11"/>
        <v>0.1602497922313903</v>
      </c>
      <c r="E37" s="392">
        <v>15164</v>
      </c>
      <c r="F37" s="393">
        <f t="shared" si="12"/>
        <v>-0.11736349248219471</v>
      </c>
      <c r="G37" s="392">
        <v>13384.3</v>
      </c>
      <c r="H37" s="393">
        <f t="shared" si="13"/>
        <v>0.49563294307509553</v>
      </c>
      <c r="I37" s="394">
        <v>20018</v>
      </c>
    </row>
    <row r="38" spans="1:9">
      <c r="A38" s="410" t="s">
        <v>579</v>
      </c>
      <c r="B38" s="411" t="s">
        <v>580</v>
      </c>
      <c r="C38" s="401">
        <f>SUM(C36:C37)</f>
        <v>13069.599409999999</v>
      </c>
      <c r="D38" s="412">
        <f t="shared" si="11"/>
        <v>0.1602497922313903</v>
      </c>
      <c r="E38" s="401">
        <f>SUM(E36:E37)</f>
        <v>15164</v>
      </c>
      <c r="F38" s="412">
        <f t="shared" si="12"/>
        <v>-0.11736349248219471</v>
      </c>
      <c r="G38" s="401">
        <f>SUM(G36:G37)</f>
        <v>13384.3</v>
      </c>
      <c r="H38" s="412">
        <f t="shared" si="13"/>
        <v>0.49563294307509553</v>
      </c>
      <c r="I38" s="401">
        <f>SUM(I36:I37)</f>
        <v>20018</v>
      </c>
    </row>
    <row r="39" spans="1:9">
      <c r="A39" s="423" t="s">
        <v>581</v>
      </c>
      <c r="B39" s="424" t="s">
        <v>145</v>
      </c>
      <c r="C39" s="425">
        <f t="shared" ref="C39:E39" si="15">C35-C38</f>
        <v>35117.773929999996</v>
      </c>
      <c r="D39" s="426">
        <f t="shared" si="11"/>
        <v>-0.11418075467974277</v>
      </c>
      <c r="E39" s="425">
        <f t="shared" si="15"/>
        <v>31108</v>
      </c>
      <c r="F39" s="426">
        <f t="shared" si="12"/>
        <v>-0.16638163816381635</v>
      </c>
      <c r="G39" s="425">
        <f t="shared" ref="G39" si="16">G35-G38</f>
        <v>25932.2</v>
      </c>
      <c r="H39" s="426">
        <f t="shared" si="13"/>
        <v>9.5703411203060251E-2</v>
      </c>
      <c r="I39" s="425">
        <f t="shared" ref="I39" si="17">I35-I38</f>
        <v>28414</v>
      </c>
    </row>
    <row r="40" spans="1:9">
      <c r="A40" s="377" t="s">
        <v>582</v>
      </c>
      <c r="B40" s="378" t="s">
        <v>153</v>
      </c>
      <c r="C40" s="392">
        <f t="shared" ref="C40:E40" si="18">C9+C30+C18-C27</f>
        <v>-14555.815230000122</v>
      </c>
      <c r="D40" s="393">
        <f t="shared" si="11"/>
        <v>-0.56438029063935169</v>
      </c>
      <c r="E40" s="392">
        <f t="shared" si="18"/>
        <v>-6340.799999999952</v>
      </c>
      <c r="F40" s="393">
        <f t="shared" si="12"/>
        <v>-0.98732021196062869</v>
      </c>
      <c r="G40" s="392">
        <f t="shared" ref="G40" si="19">G9+G30+G18-G27</f>
        <v>-80.400000000045111</v>
      </c>
      <c r="H40" s="393">
        <f t="shared" si="13"/>
        <v>241.01990049737432</v>
      </c>
      <c r="I40" s="392">
        <f t="shared" ref="I40" si="20">I9+I30+I18-I27</f>
        <v>-19458.399999999812</v>
      </c>
    </row>
    <row r="41" spans="1:9">
      <c r="A41" s="377" t="s">
        <v>582</v>
      </c>
      <c r="B41" s="378" t="s">
        <v>583</v>
      </c>
      <c r="C41" s="392">
        <f t="shared" ref="C41:E41" si="21">C40-C39</f>
        <v>-49673.58916000012</v>
      </c>
      <c r="D41" s="393">
        <f t="shared" si="11"/>
        <v>-0.24610239297635117</v>
      </c>
      <c r="E41" s="392">
        <f t="shared" si="21"/>
        <v>-37448.799999999952</v>
      </c>
      <c r="F41" s="393">
        <f t="shared" si="12"/>
        <v>-0.3053822819422764</v>
      </c>
      <c r="G41" s="392">
        <f t="shared" ref="G41" si="22">G40-G39</f>
        <v>-26012.600000000046</v>
      </c>
      <c r="H41" s="393">
        <f t="shared" si="13"/>
        <v>0.84035428984414196</v>
      </c>
      <c r="I41" s="392">
        <f t="shared" ref="I41" si="23">I40-I39</f>
        <v>-47872.399999999812</v>
      </c>
    </row>
    <row r="42" spans="1:9">
      <c r="A42" s="427" t="s">
        <v>582</v>
      </c>
      <c r="B42" s="409" t="s">
        <v>584</v>
      </c>
      <c r="C42" s="397">
        <f>C35+C20-C8-C9-C17-C18-C19</f>
        <v>658502.27292000002</v>
      </c>
      <c r="D42" s="428">
        <f t="shared" si="11"/>
        <v>5.5199916985577647E-3</v>
      </c>
      <c r="E42" s="397">
        <f>E35+E20-E8-E9-E17-E18-E19</f>
        <v>662137.19999999984</v>
      </c>
      <c r="F42" s="428">
        <f t="shared" si="12"/>
        <v>-6.4699581899336995E-3</v>
      </c>
      <c r="G42" s="397">
        <f>G35+G20-G8-G9-G17-G18-G19</f>
        <v>657853.20000000007</v>
      </c>
      <c r="H42" s="428">
        <f t="shared" si="13"/>
        <v>2.1809576969451187E-2</v>
      </c>
      <c r="I42" s="397">
        <f>I35+I20-I8-I9-I17-I18-I19</f>
        <v>672200.69999999984</v>
      </c>
    </row>
    <row r="43" spans="1:9">
      <c r="A43" s="427"/>
      <c r="B43" s="409" t="s">
        <v>585</v>
      </c>
      <c r="C43" s="428" t="str">
        <f t="shared" ref="C43:E43" si="24">IF(0&gt;C40,"negativ",C40/C39)</f>
        <v>negativ</v>
      </c>
      <c r="D43" s="430"/>
      <c r="E43" s="428" t="str">
        <f t="shared" si="24"/>
        <v>negativ</v>
      </c>
      <c r="F43" s="430"/>
      <c r="G43" s="428" t="str">
        <f t="shared" ref="G43" si="25">IF(0&gt;G40,"negativ",G40/G39)</f>
        <v>negativ</v>
      </c>
      <c r="H43" s="430"/>
      <c r="I43" s="428" t="str">
        <f t="shared" ref="I43" si="26">IF(0&gt;I40,"negativ",I40/I39)</f>
        <v>negativ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3"/>
  <sheetViews>
    <sheetView tabSelected="1" view="pageLayout" zoomScaleNormal="100" workbookViewId="0">
      <selection activeCell="K8" sqref="K8"/>
    </sheetView>
  </sheetViews>
  <sheetFormatPr baseColWidth="10" defaultRowHeight="13"/>
  <sheetData>
    <row r="1" spans="1:9">
      <c r="A1" s="372" t="s">
        <v>513</v>
      </c>
      <c r="B1" s="373" t="s">
        <v>589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440" t="s">
        <v>588</v>
      </c>
      <c r="F3" s="440"/>
      <c r="G3" s="440" t="s">
        <v>588</v>
      </c>
      <c r="H3" s="384"/>
      <c r="I3" s="386" t="s">
        <v>588</v>
      </c>
    </row>
    <row r="4" spans="1:9">
      <c r="A4" s="372" t="s">
        <v>518</v>
      </c>
      <c r="B4" s="387" t="s">
        <v>1</v>
      </c>
      <c r="C4" s="388">
        <v>77785.7</v>
      </c>
      <c r="D4" s="389">
        <f t="shared" ref="D4:D16" si="0">CHOOSE((C4&lt;&gt;0)+1,"  -",(E4-C4)/C4)</f>
        <v>-3.3630860170955753E-3</v>
      </c>
      <c r="E4" s="388">
        <v>77524.100000000006</v>
      </c>
      <c r="F4" s="389">
        <f t="shared" ref="F4:F27" si="1">CHOOSE((E4&lt;&gt;0)+1,"  -",(G4-E4)/E4)</f>
        <v>-7.4273677475778866E-3</v>
      </c>
      <c r="G4" s="388">
        <v>76948.3</v>
      </c>
      <c r="H4" s="389">
        <f t="shared" ref="H4:H16" si="2">CHOOSE((G4&lt;&gt;0)+1,"  -",(I4-G4)/G4)</f>
        <v>4.5355128053511254E-3</v>
      </c>
      <c r="I4" s="390">
        <v>77297.3</v>
      </c>
    </row>
    <row r="5" spans="1:9">
      <c r="A5" s="391" t="s">
        <v>519</v>
      </c>
      <c r="B5" s="382" t="s">
        <v>520</v>
      </c>
      <c r="C5" s="392">
        <v>37974.1</v>
      </c>
      <c r="D5" s="393">
        <f t="shared" si="0"/>
        <v>-1.4586257475489911E-2</v>
      </c>
      <c r="E5" s="392">
        <v>37420.199999999997</v>
      </c>
      <c r="F5" s="393">
        <f t="shared" si="1"/>
        <v>2.8861417095581341E-3</v>
      </c>
      <c r="G5" s="392">
        <v>37528.200000000004</v>
      </c>
      <c r="H5" s="393">
        <f t="shared" si="2"/>
        <v>0.30752873838873146</v>
      </c>
      <c r="I5" s="394">
        <v>49069.2</v>
      </c>
    </row>
    <row r="6" spans="1:9">
      <c r="A6" s="391" t="s">
        <v>229</v>
      </c>
      <c r="B6" s="382" t="s">
        <v>521</v>
      </c>
      <c r="C6" s="392">
        <v>5718.9</v>
      </c>
      <c r="D6" s="393">
        <f t="shared" si="0"/>
        <v>-0.15997831750861174</v>
      </c>
      <c r="E6" s="392">
        <v>4804</v>
      </c>
      <c r="F6" s="393">
        <f t="shared" si="1"/>
        <v>6.1532056619483647E-2</v>
      </c>
      <c r="G6" s="392">
        <v>5099.5999999999995</v>
      </c>
      <c r="H6" s="393">
        <f t="shared" si="2"/>
        <v>2.3322809632128014</v>
      </c>
      <c r="I6" s="394">
        <v>16993.3</v>
      </c>
    </row>
    <row r="7" spans="1:9">
      <c r="A7" s="391" t="s">
        <v>522</v>
      </c>
      <c r="B7" s="382" t="s">
        <v>523</v>
      </c>
      <c r="C7" s="392">
        <v>676.5</v>
      </c>
      <c r="D7" s="393">
        <f t="shared" si="0"/>
        <v>1.0946045824094606</v>
      </c>
      <c r="E7" s="392">
        <v>1417</v>
      </c>
      <c r="F7" s="393">
        <f t="shared" si="1"/>
        <v>-0.32985179957657018</v>
      </c>
      <c r="G7" s="392">
        <v>949.6</v>
      </c>
      <c r="H7" s="393">
        <f t="shared" si="2"/>
        <v>0.30265374894692498</v>
      </c>
      <c r="I7" s="394">
        <v>1237</v>
      </c>
    </row>
    <row r="8" spans="1:9">
      <c r="A8" s="391" t="s">
        <v>524</v>
      </c>
      <c r="B8" s="382" t="s">
        <v>525</v>
      </c>
      <c r="C8" s="392">
        <v>1018.3</v>
      </c>
      <c r="D8" s="393">
        <f t="shared" si="0"/>
        <v>-1</v>
      </c>
      <c r="E8" s="392">
        <v>0</v>
      </c>
      <c r="F8" s="393" t="str">
        <f t="shared" si="1"/>
        <v xml:space="preserve">  -</v>
      </c>
      <c r="G8" s="392">
        <v>400.3</v>
      </c>
      <c r="H8" s="393">
        <f t="shared" si="2"/>
        <v>-0.97751686235323509</v>
      </c>
      <c r="I8" s="394">
        <v>9</v>
      </c>
    </row>
    <row r="9" spans="1:9">
      <c r="A9" s="391" t="s">
        <v>526</v>
      </c>
      <c r="B9" s="382" t="s">
        <v>527</v>
      </c>
      <c r="C9" s="392">
        <v>30365</v>
      </c>
      <c r="D9" s="393">
        <f t="shared" si="0"/>
        <v>-1.4190680059278822E-2</v>
      </c>
      <c r="E9" s="392">
        <v>29934.1</v>
      </c>
      <c r="F9" s="393">
        <f t="shared" si="1"/>
        <v>-4.1106964966376017E-2</v>
      </c>
      <c r="G9" s="392">
        <v>28703.600000000002</v>
      </c>
      <c r="H9" s="393">
        <f t="shared" si="2"/>
        <v>-0.43763151660418909</v>
      </c>
      <c r="I9" s="394">
        <v>16142</v>
      </c>
    </row>
    <row r="10" spans="1:9">
      <c r="A10" s="391" t="s">
        <v>528</v>
      </c>
      <c r="B10" s="382" t="s">
        <v>529</v>
      </c>
      <c r="C10" s="392">
        <v>268427.59999999998</v>
      </c>
      <c r="D10" s="393">
        <f t="shared" si="0"/>
        <v>1.8310337685096467E-3</v>
      </c>
      <c r="E10" s="392">
        <v>268919.09999999998</v>
      </c>
      <c r="F10" s="393">
        <f t="shared" si="1"/>
        <v>1.1822142793130022E-2</v>
      </c>
      <c r="G10" s="392">
        <v>272098.3</v>
      </c>
      <c r="H10" s="393">
        <f t="shared" si="2"/>
        <v>1.5267644083039066E-2</v>
      </c>
      <c r="I10" s="394">
        <v>276252.59999999998</v>
      </c>
    </row>
    <row r="11" spans="1:9">
      <c r="A11" s="391" t="s">
        <v>530</v>
      </c>
      <c r="B11" s="382" t="s">
        <v>531</v>
      </c>
      <c r="C11" s="392">
        <v>23450</v>
      </c>
      <c r="D11" s="393">
        <f t="shared" si="0"/>
        <v>-0.20822601279317704</v>
      </c>
      <c r="E11" s="392">
        <v>18567.099999999999</v>
      </c>
      <c r="F11" s="393">
        <f t="shared" si="1"/>
        <v>8.5473768116722994E-3</v>
      </c>
      <c r="G11" s="392">
        <v>18725.8</v>
      </c>
      <c r="H11" s="393">
        <f t="shared" si="2"/>
        <v>8.388426662679295E-2</v>
      </c>
      <c r="I11" s="394">
        <v>20296.599999999999</v>
      </c>
    </row>
    <row r="12" spans="1:9">
      <c r="A12" s="391" t="s">
        <v>532</v>
      </c>
      <c r="B12" s="382" t="s">
        <v>533</v>
      </c>
      <c r="C12" s="392">
        <v>5331.2</v>
      </c>
      <c r="D12" s="393">
        <f t="shared" si="0"/>
        <v>7.3006452581032422</v>
      </c>
      <c r="E12" s="392">
        <v>44252.4</v>
      </c>
      <c r="F12" s="393">
        <f t="shared" si="1"/>
        <v>-3.3241134944093096E-3</v>
      </c>
      <c r="G12" s="392">
        <v>44105.3</v>
      </c>
      <c r="H12" s="393">
        <f t="shared" si="2"/>
        <v>3.6564766592677003E-2</v>
      </c>
      <c r="I12" s="394">
        <v>45718</v>
      </c>
    </row>
    <row r="13" spans="1:9">
      <c r="A13" s="391" t="s">
        <v>534</v>
      </c>
      <c r="B13" s="382" t="s">
        <v>535</v>
      </c>
      <c r="C13" s="392">
        <v>32727.1</v>
      </c>
      <c r="D13" s="393">
        <f t="shared" si="0"/>
        <v>-1</v>
      </c>
      <c r="E13" s="392">
        <v>0</v>
      </c>
      <c r="F13" s="393" t="str">
        <f t="shared" si="1"/>
        <v xml:space="preserve">  -</v>
      </c>
      <c r="G13" s="392">
        <v>0</v>
      </c>
      <c r="H13" s="393" t="str">
        <f t="shared" si="2"/>
        <v xml:space="preserve">  -</v>
      </c>
      <c r="I13" s="394">
        <v>0</v>
      </c>
    </row>
    <row r="14" spans="1:9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0</v>
      </c>
    </row>
    <row r="15" spans="1:9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400</v>
      </c>
      <c r="F15" s="393">
        <f t="shared" si="1"/>
        <v>-0.52</v>
      </c>
      <c r="G15" s="392">
        <v>192</v>
      </c>
      <c r="H15" s="393">
        <f t="shared" si="2"/>
        <v>1.03125</v>
      </c>
      <c r="I15" s="394">
        <v>390</v>
      </c>
    </row>
    <row r="16" spans="1:9">
      <c r="A16" s="391" t="s">
        <v>540</v>
      </c>
      <c r="B16" s="382" t="s">
        <v>541</v>
      </c>
      <c r="C16" s="392">
        <v>36174.300000000003</v>
      </c>
      <c r="D16" s="393">
        <f t="shared" si="0"/>
        <v>-1</v>
      </c>
      <c r="E16" s="392">
        <v>0</v>
      </c>
      <c r="F16" s="393" t="str">
        <f t="shared" si="1"/>
        <v xml:space="preserve">  -</v>
      </c>
      <c r="G16" s="392">
        <v>0</v>
      </c>
      <c r="H16" s="393" t="str">
        <f t="shared" si="2"/>
        <v xml:space="preserve">  -</v>
      </c>
      <c r="I16" s="394">
        <v>0</v>
      </c>
    </row>
    <row r="17" spans="1:9">
      <c r="A17" s="391" t="s">
        <v>542</v>
      </c>
      <c r="B17" s="382" t="s">
        <v>543</v>
      </c>
      <c r="C17" s="392">
        <v>53345.5</v>
      </c>
      <c r="D17" s="393">
        <f>CHOOSE((C17&lt;&gt;0)+1,"  -",(E17-C17)/C17)</f>
        <v>-0.98670178365560357</v>
      </c>
      <c r="E17" s="392">
        <v>709.40000000000009</v>
      </c>
      <c r="F17" s="393">
        <f t="shared" si="1"/>
        <v>1.897941922751621</v>
      </c>
      <c r="G17" s="392">
        <v>2055.8000000000002</v>
      </c>
      <c r="H17" s="393">
        <f>CHOOSE((G17&lt;&gt;0)+1,"  -",(I17-G17)/G17)</f>
        <v>-0.63362194766027824</v>
      </c>
      <c r="I17" s="394">
        <v>753.2</v>
      </c>
    </row>
    <row r="18" spans="1:9">
      <c r="A18" s="391">
        <v>389</v>
      </c>
      <c r="B18" s="382" t="s">
        <v>7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40426.6</v>
      </c>
      <c r="D19" s="393">
        <f t="shared" ref="D19:D27" si="3">CHOOSE((C19&lt;&gt;0)+1,"  -",(E19-C19)/C19)</f>
        <v>-0.10822329852127062</v>
      </c>
      <c r="E19" s="397">
        <v>36051.5</v>
      </c>
      <c r="F19" s="393">
        <f t="shared" si="1"/>
        <v>5.7489979612498743E-2</v>
      </c>
      <c r="G19" s="397">
        <v>38124.1</v>
      </c>
      <c r="H19" s="393">
        <f t="shared" ref="H19:H27" si="4">CHOOSE((G19&lt;&gt;0)+1,"  -",(I19-G19)/G19)</f>
        <v>2.51546921763399E-2</v>
      </c>
      <c r="I19" s="398">
        <v>39083.1</v>
      </c>
    </row>
    <row r="20" spans="1:9">
      <c r="A20" s="399" t="s">
        <v>546</v>
      </c>
      <c r="B20" s="400" t="s">
        <v>547</v>
      </c>
      <c r="C20" s="401">
        <f>C19+C18+C17+C10+C9+C8+C7+C5+C4</f>
        <v>510019.29999999993</v>
      </c>
      <c r="D20" s="402">
        <f t="shared" si="3"/>
        <v>-0.11380726180362177</v>
      </c>
      <c r="E20" s="401">
        <f>E19+E18+E17+E10+E9+E8+E7+E5+E4</f>
        <v>451975.4</v>
      </c>
      <c r="F20" s="402">
        <f t="shared" si="1"/>
        <v>1.0692617341563125E-2</v>
      </c>
      <c r="G20" s="401">
        <f>G19+G18+G17+G10+G9+G8+G7+G5+G4</f>
        <v>456808.19999999995</v>
      </c>
      <c r="H20" s="402">
        <f t="shared" si="4"/>
        <v>6.6443640897865053E-3</v>
      </c>
      <c r="I20" s="434">
        <f>I19+I18+I17+I10+I9+I8+I7+I5+I4</f>
        <v>459843.39999999997</v>
      </c>
    </row>
    <row r="21" spans="1:9">
      <c r="A21" s="403" t="s">
        <v>548</v>
      </c>
      <c r="B21" s="404" t="s">
        <v>549</v>
      </c>
      <c r="C21" s="388">
        <v>125181.6</v>
      </c>
      <c r="D21" s="393">
        <f t="shared" si="3"/>
        <v>7.563731411006086E-2</v>
      </c>
      <c r="E21" s="388">
        <v>134650</v>
      </c>
      <c r="F21" s="393">
        <f t="shared" si="1"/>
        <v>-6.0444857036761931E-2</v>
      </c>
      <c r="G21" s="388">
        <v>126511.1</v>
      </c>
      <c r="H21" s="393">
        <f t="shared" si="4"/>
        <v>9.7215975515191899E-2</v>
      </c>
      <c r="I21" s="390">
        <v>138810</v>
      </c>
    </row>
    <row r="22" spans="1:9">
      <c r="A22" s="405" t="s">
        <v>550</v>
      </c>
      <c r="B22" s="378" t="s">
        <v>551</v>
      </c>
      <c r="C22" s="392">
        <v>22607.3</v>
      </c>
      <c r="D22" s="393">
        <f t="shared" si="3"/>
        <v>0.14542647728830957</v>
      </c>
      <c r="E22" s="392">
        <v>25895</v>
      </c>
      <c r="F22" s="393">
        <f t="shared" si="1"/>
        <v>3.2778528673489064E-2</v>
      </c>
      <c r="G22" s="392">
        <v>26743.8</v>
      </c>
      <c r="H22" s="393">
        <f t="shared" si="4"/>
        <v>-6.3117432825551822E-3</v>
      </c>
      <c r="I22" s="394">
        <v>26575</v>
      </c>
    </row>
    <row r="23" spans="1:9">
      <c r="A23" s="405" t="s">
        <v>552</v>
      </c>
      <c r="B23" s="378" t="s">
        <v>553</v>
      </c>
      <c r="C23" s="392">
        <v>65874.100000000006</v>
      </c>
      <c r="D23" s="393">
        <f t="shared" si="3"/>
        <v>-0.76873308326034062</v>
      </c>
      <c r="E23" s="392">
        <v>15234.5</v>
      </c>
      <c r="F23" s="393">
        <f t="shared" si="1"/>
        <v>0.15820013784502296</v>
      </c>
      <c r="G23" s="392">
        <v>17644.600000000002</v>
      </c>
      <c r="H23" s="393">
        <f t="shared" si="4"/>
        <v>-1.91900071409951E-2</v>
      </c>
      <c r="I23" s="394">
        <v>17306</v>
      </c>
    </row>
    <row r="24" spans="1:9">
      <c r="A24" s="405" t="s">
        <v>554</v>
      </c>
      <c r="B24" s="378" t="s">
        <v>555</v>
      </c>
      <c r="C24" s="392">
        <v>31084.400000000001</v>
      </c>
      <c r="D24" s="393">
        <f t="shared" si="3"/>
        <v>-0.11387705730205513</v>
      </c>
      <c r="E24" s="392">
        <v>27544.6</v>
      </c>
      <c r="F24" s="393">
        <f t="shared" si="1"/>
        <v>3.8090950676357774E-2</v>
      </c>
      <c r="G24" s="392">
        <v>28593.800000000003</v>
      </c>
      <c r="H24" s="393">
        <f t="shared" si="4"/>
        <v>2.5047387895277894E-2</v>
      </c>
      <c r="I24" s="394">
        <v>29310</v>
      </c>
    </row>
    <row r="25" spans="1:9">
      <c r="A25" s="405" t="s">
        <v>556</v>
      </c>
      <c r="B25" s="378" t="s">
        <v>557</v>
      </c>
      <c r="C25" s="392">
        <v>198733.40000000002</v>
      </c>
      <c r="D25" s="393">
        <f t="shared" si="3"/>
        <v>-3.2952186195174094E-2</v>
      </c>
      <c r="E25" s="392">
        <v>192184.7</v>
      </c>
      <c r="F25" s="393">
        <f t="shared" si="1"/>
        <v>1.6567395843683969E-3</v>
      </c>
      <c r="G25" s="392">
        <v>192503.09999999998</v>
      </c>
      <c r="H25" s="393">
        <f t="shared" si="4"/>
        <v>-3.6875250320644072E-2</v>
      </c>
      <c r="I25" s="394">
        <v>185404.5</v>
      </c>
    </row>
    <row r="26" spans="1:9">
      <c r="A26" s="406" t="s">
        <v>558</v>
      </c>
      <c r="B26" s="378" t="s">
        <v>559</v>
      </c>
      <c r="C26" s="392">
        <v>4173.7</v>
      </c>
      <c r="D26" s="393">
        <f t="shared" si="3"/>
        <v>-0.23446821764860915</v>
      </c>
      <c r="E26" s="392">
        <v>3195.1</v>
      </c>
      <c r="F26" s="393">
        <f t="shared" si="1"/>
        <v>-0.24982003693155139</v>
      </c>
      <c r="G26" s="392">
        <v>2396.9</v>
      </c>
      <c r="H26" s="393">
        <f t="shared" si="4"/>
        <v>-0.16049897784638492</v>
      </c>
      <c r="I26" s="394">
        <v>2012.2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13910</v>
      </c>
    </row>
    <row r="28" spans="1:9">
      <c r="A28" s="408" t="s">
        <v>560</v>
      </c>
      <c r="B28" s="409" t="s">
        <v>561</v>
      </c>
      <c r="C28" s="397">
        <v>40426.6</v>
      </c>
      <c r="D28" s="393">
        <f>CHOOSE((C28&lt;&gt;0)+1,"  -",(E28-C28)/C28)</f>
        <v>-0.10822329852127062</v>
      </c>
      <c r="E28" s="397">
        <v>36051.5</v>
      </c>
      <c r="F28" s="393">
        <f>CHOOSE((E28&lt;&gt;0)+1,"  -",(G28-E28)/E28)</f>
        <v>5.7489979612498743E-2</v>
      </c>
      <c r="G28" s="397">
        <v>38124.1</v>
      </c>
      <c r="H28" s="393">
        <f>CHOOSE((G28&lt;&gt;0)+1,"  -",(I28-G28)/G28)</f>
        <v>2.51546921763399E-2</v>
      </c>
      <c r="I28" s="398">
        <v>39083.1</v>
      </c>
    </row>
    <row r="29" spans="1:9">
      <c r="A29" s="410" t="s">
        <v>562</v>
      </c>
      <c r="B29" s="411" t="s">
        <v>563</v>
      </c>
      <c r="C29" s="401">
        <f t="shared" ref="C29" si="5">SUM(C21:C28)</f>
        <v>488081.10000000003</v>
      </c>
      <c r="D29" s="412">
        <f>CHOOSE((C29&lt;&gt;0)+1,"  -",(E29-C29)/C29)</f>
        <v>-0.10925581834658217</v>
      </c>
      <c r="E29" s="401">
        <f t="shared" ref="E29" si="6">SUM(E21:E28)</f>
        <v>434755.4</v>
      </c>
      <c r="F29" s="413">
        <f>CHOOSE((E29&lt;&gt;0)+1,"  -",(G29-E29)/E29)</f>
        <v>-5.1477221444519335E-3</v>
      </c>
      <c r="G29" s="401">
        <f t="shared" ref="G29" si="7">SUM(G21:G28)</f>
        <v>432517.39999999997</v>
      </c>
      <c r="H29" s="412">
        <f>CHOOSE((G29&lt;&gt;0)+1,"  -",(I29-G29)/G29)</f>
        <v>4.5994450165473169E-2</v>
      </c>
      <c r="I29" s="434">
        <f t="shared" ref="I29" si="8">SUM(I21:I28)</f>
        <v>452410.8</v>
      </c>
    </row>
    <row r="30" spans="1:9">
      <c r="A30" s="414" t="s">
        <v>564</v>
      </c>
      <c r="B30" s="415" t="s">
        <v>565</v>
      </c>
      <c r="C30" s="416">
        <f t="shared" ref="C30" si="9">C29-C20</f>
        <v>-21938.199999999895</v>
      </c>
      <c r="D30" s="417"/>
      <c r="E30" s="416">
        <f t="shared" ref="E30" si="10">E29-E20</f>
        <v>-17220</v>
      </c>
      <c r="F30" s="418"/>
      <c r="G30" s="416">
        <f t="shared" ref="G30" si="11">G29-G20</f>
        <v>-24290.799999999988</v>
      </c>
      <c r="H30" s="417"/>
      <c r="I30" s="435">
        <f t="shared" ref="I30" si="12">I29-I20</f>
        <v>-7432.5999999999767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46550.9</v>
      </c>
      <c r="D32" s="393">
        <f t="shared" ref="D32:D42" si="13">CHOOSE((C32&lt;&gt;0)+1,"  -",(E32-C32)/C32)</f>
        <v>-0.11938329871173278</v>
      </c>
      <c r="E32" s="392">
        <v>40993.5</v>
      </c>
      <c r="F32" s="393">
        <f t="shared" ref="F32:F42" si="14">CHOOSE((E32&lt;&gt;0)+1,"  -",(G32-E32)/E32)</f>
        <v>-0.13956358934953095</v>
      </c>
      <c r="G32" s="392">
        <v>35272.300000000003</v>
      </c>
      <c r="H32" s="393">
        <f t="shared" ref="H32:H42" si="15">CHOOSE((G32&lt;&gt;0)+1,"  -",(I32-G32)/G32)</f>
        <v>-0.38149766247168465</v>
      </c>
      <c r="I32" s="394">
        <v>21816</v>
      </c>
    </row>
    <row r="33" spans="1:9">
      <c r="A33" s="406" t="s">
        <v>569</v>
      </c>
      <c r="B33" s="378" t="s">
        <v>570</v>
      </c>
      <c r="C33" s="392">
        <v>83745.5</v>
      </c>
      <c r="D33" s="393">
        <f t="shared" si="13"/>
        <v>-0.98662614707655938</v>
      </c>
      <c r="E33" s="392">
        <v>1120</v>
      </c>
      <c r="F33" s="393">
        <f t="shared" si="14"/>
        <v>4.0080357142857146</v>
      </c>
      <c r="G33" s="392">
        <v>5609</v>
      </c>
      <c r="H33" s="393">
        <f t="shared" si="15"/>
        <v>-0.80032091281868423</v>
      </c>
      <c r="I33" s="394">
        <v>1120</v>
      </c>
    </row>
    <row r="34" spans="1:9">
      <c r="A34" s="405" t="s">
        <v>571</v>
      </c>
      <c r="B34" s="378" t="s">
        <v>572</v>
      </c>
      <c r="C34" s="392">
        <v>6700</v>
      </c>
      <c r="D34" s="393">
        <f t="shared" si="13"/>
        <v>0.34944776119402976</v>
      </c>
      <c r="E34" s="392">
        <v>9041.2999999999993</v>
      </c>
      <c r="F34" s="393">
        <f t="shared" si="14"/>
        <v>-0.12546868260095329</v>
      </c>
      <c r="G34" s="392">
        <v>7906.9000000000005</v>
      </c>
      <c r="H34" s="393">
        <f t="shared" si="15"/>
        <v>0.69345761297094932</v>
      </c>
      <c r="I34" s="394">
        <v>13390</v>
      </c>
    </row>
    <row r="35" spans="1:9">
      <c r="A35" s="410" t="s">
        <v>573</v>
      </c>
      <c r="B35" s="411" t="s">
        <v>574</v>
      </c>
      <c r="C35" s="401">
        <f t="shared" ref="C35" si="16">SUM(C32:C34)</f>
        <v>136996.4</v>
      </c>
      <c r="D35" s="412">
        <f t="shared" si="13"/>
        <v>-0.62659748723324116</v>
      </c>
      <c r="E35" s="401">
        <f t="shared" ref="E35" si="17">SUM(E32:E34)</f>
        <v>51154.8</v>
      </c>
      <c r="F35" s="412">
        <f t="shared" si="14"/>
        <v>-4.6263498244543982E-2</v>
      </c>
      <c r="G35" s="401">
        <f t="shared" ref="G35" si="18">SUM(G32:G34)</f>
        <v>48788.200000000004</v>
      </c>
      <c r="H35" s="412">
        <f t="shared" si="15"/>
        <v>-0.25543471577143662</v>
      </c>
      <c r="I35" s="434">
        <f t="shared" ref="I35" si="19">SUM(I32:I34)</f>
        <v>36326</v>
      </c>
    </row>
    <row r="36" spans="1:9">
      <c r="A36" s="405" t="s">
        <v>575</v>
      </c>
      <c r="B36" s="378" t="s">
        <v>576</v>
      </c>
      <c r="C36" s="392">
        <v>9483.2999999999993</v>
      </c>
      <c r="D36" s="393">
        <f t="shared" si="13"/>
        <v>-1</v>
      </c>
      <c r="E36" s="392">
        <v>0</v>
      </c>
      <c r="F36" s="393" t="str">
        <f t="shared" si="14"/>
        <v xml:space="preserve">  -</v>
      </c>
      <c r="G36" s="392">
        <v>1961.2</v>
      </c>
      <c r="H36" s="393">
        <f t="shared" si="15"/>
        <v>-1</v>
      </c>
      <c r="I36" s="394">
        <v>0</v>
      </c>
    </row>
    <row r="37" spans="1:9">
      <c r="A37" s="405" t="s">
        <v>577</v>
      </c>
      <c r="B37" s="378" t="s">
        <v>578</v>
      </c>
      <c r="C37" s="392">
        <v>11250.9</v>
      </c>
      <c r="D37" s="393">
        <f t="shared" si="13"/>
        <v>6.4385960234292341E-2</v>
      </c>
      <c r="E37" s="392">
        <v>11975.3</v>
      </c>
      <c r="F37" s="393">
        <f t="shared" si="14"/>
        <v>4.1577246499043992E-2</v>
      </c>
      <c r="G37" s="392">
        <v>12473.2</v>
      </c>
      <c r="H37" s="393">
        <f t="shared" si="15"/>
        <v>-4.6676073501587458E-2</v>
      </c>
      <c r="I37" s="394">
        <v>11891</v>
      </c>
    </row>
    <row r="38" spans="1:9">
      <c r="A38" s="410" t="s">
        <v>579</v>
      </c>
      <c r="B38" s="411" t="s">
        <v>580</v>
      </c>
      <c r="C38" s="401">
        <f>SUM(C36:C37)</f>
        <v>20734.199999999997</v>
      </c>
      <c r="D38" s="412">
        <f t="shared" si="13"/>
        <v>-0.42243732577094845</v>
      </c>
      <c r="E38" s="401">
        <f>SUM(E36:E37)</f>
        <v>11975.3</v>
      </c>
      <c r="F38" s="412">
        <f t="shared" si="14"/>
        <v>0.20534767396223913</v>
      </c>
      <c r="G38" s="401">
        <f>SUM(G36:G37)</f>
        <v>14434.400000000001</v>
      </c>
      <c r="H38" s="412">
        <f t="shared" si="15"/>
        <v>-0.1762040680596354</v>
      </c>
      <c r="I38" s="434">
        <f>SUM(I36:I37)</f>
        <v>11891</v>
      </c>
    </row>
    <row r="39" spans="1:9">
      <c r="A39" s="423" t="s">
        <v>581</v>
      </c>
      <c r="B39" s="424" t="s">
        <v>145</v>
      </c>
      <c r="C39" s="425">
        <f t="shared" ref="C39" si="20">C35-C38</f>
        <v>116262.2</v>
      </c>
      <c r="D39" s="426">
        <f t="shared" si="13"/>
        <v>-0.6630074091149144</v>
      </c>
      <c r="E39" s="425">
        <f t="shared" ref="E39" si="21">E35-E38</f>
        <v>39179.5</v>
      </c>
      <c r="F39" s="426">
        <f t="shared" si="14"/>
        <v>-0.12316900419862421</v>
      </c>
      <c r="G39" s="425">
        <f t="shared" ref="G39" si="22">G35-G38</f>
        <v>34353.800000000003</v>
      </c>
      <c r="H39" s="426">
        <f t="shared" si="15"/>
        <v>-0.28872497365648059</v>
      </c>
      <c r="I39" s="436">
        <f t="shared" ref="I39" si="23">I35-I38</f>
        <v>24435</v>
      </c>
    </row>
    <row r="40" spans="1:9">
      <c r="A40" s="377" t="s">
        <v>582</v>
      </c>
      <c r="B40" s="378" t="s">
        <v>153</v>
      </c>
      <c r="C40" s="392">
        <f>C9+C30+C18-C27</f>
        <v>8426.8000000001048</v>
      </c>
      <c r="D40" s="393">
        <f t="shared" si="13"/>
        <v>0.50876963972087152</v>
      </c>
      <c r="E40" s="392">
        <f>E9+E30+E18-E27</f>
        <v>12714.099999999999</v>
      </c>
      <c r="F40" s="393">
        <f t="shared" si="14"/>
        <v>-0.65292077300005391</v>
      </c>
      <c r="G40" s="392">
        <f>G9+G30+G18-G27</f>
        <v>4412.8000000000138</v>
      </c>
      <c r="H40" s="393">
        <f t="shared" si="15"/>
        <v>-2.1785261058738126</v>
      </c>
      <c r="I40" s="394">
        <f>I9+I30+I18-I27</f>
        <v>-5200.5999999999767</v>
      </c>
    </row>
    <row r="41" spans="1:9">
      <c r="A41" s="377" t="s">
        <v>582</v>
      </c>
      <c r="B41" s="378" t="s">
        <v>583</v>
      </c>
      <c r="C41" s="392">
        <f t="shared" ref="C41" si="24">C40-C39</f>
        <v>-107835.39999999989</v>
      </c>
      <c r="D41" s="393">
        <f t="shared" si="13"/>
        <v>-0.75457595557673973</v>
      </c>
      <c r="E41" s="392">
        <f t="shared" ref="E41" si="25">E40-E39</f>
        <v>-26465.4</v>
      </c>
      <c r="F41" s="393">
        <f t="shared" si="14"/>
        <v>0.13132618437658178</v>
      </c>
      <c r="G41" s="392">
        <f t="shared" ref="G41" si="26">G40-G39</f>
        <v>-29940.999999999989</v>
      </c>
      <c r="H41" s="393">
        <f t="shared" si="15"/>
        <v>-1.0200060118232941E-2</v>
      </c>
      <c r="I41" s="394">
        <f t="shared" ref="I41" si="27">I40-I39</f>
        <v>-29635.599999999977</v>
      </c>
    </row>
    <row r="42" spans="1:9">
      <c r="A42" s="427" t="s">
        <v>582</v>
      </c>
      <c r="B42" s="409" t="s">
        <v>584</v>
      </c>
      <c r="C42" s="397">
        <f>C35+C20-C8-C9-C17-C18-C19</f>
        <v>521860.29999999993</v>
      </c>
      <c r="D42" s="428">
        <f t="shared" si="13"/>
        <v>-0.16369342523276809</v>
      </c>
      <c r="E42" s="397">
        <f>E35+E20-E8-E9-E17-E18-E19</f>
        <v>436435.20000000001</v>
      </c>
      <c r="F42" s="428">
        <f t="shared" si="14"/>
        <v>-2.8091226372202954E-4</v>
      </c>
      <c r="G42" s="397">
        <f>G35+G20-G8-G9-G17-G18-G19</f>
        <v>436312.60000000003</v>
      </c>
      <c r="H42" s="428">
        <f t="shared" si="15"/>
        <v>8.8686414281869044E-3</v>
      </c>
      <c r="I42" s="398">
        <f>I35+I20-I8-I9-I17-I18-I19</f>
        <v>440182.1</v>
      </c>
    </row>
    <row r="43" spans="1:9">
      <c r="A43" s="427"/>
      <c r="B43" s="409" t="s">
        <v>585</v>
      </c>
      <c r="C43" s="428">
        <f t="shared" ref="C43" si="28">C40/C39</f>
        <v>7.2480995542834256E-2</v>
      </c>
      <c r="D43" s="430"/>
      <c r="E43" s="429">
        <f t="shared" ref="E43" si="29">E40/E39</f>
        <v>0.32450899067114175</v>
      </c>
      <c r="F43" s="430"/>
      <c r="G43" s="428">
        <f t="shared" ref="G43" si="30">G40/G39</f>
        <v>0.12845158323096756</v>
      </c>
      <c r="H43" s="430"/>
      <c r="I43" s="437" t="str">
        <f t="shared" ref="I43" si="31">IF(0&gt;I40,"negativ",I40/I39)</f>
        <v>negativ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AY186"/>
  <sheetViews>
    <sheetView view="pageLayout" zoomScaleNormal="115" workbookViewId="0"/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1" s="2" customFormat="1" ht="18" customHeight="1">
      <c r="A1" s="43" t="s">
        <v>3</v>
      </c>
      <c r="B1" s="44" t="s">
        <v>227</v>
      </c>
      <c r="C1" s="44" t="s">
        <v>228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1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1" s="62" customFormat="1" ht="12.75" customHeight="1">
      <c r="A4" s="148">
        <v>30</v>
      </c>
      <c r="B4" s="96"/>
      <c r="C4" s="97" t="s">
        <v>1</v>
      </c>
      <c r="D4" s="98"/>
      <c r="E4" s="100">
        <v>77524.100000000006</v>
      </c>
      <c r="F4" s="98">
        <v>76948.3</v>
      </c>
      <c r="G4" s="98">
        <v>76097.3</v>
      </c>
    </row>
    <row r="5" spans="1:51" s="62" customFormat="1" ht="12.75" customHeight="1">
      <c r="A5" s="101">
        <v>31</v>
      </c>
      <c r="B5" s="102"/>
      <c r="C5" s="103" t="s">
        <v>4</v>
      </c>
      <c r="D5" s="105"/>
      <c r="E5" s="106">
        <v>36921.199999999997</v>
      </c>
      <c r="F5" s="105">
        <v>36706.300000000003</v>
      </c>
      <c r="G5" s="105">
        <v>48292.2</v>
      </c>
    </row>
    <row r="6" spans="1:51" s="62" customFormat="1" ht="12.75" customHeight="1">
      <c r="A6" s="107" t="s">
        <v>229</v>
      </c>
      <c r="B6" s="108"/>
      <c r="C6" s="109" t="s">
        <v>230</v>
      </c>
      <c r="D6" s="150"/>
      <c r="E6" s="155">
        <v>4305</v>
      </c>
      <c r="F6" s="150">
        <v>4280.7</v>
      </c>
      <c r="G6" s="150">
        <v>16216.3</v>
      </c>
    </row>
    <row r="7" spans="1:51" s="62" customFormat="1" ht="12.75" customHeight="1">
      <c r="A7" s="107" t="s">
        <v>371</v>
      </c>
      <c r="B7" s="108"/>
      <c r="C7" s="109" t="s">
        <v>372</v>
      </c>
      <c r="D7" s="150"/>
      <c r="E7" s="155">
        <v>0</v>
      </c>
      <c r="F7" s="150">
        <v>0</v>
      </c>
      <c r="G7" s="150">
        <v>0</v>
      </c>
    </row>
    <row r="8" spans="1:51" s="62" customFormat="1" ht="12.75" customHeight="1">
      <c r="A8" s="145">
        <v>330</v>
      </c>
      <c r="B8" s="102"/>
      <c r="C8" s="103" t="s">
        <v>231</v>
      </c>
      <c r="D8" s="105"/>
      <c r="E8" s="113">
        <v>28967</v>
      </c>
      <c r="F8" s="105">
        <v>24154</v>
      </c>
      <c r="G8" s="105">
        <v>13704.6</v>
      </c>
    </row>
    <row r="9" spans="1:51" s="62" customFormat="1" ht="12.75" customHeight="1">
      <c r="A9" s="145">
        <v>332</v>
      </c>
      <c r="B9" s="102"/>
      <c r="C9" s="103" t="s">
        <v>232</v>
      </c>
      <c r="D9" s="105"/>
      <c r="E9" s="113">
        <v>97.1</v>
      </c>
      <c r="F9" s="105">
        <v>149.9</v>
      </c>
      <c r="G9" s="105">
        <v>42.1</v>
      </c>
    </row>
    <row r="10" spans="1:51" s="62" customFormat="1" ht="12.75" customHeight="1">
      <c r="A10" s="145">
        <v>339</v>
      </c>
      <c r="B10" s="102"/>
      <c r="C10" s="103" t="s">
        <v>233</v>
      </c>
      <c r="D10" s="105"/>
      <c r="E10" s="113">
        <v>0</v>
      </c>
      <c r="F10" s="105">
        <v>0</v>
      </c>
      <c r="G10" s="105">
        <v>0</v>
      </c>
    </row>
    <row r="11" spans="1:51" s="62" customFormat="1" ht="12.75" customHeight="1">
      <c r="A11" s="101">
        <v>350</v>
      </c>
      <c r="B11" s="102"/>
      <c r="C11" s="103" t="s">
        <v>234</v>
      </c>
      <c r="D11" s="105"/>
      <c r="E11" s="113">
        <v>471.1</v>
      </c>
      <c r="F11" s="105">
        <v>451.5</v>
      </c>
      <c r="G11" s="105">
        <v>753.2</v>
      </c>
    </row>
    <row r="12" spans="1:51" s="63" customFormat="1" ht="14">
      <c r="A12" s="114">
        <v>351</v>
      </c>
      <c r="B12" s="115"/>
      <c r="C12" s="116" t="s">
        <v>272</v>
      </c>
      <c r="D12" s="119"/>
      <c r="E12" s="296">
        <v>238.3</v>
      </c>
      <c r="F12" s="119">
        <v>1604.3</v>
      </c>
      <c r="G12" s="119">
        <v>0</v>
      </c>
    </row>
    <row r="13" spans="1:51" s="62" customFormat="1" ht="12.75" customHeight="1">
      <c r="A13" s="101">
        <v>36</v>
      </c>
      <c r="B13" s="102"/>
      <c r="C13" s="103" t="s">
        <v>5</v>
      </c>
      <c r="D13" s="150"/>
      <c r="E13" s="113">
        <v>233423.1</v>
      </c>
      <c r="F13" s="150">
        <v>240498.8</v>
      </c>
      <c r="G13" s="150">
        <v>240791.9</v>
      </c>
    </row>
    <row r="14" spans="1:51" s="62" customFormat="1" ht="12.75" customHeight="1">
      <c r="A14" s="121" t="s">
        <v>173</v>
      </c>
      <c r="B14" s="102"/>
      <c r="C14" s="122" t="s">
        <v>174</v>
      </c>
      <c r="D14" s="150"/>
      <c r="E14" s="113">
        <v>18567.099999999999</v>
      </c>
      <c r="F14" s="150">
        <v>18725.8</v>
      </c>
      <c r="G14" s="150">
        <v>20296.599999999999</v>
      </c>
    </row>
    <row r="15" spans="1:51" s="62" customFormat="1" ht="12.75" customHeight="1">
      <c r="A15" s="121" t="s">
        <v>175</v>
      </c>
      <c r="B15" s="102"/>
      <c r="C15" s="122" t="s">
        <v>176</v>
      </c>
      <c r="D15" s="150"/>
      <c r="E15" s="113">
        <v>44252.4</v>
      </c>
      <c r="F15" s="150">
        <v>44105.3</v>
      </c>
      <c r="G15" s="150">
        <v>45718</v>
      </c>
    </row>
    <row r="16" spans="1:51" s="64" customFormat="1" ht="26.25" customHeight="1">
      <c r="A16" s="121" t="s">
        <v>146</v>
      </c>
      <c r="B16" s="123"/>
      <c r="C16" s="122" t="s">
        <v>148</v>
      </c>
      <c r="D16" s="125"/>
      <c r="E16" s="127">
        <v>870</v>
      </c>
      <c r="F16" s="125">
        <v>4399.7</v>
      </c>
      <c r="G16" s="125">
        <v>2395.3000000000002</v>
      </c>
    </row>
    <row r="17" spans="1:7" s="65" customFormat="1">
      <c r="A17" s="101">
        <v>37</v>
      </c>
      <c r="B17" s="102"/>
      <c r="C17" s="103" t="s">
        <v>6</v>
      </c>
      <c r="D17" s="128"/>
      <c r="E17" s="157">
        <v>36366</v>
      </c>
      <c r="F17" s="128">
        <v>35999.199999999997</v>
      </c>
      <c r="G17" s="128">
        <v>37856</v>
      </c>
    </row>
    <row r="18" spans="1:7" s="65" customFormat="1">
      <c r="A18" s="112" t="s">
        <v>196</v>
      </c>
      <c r="B18" s="108"/>
      <c r="C18" s="109" t="s">
        <v>197</v>
      </c>
      <c r="D18" s="129"/>
      <c r="E18" s="157">
        <v>0</v>
      </c>
      <c r="F18" s="129">
        <v>0</v>
      </c>
      <c r="G18" s="129">
        <v>0</v>
      </c>
    </row>
    <row r="19" spans="1:7" s="65" customFormat="1">
      <c r="A19" s="112" t="s">
        <v>198</v>
      </c>
      <c r="B19" s="108"/>
      <c r="C19" s="109" t="s">
        <v>199</v>
      </c>
      <c r="D19" s="129"/>
      <c r="E19" s="157">
        <v>400</v>
      </c>
      <c r="F19" s="129">
        <v>192</v>
      </c>
      <c r="G19" s="129">
        <v>390</v>
      </c>
    </row>
    <row r="20" spans="1:7" s="62" customFormat="1" ht="12.75" customHeight="1">
      <c r="A20" s="131">
        <v>39</v>
      </c>
      <c r="B20" s="132"/>
      <c r="C20" s="133" t="s">
        <v>8</v>
      </c>
      <c r="D20" s="135"/>
      <c r="E20" s="159">
        <v>36051.5</v>
      </c>
      <c r="F20" s="135">
        <v>38124.1</v>
      </c>
      <c r="G20" s="135">
        <v>39083.1</v>
      </c>
    </row>
    <row r="21" spans="1:7" ht="12.75" customHeight="1">
      <c r="A21" s="7"/>
      <c r="B21" s="7"/>
      <c r="C21" s="267" t="s">
        <v>475</v>
      </c>
      <c r="D21" s="15">
        <f t="shared" ref="D21:E21" si="0">D4+D5+SUM(D8:D13)+D17</f>
        <v>0</v>
      </c>
      <c r="E21" s="15">
        <f t="shared" si="0"/>
        <v>414007.89999999997</v>
      </c>
      <c r="F21" s="15">
        <f t="shared" ref="F21:G21" si="1">F4+F5+SUM(F8:F13)+F17</f>
        <v>416512.3</v>
      </c>
      <c r="G21" s="15">
        <f t="shared" si="1"/>
        <v>417537.3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05"/>
      <c r="E22" s="141">
        <v>134650</v>
      </c>
      <c r="F22" s="105">
        <v>126511.1</v>
      </c>
      <c r="G22" s="105">
        <v>138810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05"/>
      <c r="E23" s="141">
        <v>25895</v>
      </c>
      <c r="F23" s="105">
        <v>26743.8</v>
      </c>
      <c r="G23" s="105">
        <v>26575</v>
      </c>
    </row>
    <row r="24" spans="1:7" s="67" customFormat="1" ht="12.75" customHeight="1">
      <c r="A24" s="101">
        <v>41</v>
      </c>
      <c r="B24" s="102"/>
      <c r="C24" s="103" t="s">
        <v>9</v>
      </c>
      <c r="D24" s="105"/>
      <c r="E24" s="141">
        <v>3141.3</v>
      </c>
      <c r="F24" s="105">
        <v>3149.9</v>
      </c>
      <c r="G24" s="105">
        <v>3113.8</v>
      </c>
    </row>
    <row r="25" spans="1:7" s="62" customFormat="1" ht="12.75" customHeight="1">
      <c r="A25" s="161">
        <v>42</v>
      </c>
      <c r="B25" s="162"/>
      <c r="C25" s="103" t="s">
        <v>10</v>
      </c>
      <c r="D25" s="105"/>
      <c r="E25" s="141">
        <v>18879.099999999999</v>
      </c>
      <c r="F25" s="105">
        <v>19535.900000000001</v>
      </c>
      <c r="G25" s="105">
        <v>20550.2</v>
      </c>
    </row>
    <row r="26" spans="1:7" s="68" customFormat="1" ht="12.75" customHeight="1">
      <c r="A26" s="114">
        <v>430</v>
      </c>
      <c r="B26" s="102"/>
      <c r="C26" s="103" t="s">
        <v>11</v>
      </c>
      <c r="D26" s="128"/>
      <c r="E26" s="144">
        <v>2943.5</v>
      </c>
      <c r="F26" s="128">
        <v>2818.4</v>
      </c>
      <c r="G26" s="128">
        <v>2596</v>
      </c>
    </row>
    <row r="27" spans="1:7" s="68" customFormat="1" ht="12.75" customHeight="1">
      <c r="A27" s="114">
        <v>431</v>
      </c>
      <c r="B27" s="102"/>
      <c r="C27" s="103" t="s">
        <v>377</v>
      </c>
      <c r="D27" s="128"/>
      <c r="E27" s="144">
        <v>1940</v>
      </c>
      <c r="F27" s="128">
        <v>1984.3</v>
      </c>
      <c r="G27" s="128">
        <v>2158</v>
      </c>
    </row>
    <row r="28" spans="1:7" s="68" customFormat="1" ht="12.75" customHeight="1">
      <c r="A28" s="114">
        <v>432</v>
      </c>
      <c r="B28" s="102"/>
      <c r="C28" s="103" t="s">
        <v>378</v>
      </c>
      <c r="D28" s="128"/>
      <c r="E28" s="144">
        <v>0</v>
      </c>
      <c r="F28" s="128">
        <v>0</v>
      </c>
      <c r="G28" s="128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128"/>
      <c r="E29" s="144">
        <v>640.70000000000005</v>
      </c>
      <c r="F29" s="128">
        <v>1105.3</v>
      </c>
      <c r="G29" s="128">
        <v>722.8</v>
      </c>
    </row>
    <row r="30" spans="1:7" s="62" customFormat="1" ht="14">
      <c r="A30" s="114">
        <v>450</v>
      </c>
      <c r="B30" s="115"/>
      <c r="C30" s="116" t="s">
        <v>271</v>
      </c>
      <c r="D30" s="104"/>
      <c r="E30" s="106">
        <v>172.19999999999982</v>
      </c>
      <c r="F30" s="104">
        <v>60.3</v>
      </c>
      <c r="G30" s="104">
        <v>2012.2</v>
      </c>
    </row>
    <row r="31" spans="1:7" s="63" customFormat="1" ht="14">
      <c r="A31" s="114">
        <v>451</v>
      </c>
      <c r="B31" s="115"/>
      <c r="C31" s="116" t="s">
        <v>14</v>
      </c>
      <c r="D31" s="117"/>
      <c r="E31" s="141">
        <v>3022.9</v>
      </c>
      <c r="F31" s="117">
        <v>2336.6</v>
      </c>
      <c r="G31" s="117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63"/>
      <c r="E32" s="141">
        <v>155818.70000000001</v>
      </c>
      <c r="F32" s="105">
        <v>156503.9</v>
      </c>
      <c r="G32" s="105">
        <v>147548.5</v>
      </c>
    </row>
    <row r="33" spans="1:7" s="63" customFormat="1" ht="12.75" customHeight="1">
      <c r="A33" s="112" t="s">
        <v>16</v>
      </c>
      <c r="B33" s="108"/>
      <c r="C33" s="109" t="s">
        <v>17</v>
      </c>
      <c r="D33" s="150"/>
      <c r="E33" s="143">
        <v>0</v>
      </c>
      <c r="F33" s="150">
        <v>0</v>
      </c>
      <c r="G33" s="150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05"/>
      <c r="E34" s="141">
        <v>36366</v>
      </c>
      <c r="F34" s="105">
        <f>F17</f>
        <v>35999.199999999997</v>
      </c>
      <c r="G34" s="105">
        <v>37856</v>
      </c>
    </row>
    <row r="35" spans="1:7" s="62" customFormat="1" ht="15" customHeight="1">
      <c r="A35" s="131">
        <v>49</v>
      </c>
      <c r="B35" s="132"/>
      <c r="C35" s="133" t="s">
        <v>26</v>
      </c>
      <c r="D35" s="135"/>
      <c r="E35" s="147">
        <v>36051.5</v>
      </c>
      <c r="F35" s="135">
        <f>F20</f>
        <v>38124.1</v>
      </c>
      <c r="G35" s="135">
        <v>39083.1</v>
      </c>
    </row>
    <row r="36" spans="1:7" s="4" customFormat="1" ht="13.5" customHeight="1">
      <c r="A36" s="7"/>
      <c r="B36" s="10"/>
      <c r="C36" s="267" t="s">
        <v>476</v>
      </c>
      <c r="D36" s="15">
        <f t="shared" ref="D36:E36" si="2">D22+D23+D24+D25+D26+D27+D28+D29+D30+D31+D32+D34</f>
        <v>0</v>
      </c>
      <c r="E36" s="15">
        <f t="shared" si="2"/>
        <v>383469.4</v>
      </c>
      <c r="F36" s="15">
        <f t="shared" ref="F36:G36" si="3">F22+F23+F24+F25+F26+F27+F28+F29+F30+F31+F32+F34</f>
        <v>376748.69999999995</v>
      </c>
      <c r="G36" s="15">
        <f t="shared" si="3"/>
        <v>381942.5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0</v>
      </c>
      <c r="E37" s="16">
        <f t="shared" si="4"/>
        <v>-30538.499999999942</v>
      </c>
      <c r="F37" s="16">
        <f t="shared" ref="F37:G37" si="5">F36-F21</f>
        <v>-39763.600000000035</v>
      </c>
      <c r="G37" s="16">
        <f t="shared" si="5"/>
        <v>-35594.799999999988</v>
      </c>
    </row>
    <row r="38" spans="1:7" s="63" customFormat="1" ht="15" customHeight="1">
      <c r="A38" s="145">
        <v>340</v>
      </c>
      <c r="B38" s="102"/>
      <c r="C38" s="103" t="s">
        <v>78</v>
      </c>
      <c r="D38" s="105"/>
      <c r="E38" s="141">
        <v>1417</v>
      </c>
      <c r="F38" s="105">
        <v>948.7</v>
      </c>
      <c r="G38" s="105">
        <v>1237</v>
      </c>
    </row>
    <row r="39" spans="1:7" s="63" customFormat="1" ht="15" customHeight="1">
      <c r="A39" s="145">
        <v>341</v>
      </c>
      <c r="B39" s="102"/>
      <c r="C39" s="103" t="s">
        <v>237</v>
      </c>
      <c r="D39" s="105"/>
      <c r="E39" s="141">
        <v>0</v>
      </c>
      <c r="F39" s="105">
        <v>0</v>
      </c>
      <c r="G39" s="105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05"/>
      <c r="E40" s="141">
        <v>0</v>
      </c>
      <c r="F40" s="105">
        <v>3</v>
      </c>
      <c r="G40" s="105">
        <v>0</v>
      </c>
    </row>
    <row r="41" spans="1:7" s="63" customFormat="1" ht="15" customHeight="1">
      <c r="A41" s="145">
        <v>343</v>
      </c>
      <c r="B41" s="102"/>
      <c r="C41" s="103" t="s">
        <v>239</v>
      </c>
      <c r="D41" s="105"/>
      <c r="E41" s="141">
        <v>499</v>
      </c>
      <c r="F41" s="105">
        <v>818.9</v>
      </c>
      <c r="G41" s="105">
        <v>777</v>
      </c>
    </row>
    <row r="42" spans="1:7" s="63" customFormat="1" ht="15" customHeight="1">
      <c r="A42" s="145">
        <v>344</v>
      </c>
      <c r="B42" s="102"/>
      <c r="C42" s="103" t="s">
        <v>83</v>
      </c>
      <c r="D42" s="105"/>
      <c r="E42" s="141">
        <v>0</v>
      </c>
      <c r="F42" s="105">
        <v>400.3</v>
      </c>
      <c r="G42" s="105">
        <v>9</v>
      </c>
    </row>
    <row r="43" spans="1:7" s="63" customFormat="1" ht="15" customHeight="1">
      <c r="A43" s="145">
        <v>349</v>
      </c>
      <c r="B43" s="102"/>
      <c r="C43" s="103" t="s">
        <v>240</v>
      </c>
      <c r="D43" s="105"/>
      <c r="E43" s="141">
        <v>0</v>
      </c>
      <c r="F43" s="105">
        <v>0.9</v>
      </c>
      <c r="G43" s="105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05"/>
      <c r="E44" s="141">
        <v>1740.4</v>
      </c>
      <c r="F44" s="105">
        <v>950.1</v>
      </c>
      <c r="G44" s="105">
        <v>955.7</v>
      </c>
    </row>
    <row r="45" spans="1:7" s="62" customFormat="1" ht="15" customHeight="1">
      <c r="A45" s="101">
        <v>441</v>
      </c>
      <c r="B45" s="102"/>
      <c r="C45" s="103" t="s">
        <v>80</v>
      </c>
      <c r="D45" s="105"/>
      <c r="E45" s="141">
        <v>0</v>
      </c>
      <c r="F45" s="105">
        <v>1</v>
      </c>
      <c r="G45" s="105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05"/>
      <c r="E46" s="141">
        <v>0</v>
      </c>
      <c r="F46" s="105">
        <v>56.5</v>
      </c>
      <c r="G46" s="105">
        <v>0</v>
      </c>
    </row>
    <row r="47" spans="1:7" s="62" customFormat="1" ht="15" customHeight="1">
      <c r="A47" s="101">
        <v>443</v>
      </c>
      <c r="B47" s="102"/>
      <c r="C47" s="103" t="s">
        <v>82</v>
      </c>
      <c r="D47" s="105"/>
      <c r="E47" s="141">
        <v>1829.1</v>
      </c>
      <c r="F47" s="105">
        <v>1793.8</v>
      </c>
      <c r="G47" s="105">
        <v>1729.1</v>
      </c>
    </row>
    <row r="48" spans="1:7" s="62" customFormat="1" ht="15" customHeight="1">
      <c r="A48" s="101">
        <v>444</v>
      </c>
      <c r="B48" s="102"/>
      <c r="C48" s="103" t="s">
        <v>83</v>
      </c>
      <c r="D48" s="105"/>
      <c r="E48" s="141">
        <v>2190</v>
      </c>
      <c r="F48" s="105">
        <v>5288.7</v>
      </c>
      <c r="G48" s="105">
        <v>5000</v>
      </c>
    </row>
    <row r="49" spans="1:7" s="62" customFormat="1" ht="15" customHeight="1">
      <c r="A49" s="101">
        <v>445</v>
      </c>
      <c r="B49" s="102"/>
      <c r="C49" s="103" t="s">
        <v>84</v>
      </c>
      <c r="D49" s="105"/>
      <c r="E49" s="141">
        <v>400</v>
      </c>
      <c r="F49" s="105">
        <v>0.3</v>
      </c>
      <c r="G49" s="105">
        <v>300</v>
      </c>
    </row>
    <row r="50" spans="1:7" s="62" customFormat="1" ht="15" customHeight="1">
      <c r="A50" s="101">
        <v>446</v>
      </c>
      <c r="B50" s="102"/>
      <c r="C50" s="103" t="s">
        <v>85</v>
      </c>
      <c r="D50" s="105"/>
      <c r="E50" s="141">
        <v>6530</v>
      </c>
      <c r="F50" s="105">
        <v>6508.6</v>
      </c>
      <c r="G50" s="105">
        <v>6509</v>
      </c>
    </row>
    <row r="51" spans="1:7" s="62" customFormat="1" ht="15" customHeight="1">
      <c r="A51" s="101">
        <v>447</v>
      </c>
      <c r="B51" s="102"/>
      <c r="C51" s="103" t="s">
        <v>86</v>
      </c>
      <c r="D51" s="105"/>
      <c r="E51" s="141">
        <v>2545</v>
      </c>
      <c r="F51" s="105">
        <v>2514.6999999999998</v>
      </c>
      <c r="G51" s="105">
        <v>2537.6999999999998</v>
      </c>
    </row>
    <row r="52" spans="1:7" s="62" customFormat="1" ht="15" customHeight="1">
      <c r="A52" s="101">
        <v>448</v>
      </c>
      <c r="B52" s="102"/>
      <c r="C52" s="103" t="s">
        <v>87</v>
      </c>
      <c r="D52" s="105"/>
      <c r="E52" s="141">
        <v>0</v>
      </c>
      <c r="F52" s="105">
        <v>60.9</v>
      </c>
      <c r="G52" s="105">
        <v>274.5</v>
      </c>
    </row>
    <row r="53" spans="1:7" s="62" customFormat="1" ht="15" customHeight="1">
      <c r="A53" s="101">
        <v>449</v>
      </c>
      <c r="B53" s="102"/>
      <c r="C53" s="103" t="s">
        <v>88</v>
      </c>
      <c r="D53" s="105"/>
      <c r="E53" s="141">
        <v>0</v>
      </c>
      <c r="F53" s="105">
        <v>470</v>
      </c>
      <c r="G53" s="105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69"/>
      <c r="E54" s="171">
        <v>0</v>
      </c>
      <c r="F54" s="169">
        <v>470</v>
      </c>
      <c r="G54" s="169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0</v>
      </c>
      <c r="E55" s="15">
        <f t="shared" si="6"/>
        <v>13318.5</v>
      </c>
      <c r="F55" s="15">
        <f t="shared" ref="F55:G55" si="7">SUM(F44:F53)-SUM(F38:F43)</f>
        <v>15472.800000000003</v>
      </c>
      <c r="G55" s="15">
        <f t="shared" si="7"/>
        <v>15283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0</v>
      </c>
      <c r="E56" s="15">
        <f t="shared" si="8"/>
        <v>-17219.999999999942</v>
      </c>
      <c r="F56" s="15">
        <f t="shared" ref="F56:G56" si="9">F55+F37</f>
        <v>-24290.800000000032</v>
      </c>
      <c r="G56" s="15">
        <f t="shared" si="9"/>
        <v>-20311.799999999988</v>
      </c>
    </row>
    <row r="57" spans="1:7" s="62" customFormat="1" ht="15.75" customHeight="1">
      <c r="A57" s="285">
        <v>380</v>
      </c>
      <c r="B57" s="286"/>
      <c r="C57" s="287" t="s">
        <v>484</v>
      </c>
      <c r="D57" s="98"/>
      <c r="E57" s="98"/>
      <c r="F57" s="98"/>
      <c r="G57" s="98">
        <v>1200</v>
      </c>
    </row>
    <row r="58" spans="1:7" s="62" customFormat="1" ht="15.75" customHeight="1">
      <c r="A58" s="285">
        <v>381</v>
      </c>
      <c r="B58" s="286"/>
      <c r="C58" s="287" t="s">
        <v>485</v>
      </c>
      <c r="D58" s="98"/>
      <c r="E58" s="98"/>
      <c r="F58" s="98"/>
      <c r="G58" s="98">
        <v>0</v>
      </c>
    </row>
    <row r="59" spans="1:7" s="63" customFormat="1" ht="14">
      <c r="A59" s="114">
        <v>383</v>
      </c>
      <c r="B59" s="115"/>
      <c r="C59" s="116" t="s">
        <v>57</v>
      </c>
      <c r="D59" s="270"/>
      <c r="E59" s="165"/>
      <c r="F59" s="270"/>
      <c r="G59" s="270">
        <v>0</v>
      </c>
    </row>
    <row r="60" spans="1:7" s="63" customFormat="1" ht="14">
      <c r="A60" s="114">
        <v>3840</v>
      </c>
      <c r="B60" s="115"/>
      <c r="C60" s="116" t="s">
        <v>241</v>
      </c>
      <c r="D60" s="118"/>
      <c r="E60" s="149"/>
      <c r="F60" s="118"/>
      <c r="G60" s="118">
        <v>0</v>
      </c>
    </row>
    <row r="61" spans="1:7" s="63" customFormat="1" ht="14">
      <c r="A61" s="114">
        <v>3841</v>
      </c>
      <c r="B61" s="115"/>
      <c r="C61" s="116" t="s">
        <v>242</v>
      </c>
      <c r="D61" s="118"/>
      <c r="E61" s="149"/>
      <c r="F61" s="118"/>
      <c r="G61" s="118"/>
    </row>
    <row r="62" spans="1:7" s="63" customFormat="1" ht="14">
      <c r="A62" s="177">
        <v>386</v>
      </c>
      <c r="B62" s="178"/>
      <c r="C62" s="179" t="s">
        <v>243</v>
      </c>
      <c r="D62" s="118"/>
      <c r="E62" s="149"/>
      <c r="F62" s="118"/>
      <c r="G62" s="118"/>
    </row>
    <row r="63" spans="1:7" s="63" customFormat="1" ht="28">
      <c r="A63" s="114">
        <v>387</v>
      </c>
      <c r="B63" s="115"/>
      <c r="C63" s="116" t="s">
        <v>58</v>
      </c>
      <c r="D63" s="118"/>
      <c r="E63" s="149"/>
      <c r="F63" s="118"/>
      <c r="G63" s="118"/>
    </row>
    <row r="64" spans="1:7" s="63" customFormat="1">
      <c r="A64" s="145">
        <v>389</v>
      </c>
      <c r="B64" s="294"/>
      <c r="C64" s="103" t="s">
        <v>7</v>
      </c>
      <c r="D64" s="105"/>
      <c r="E64" s="141"/>
      <c r="F64" s="105"/>
      <c r="G64" s="105"/>
    </row>
    <row r="65" spans="1:7" s="62" customFormat="1">
      <c r="A65" s="145" t="s">
        <v>471</v>
      </c>
      <c r="B65" s="102"/>
      <c r="C65" s="103" t="s">
        <v>244</v>
      </c>
      <c r="D65" s="105"/>
      <c r="E65" s="141"/>
      <c r="F65" s="105"/>
      <c r="G65" s="105"/>
    </row>
    <row r="66" spans="1:7" s="95" customFormat="1" ht="14">
      <c r="A66" s="221" t="s">
        <v>472</v>
      </c>
      <c r="B66" s="111"/>
      <c r="C66" s="116" t="s">
        <v>245</v>
      </c>
      <c r="D66" s="270"/>
      <c r="E66" s="165"/>
      <c r="F66" s="270"/>
      <c r="G66" s="270"/>
    </row>
    <row r="67" spans="1:7" s="62" customFormat="1">
      <c r="A67" s="110">
        <v>481</v>
      </c>
      <c r="B67" s="102"/>
      <c r="C67" s="103" t="s">
        <v>246</v>
      </c>
      <c r="D67" s="105"/>
      <c r="E67" s="141"/>
      <c r="F67" s="105"/>
      <c r="G67" s="105">
        <v>169.2</v>
      </c>
    </row>
    <row r="68" spans="1:7" s="62" customFormat="1">
      <c r="A68" s="110">
        <v>482</v>
      </c>
      <c r="B68" s="102"/>
      <c r="C68" s="103" t="s">
        <v>247</v>
      </c>
      <c r="D68" s="105"/>
      <c r="E68" s="141"/>
      <c r="F68" s="105"/>
      <c r="G68" s="105"/>
    </row>
    <row r="69" spans="1:7" s="62" customFormat="1">
      <c r="A69" s="110">
        <v>483</v>
      </c>
      <c r="B69" s="102"/>
      <c r="C69" s="103" t="s">
        <v>248</v>
      </c>
      <c r="D69" s="105"/>
      <c r="E69" s="141"/>
      <c r="F69" s="105"/>
      <c r="G69" s="105"/>
    </row>
    <row r="70" spans="1:7" s="62" customFormat="1">
      <c r="A70" s="110">
        <v>484</v>
      </c>
      <c r="B70" s="102"/>
      <c r="C70" s="103" t="s">
        <v>249</v>
      </c>
      <c r="D70" s="105"/>
      <c r="E70" s="141"/>
      <c r="F70" s="105"/>
      <c r="G70" s="105"/>
    </row>
    <row r="71" spans="1:7" s="62" customFormat="1">
      <c r="A71" s="110">
        <v>485</v>
      </c>
      <c r="B71" s="102"/>
      <c r="C71" s="103" t="s">
        <v>250</v>
      </c>
      <c r="D71" s="105"/>
      <c r="E71" s="141"/>
      <c r="F71" s="105"/>
      <c r="G71" s="105"/>
    </row>
    <row r="72" spans="1:7" s="62" customFormat="1">
      <c r="A72" s="110">
        <v>486</v>
      </c>
      <c r="B72" s="102"/>
      <c r="C72" s="103" t="s">
        <v>251</v>
      </c>
      <c r="D72" s="105"/>
      <c r="E72" s="141"/>
      <c r="F72" s="105"/>
      <c r="G72" s="105"/>
    </row>
    <row r="73" spans="1:7" s="63" customFormat="1">
      <c r="A73" s="110">
        <v>487</v>
      </c>
      <c r="B73" s="108"/>
      <c r="C73" s="103" t="s">
        <v>64</v>
      </c>
      <c r="D73" s="105"/>
      <c r="E73" s="141"/>
      <c r="F73" s="105"/>
      <c r="G73" s="105"/>
    </row>
    <row r="74" spans="1:7" s="63" customFormat="1">
      <c r="A74" s="110">
        <v>489</v>
      </c>
      <c r="B74" s="182"/>
      <c r="C74" s="133" t="s">
        <v>18</v>
      </c>
      <c r="D74" s="105"/>
      <c r="E74" s="141"/>
      <c r="F74" s="105"/>
      <c r="G74" s="105">
        <v>13910</v>
      </c>
    </row>
    <row r="75" spans="1:7" s="63" customFormat="1">
      <c r="A75" s="181" t="s">
        <v>381</v>
      </c>
      <c r="B75" s="182"/>
      <c r="C75" s="167" t="s">
        <v>382</v>
      </c>
      <c r="D75" s="105"/>
      <c r="E75" s="141"/>
      <c r="F75" s="105"/>
      <c r="G75" s="105">
        <v>11004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0</v>
      </c>
      <c r="G76" s="15">
        <f t="shared" si="11"/>
        <v>12879.2</v>
      </c>
    </row>
    <row r="77" spans="1:7">
      <c r="A77" s="9"/>
      <c r="B77" s="9"/>
      <c r="C77" s="8" t="s">
        <v>23</v>
      </c>
      <c r="D77" s="15">
        <f t="shared" ref="D77:E77" si="12">D56+D76</f>
        <v>0</v>
      </c>
      <c r="E77" s="15">
        <f t="shared" si="12"/>
        <v>-17219.999999999942</v>
      </c>
      <c r="F77" s="15">
        <f t="shared" ref="F77:G77" si="13">F56+F76</f>
        <v>-24290.800000000032</v>
      </c>
      <c r="G77" s="15">
        <f t="shared" si="13"/>
        <v>-7432.5999999999876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0</v>
      </c>
      <c r="E78" s="37">
        <f t="shared" si="14"/>
        <v>451975.39999999997</v>
      </c>
      <c r="F78" s="37">
        <f t="shared" ref="F78:G78" si="15">F20+F21+SUM(F38:F43)+SUM(F57:F64)</f>
        <v>456808.19999999995</v>
      </c>
      <c r="G78" s="37">
        <f t="shared" si="15"/>
        <v>459843.39999999997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0</v>
      </c>
      <c r="E79" s="37">
        <f t="shared" si="16"/>
        <v>434755.4</v>
      </c>
      <c r="F79" s="37">
        <f t="shared" ref="F79:G79" si="17">F35+F36+SUM(F44:F53)+SUM(F65:F74)</f>
        <v>432517.39999999991</v>
      </c>
      <c r="G79" s="37">
        <f t="shared" si="17"/>
        <v>452410.8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05"/>
      <c r="E82" s="141">
        <v>40148.5</v>
      </c>
      <c r="F82" s="105">
        <v>34264.9</v>
      </c>
      <c r="G82" s="105">
        <v>18803</v>
      </c>
    </row>
    <row r="83" spans="1:7" s="62" customFormat="1">
      <c r="A83" s="186">
        <v>51</v>
      </c>
      <c r="B83" s="187"/>
      <c r="C83" s="187" t="s">
        <v>253</v>
      </c>
      <c r="D83" s="105"/>
      <c r="E83" s="141">
        <v>0</v>
      </c>
      <c r="F83" s="105">
        <v>0</v>
      </c>
      <c r="G83" s="105">
        <v>0</v>
      </c>
    </row>
    <row r="84" spans="1:7" s="62" customFormat="1">
      <c r="A84" s="186">
        <v>52</v>
      </c>
      <c r="B84" s="187"/>
      <c r="C84" s="187" t="s">
        <v>254</v>
      </c>
      <c r="D84" s="105"/>
      <c r="E84" s="141">
        <v>845</v>
      </c>
      <c r="F84" s="105">
        <v>1007.4</v>
      </c>
      <c r="G84" s="105">
        <v>3013</v>
      </c>
    </row>
    <row r="85" spans="1:7" s="62" customFormat="1">
      <c r="A85" s="188">
        <v>54</v>
      </c>
      <c r="B85" s="189"/>
      <c r="C85" s="189" t="s">
        <v>89</v>
      </c>
      <c r="D85" s="150"/>
      <c r="E85" s="141">
        <v>1120</v>
      </c>
      <c r="F85" s="150">
        <v>5109</v>
      </c>
      <c r="G85" s="150">
        <v>1120</v>
      </c>
    </row>
    <row r="86" spans="1:7" s="62" customFormat="1">
      <c r="A86" s="188">
        <v>55</v>
      </c>
      <c r="B86" s="189"/>
      <c r="C86" s="189" t="s">
        <v>181</v>
      </c>
      <c r="D86" s="150"/>
      <c r="E86" s="141">
        <v>0</v>
      </c>
      <c r="F86" s="150">
        <v>500</v>
      </c>
      <c r="G86" s="150">
        <v>0</v>
      </c>
    </row>
    <row r="87" spans="1:7" s="62" customFormat="1">
      <c r="A87" s="188">
        <v>56</v>
      </c>
      <c r="B87" s="189"/>
      <c r="C87" s="189" t="s">
        <v>255</v>
      </c>
      <c r="D87" s="150"/>
      <c r="E87" s="141">
        <v>5336</v>
      </c>
      <c r="F87" s="150">
        <v>5372.1</v>
      </c>
      <c r="G87" s="150">
        <v>10746</v>
      </c>
    </row>
    <row r="88" spans="1:7" s="62" customFormat="1">
      <c r="A88" s="186">
        <v>57</v>
      </c>
      <c r="B88" s="187"/>
      <c r="C88" s="187" t="s">
        <v>150</v>
      </c>
      <c r="D88" s="105"/>
      <c r="E88" s="141">
        <v>3705.3</v>
      </c>
      <c r="F88" s="105">
        <v>2534.8000000000002</v>
      </c>
      <c r="G88" s="105">
        <v>2644</v>
      </c>
    </row>
    <row r="89" spans="1:7" s="62" customFormat="1">
      <c r="A89" s="186">
        <v>580</v>
      </c>
      <c r="B89" s="187"/>
      <c r="C89" s="187" t="s">
        <v>256</v>
      </c>
      <c r="D89" s="105"/>
      <c r="E89" s="141">
        <v>0</v>
      </c>
      <c r="F89" s="105">
        <v>0</v>
      </c>
      <c r="G89" s="105">
        <v>0</v>
      </c>
    </row>
    <row r="90" spans="1:7" s="62" customFormat="1">
      <c r="A90" s="186">
        <v>582</v>
      </c>
      <c r="B90" s="187"/>
      <c r="C90" s="187" t="s">
        <v>257</v>
      </c>
      <c r="D90" s="105"/>
      <c r="E90" s="141">
        <v>0</v>
      </c>
      <c r="F90" s="105">
        <v>0</v>
      </c>
      <c r="G90" s="105">
        <v>0</v>
      </c>
    </row>
    <row r="91" spans="1:7" s="62" customFormat="1">
      <c r="A91" s="186">
        <v>584</v>
      </c>
      <c r="B91" s="187"/>
      <c r="C91" s="187" t="s">
        <v>258</v>
      </c>
      <c r="D91" s="105"/>
      <c r="E91" s="141">
        <v>0</v>
      </c>
      <c r="F91" s="105">
        <v>0</v>
      </c>
      <c r="G91" s="105">
        <v>0</v>
      </c>
    </row>
    <row r="92" spans="1:7" s="62" customFormat="1">
      <c r="A92" s="186">
        <v>585</v>
      </c>
      <c r="B92" s="187"/>
      <c r="C92" s="187" t="s">
        <v>259</v>
      </c>
      <c r="D92" s="105"/>
      <c r="E92" s="141">
        <v>0</v>
      </c>
      <c r="F92" s="105">
        <v>0</v>
      </c>
      <c r="G92" s="105">
        <v>0</v>
      </c>
    </row>
    <row r="93" spans="1:7" s="62" customFormat="1">
      <c r="A93" s="186">
        <v>586</v>
      </c>
      <c r="B93" s="187"/>
      <c r="C93" s="187" t="s">
        <v>260</v>
      </c>
      <c r="D93" s="105"/>
      <c r="E93" s="141">
        <v>0</v>
      </c>
      <c r="F93" s="105">
        <v>0</v>
      </c>
      <c r="G93" s="105">
        <v>0</v>
      </c>
    </row>
    <row r="94" spans="1:7" s="62" customFormat="1">
      <c r="A94" s="190">
        <v>589</v>
      </c>
      <c r="B94" s="191"/>
      <c r="C94" s="191" t="s">
        <v>261</v>
      </c>
      <c r="D94" s="135"/>
      <c r="E94" s="147">
        <v>0</v>
      </c>
      <c r="F94" s="135">
        <v>0</v>
      </c>
      <c r="G94" s="135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0</v>
      </c>
      <c r="E95" s="33">
        <f t="shared" si="18"/>
        <v>51154.8</v>
      </c>
      <c r="F95" s="33">
        <f t="shared" ref="F95:G95" si="19">SUM(F82:F94)</f>
        <v>48788.200000000004</v>
      </c>
      <c r="G95" s="33">
        <f t="shared" si="19"/>
        <v>36326</v>
      </c>
    </row>
    <row r="96" spans="1:7" s="62" customFormat="1">
      <c r="A96" s="186">
        <v>60</v>
      </c>
      <c r="B96" s="187"/>
      <c r="C96" s="187" t="s">
        <v>262</v>
      </c>
      <c r="D96" s="105"/>
      <c r="E96" s="141">
        <v>0</v>
      </c>
      <c r="F96" s="105">
        <v>1961.2</v>
      </c>
      <c r="G96" s="105">
        <v>0</v>
      </c>
    </row>
    <row r="97" spans="1:7" s="62" customFormat="1">
      <c r="A97" s="186">
        <v>61</v>
      </c>
      <c r="B97" s="187"/>
      <c r="C97" s="187" t="s">
        <v>263</v>
      </c>
      <c r="D97" s="105"/>
      <c r="E97" s="141">
        <v>2406</v>
      </c>
      <c r="F97" s="105">
        <v>751.6</v>
      </c>
      <c r="G97" s="105">
        <v>0</v>
      </c>
    </row>
    <row r="98" spans="1:7" s="62" customFormat="1">
      <c r="A98" s="186">
        <v>62</v>
      </c>
      <c r="B98" s="187"/>
      <c r="C98" s="187" t="s">
        <v>264</v>
      </c>
      <c r="D98" s="105"/>
      <c r="E98" s="141">
        <v>0</v>
      </c>
      <c r="F98" s="105">
        <v>0</v>
      </c>
      <c r="G98" s="105">
        <v>0</v>
      </c>
    </row>
    <row r="99" spans="1:7" s="62" customFormat="1">
      <c r="A99" s="186">
        <v>63</v>
      </c>
      <c r="B99" s="187"/>
      <c r="C99" s="187" t="s">
        <v>265</v>
      </c>
      <c r="D99" s="105"/>
      <c r="E99" s="141">
        <v>4754</v>
      </c>
      <c r="F99" s="105">
        <v>4495.6000000000004</v>
      </c>
      <c r="G99" s="105">
        <v>7938</v>
      </c>
    </row>
    <row r="100" spans="1:7" s="62" customFormat="1">
      <c r="A100" s="188">
        <v>64</v>
      </c>
      <c r="B100" s="189"/>
      <c r="C100" s="189" t="s">
        <v>185</v>
      </c>
      <c r="D100" s="150"/>
      <c r="E100" s="141">
        <v>1110</v>
      </c>
      <c r="F100" s="150">
        <v>4691.2</v>
      </c>
      <c r="G100" s="150">
        <v>1309</v>
      </c>
    </row>
    <row r="101" spans="1:7" s="62" customFormat="1">
      <c r="A101" s="188">
        <v>65</v>
      </c>
      <c r="B101" s="189"/>
      <c r="C101" s="189" t="s">
        <v>186</v>
      </c>
      <c r="D101" s="150"/>
      <c r="E101" s="141">
        <v>0</v>
      </c>
      <c r="F101" s="150">
        <v>0</v>
      </c>
      <c r="G101" s="150"/>
    </row>
    <row r="102" spans="1:7" s="62" customFormat="1">
      <c r="A102" s="188">
        <v>66</v>
      </c>
      <c r="B102" s="189"/>
      <c r="C102" s="189" t="s">
        <v>266</v>
      </c>
      <c r="D102" s="150"/>
      <c r="E102" s="141">
        <v>0</v>
      </c>
      <c r="F102" s="150">
        <v>0</v>
      </c>
      <c r="G102" s="150"/>
    </row>
    <row r="103" spans="1:7" s="62" customFormat="1">
      <c r="A103" s="186">
        <v>67</v>
      </c>
      <c r="B103" s="187"/>
      <c r="C103" s="187" t="s">
        <v>150</v>
      </c>
      <c r="D103" s="105"/>
      <c r="E103" s="138">
        <v>3705.3</v>
      </c>
      <c r="F103" s="105">
        <v>2534.8000000000002</v>
      </c>
      <c r="G103" s="105">
        <v>2644</v>
      </c>
    </row>
    <row r="104" spans="1:7" s="62" customFormat="1" ht="28">
      <c r="A104" s="192" t="s">
        <v>268</v>
      </c>
      <c r="B104" s="187"/>
      <c r="C104" s="193" t="s">
        <v>267</v>
      </c>
      <c r="D104" s="104"/>
      <c r="E104" s="138">
        <v>0</v>
      </c>
      <c r="F104" s="104"/>
      <c r="G104" s="104"/>
    </row>
    <row r="105" spans="1:7" s="62" customFormat="1" ht="42">
      <c r="A105" s="194" t="s">
        <v>269</v>
      </c>
      <c r="B105" s="191"/>
      <c r="C105" s="195" t="s">
        <v>270</v>
      </c>
      <c r="D105" s="134"/>
      <c r="E105" s="151">
        <v>0</v>
      </c>
      <c r="F105" s="134"/>
      <c r="G105" s="134"/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0</v>
      </c>
      <c r="E106" s="33">
        <f t="shared" si="20"/>
        <v>11975.3</v>
      </c>
      <c r="F106" s="33">
        <f t="shared" ref="F106:G106" si="21">SUM(F96:F105)</f>
        <v>14434.400000000001</v>
      </c>
      <c r="G106" s="33">
        <f t="shared" si="21"/>
        <v>11891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0</v>
      </c>
      <c r="E107" s="33">
        <f t="shared" si="22"/>
        <v>39179.5</v>
      </c>
      <c r="F107" s="33">
        <f t="shared" ref="F107:G107" si="23">(F95-F88)-(F106-F103)</f>
        <v>34353.800000000003</v>
      </c>
      <c r="G107" s="33">
        <f t="shared" si="23"/>
        <v>24435</v>
      </c>
    </row>
    <row r="108" spans="1:7">
      <c r="A108" s="30" t="s">
        <v>407</v>
      </c>
      <c r="B108" s="30"/>
      <c r="C108" s="49" t="s">
        <v>151</v>
      </c>
      <c r="D108" s="33">
        <f t="shared" ref="D108:E108" si="24">D107-D85-D86+D100+D101</f>
        <v>0</v>
      </c>
      <c r="E108" s="33">
        <f t="shared" si="24"/>
        <v>39169.5</v>
      </c>
      <c r="F108" s="33">
        <f t="shared" ref="F108:G108" si="25">F107-F85-F86+F100+F101</f>
        <v>33436</v>
      </c>
      <c r="G108" s="33">
        <f t="shared" si="25"/>
        <v>24624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0</v>
      </c>
      <c r="E111" s="337">
        <f t="shared" si="26"/>
        <v>0</v>
      </c>
      <c r="F111" s="336">
        <f t="shared" ref="F111:G111" si="27">F112+F117</f>
        <v>166653.69999999998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0</v>
      </c>
      <c r="E112" s="337">
        <f t="shared" si="28"/>
        <v>0</v>
      </c>
      <c r="F112" s="336">
        <f t="shared" ref="F112:G112" si="29">F113+F114+F115+F116</f>
        <v>131087.79999999999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/>
      <c r="E113" s="113"/>
      <c r="F113" s="105">
        <v>114123.9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/>
      <c r="E114" s="271"/>
      <c r="F114" s="270">
        <v>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/>
      <c r="E115" s="113"/>
      <c r="F115" s="105">
        <v>16963.900000000001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>
        <v>0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0</v>
      </c>
      <c r="E117" s="337">
        <f t="shared" si="30"/>
        <v>0</v>
      </c>
      <c r="F117" s="336">
        <f t="shared" ref="F117:G117" si="31">F118+F119+F120</f>
        <v>35565.9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/>
      <c r="E118" s="113"/>
      <c r="F118" s="105">
        <v>624.1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/>
      <c r="E119" s="113"/>
      <c r="F119" s="105">
        <v>34941.800000000003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/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0</v>
      </c>
      <c r="E121" s="336">
        <f t="shared" si="32"/>
        <v>0</v>
      </c>
      <c r="F121" s="336">
        <f t="shared" ref="F121:G121" si="33">SUM(F122:F130)</f>
        <v>141420.79999999999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/>
      <c r="E122" s="113"/>
      <c r="F122" s="105">
        <v>53083.7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/>
      <c r="E123" s="113"/>
      <c r="F123" s="105">
        <v>39487.5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/>
      <c r="E124" s="210"/>
      <c r="F124" s="105">
        <v>48849.599999999999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/>
      <c r="E125" s="210"/>
      <c r="F125" s="105">
        <v>0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0</v>
      </c>
      <c r="E131" s="18">
        <f>E111+E121</f>
        <v>0</v>
      </c>
      <c r="F131" s="18">
        <f>F111+F121</f>
        <v>308074.5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0</v>
      </c>
      <c r="E133" s="339">
        <f t="shared" si="34"/>
        <v>0</v>
      </c>
      <c r="F133" s="338">
        <f t="shared" ref="F133:G133" si="35">F134+F140</f>
        <v>222192.40000000002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0</v>
      </c>
      <c r="E134" s="337">
        <f t="shared" si="36"/>
        <v>0</v>
      </c>
      <c r="F134" s="336">
        <f t="shared" ref="F134:G134" si="37">F135+F136+F138+F139</f>
        <v>139322.20000000001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/>
      <c r="E135" s="113"/>
      <c r="F135" s="105">
        <v>94201.2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/>
      <c r="E136" s="113"/>
      <c r="F136" s="105">
        <v>20016.5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/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/>
      <c r="E138" s="210"/>
      <c r="F138" s="105">
        <v>11366.3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/>
      <c r="E139" s="210"/>
      <c r="F139" s="105">
        <v>13738.2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0</v>
      </c>
      <c r="E140" s="337">
        <f t="shared" si="38"/>
        <v>0</v>
      </c>
      <c r="F140" s="336">
        <f t="shared" ref="F140:G140" si="39">F141+F143+F144</f>
        <v>82870.2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/>
      <c r="E141" s="210"/>
      <c r="F141" s="105">
        <v>71276.399999999994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155"/>
      <c r="F142" s="150">
        <v>0</v>
      </c>
      <c r="G142" s="155"/>
    </row>
    <row r="143" spans="1:7" s="63" customFormat="1">
      <c r="A143" s="208">
        <v>208</v>
      </c>
      <c r="B143" s="206"/>
      <c r="C143" s="206" t="s">
        <v>297</v>
      </c>
      <c r="D143" s="105"/>
      <c r="E143" s="113"/>
      <c r="F143" s="105">
        <v>6885.5</v>
      </c>
      <c r="G143" s="113"/>
    </row>
    <row r="144" spans="1:7" s="64" customFormat="1" ht="28">
      <c r="A144" s="262">
        <v>209</v>
      </c>
      <c r="B144" s="263"/>
      <c r="C144" s="263" t="s">
        <v>285</v>
      </c>
      <c r="D144" s="117"/>
      <c r="E144" s="249"/>
      <c r="F144" s="117">
        <v>4708.3</v>
      </c>
      <c r="G144" s="249"/>
    </row>
    <row r="145" spans="1:7" s="62" customFormat="1">
      <c r="A145" s="257">
        <v>29</v>
      </c>
      <c r="B145" s="255"/>
      <c r="C145" s="255" t="s">
        <v>36</v>
      </c>
      <c r="D145" s="209"/>
      <c r="E145" s="210"/>
      <c r="F145" s="209">
        <v>85882.1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>
        <v>23473.1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0</v>
      </c>
      <c r="E147" s="18">
        <f>E133+E145</f>
        <v>0</v>
      </c>
      <c r="F147" s="18">
        <f>F133+F145</f>
        <v>308074.5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40">D77+SUM(D8:D12)-D30-D31+D16-D33+D59+D63-D73+D64-D74-D54+D20-D35</f>
        <v>0</v>
      </c>
      <c r="E150" s="55">
        <f t="shared" si="40"/>
        <v>10228.400000000052</v>
      </c>
      <c r="F150" s="55">
        <f t="shared" ref="F150:G150" si="41">F77+SUM(F8:F12)-F30-F31+F16-F33+F59+F63-F73+F64-F74-F54+F20-F35</f>
        <v>3601.699999999968</v>
      </c>
      <c r="G150" s="55">
        <f t="shared" si="41"/>
        <v>-6459.599999999984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2">IF(D177=0,0,D150/D177)</f>
        <v>0</v>
      </c>
      <c r="E151" s="258">
        <f t="shared" si="42"/>
        <v>2.8228899046994674E-2</v>
      </c>
      <c r="F151" s="258">
        <f t="shared" ref="F151:G151" si="43">IF(F177=0,0,F150/F177)</f>
        <v>1.0049551596970957E-2</v>
      </c>
      <c r="G151" s="258">
        <f t="shared" si="43"/>
        <v>-1.7338150022935508E-2</v>
      </c>
    </row>
    <row r="152" spans="1:7" s="91" customFormat="1" ht="28">
      <c r="A152" s="57" t="s">
        <v>404</v>
      </c>
      <c r="B152" s="310"/>
      <c r="C152" s="310" t="s">
        <v>161</v>
      </c>
      <c r="D152" s="244">
        <f t="shared" ref="D152:E152" si="44">IF(D107=0,0,D150/D107)</f>
        <v>0</v>
      </c>
      <c r="E152" s="244">
        <f t="shared" si="44"/>
        <v>0.26106509781901382</v>
      </c>
      <c r="F152" s="244">
        <f t="shared" ref="F152:G152" si="45">IF(F107=0,0,F150/F107)</f>
        <v>0.10484138581466876</v>
      </c>
      <c r="G152" s="244">
        <f t="shared" si="45"/>
        <v>-0.26435850214855672</v>
      </c>
    </row>
    <row r="153" spans="1:7" s="91" customFormat="1" ht="28">
      <c r="A153" s="60" t="s">
        <v>404</v>
      </c>
      <c r="B153" s="311"/>
      <c r="C153" s="311" t="s">
        <v>162</v>
      </c>
      <c r="D153" s="246">
        <f t="shared" ref="D153:E153" si="46">IF(0=D108,0,D150/D108)</f>
        <v>0</v>
      </c>
      <c r="E153" s="246">
        <f t="shared" si="46"/>
        <v>0.26113174791610955</v>
      </c>
      <c r="F153" s="246">
        <f t="shared" ref="F153:G153" si="47">IF(0=F108,0,F150/F108)</f>
        <v>0.10771922478765307</v>
      </c>
      <c r="G153" s="246">
        <f t="shared" si="47"/>
        <v>-0.26232943469785508</v>
      </c>
    </row>
    <row r="154" spans="1:7" ht="28">
      <c r="A154" s="58" t="s">
        <v>412</v>
      </c>
      <c r="B154" s="309"/>
      <c r="C154" s="309" t="s">
        <v>163</v>
      </c>
      <c r="D154" s="59">
        <f t="shared" ref="D154:E154" si="48">D150-D107</f>
        <v>0</v>
      </c>
      <c r="E154" s="59">
        <f t="shared" si="48"/>
        <v>-28951.099999999948</v>
      </c>
      <c r="F154" s="59">
        <f t="shared" ref="F154:G154" si="49">F150-F107</f>
        <v>-30752.100000000035</v>
      </c>
      <c r="G154" s="59">
        <f t="shared" si="49"/>
        <v>-30894.599999999984</v>
      </c>
    </row>
    <row r="155" spans="1:7" ht="28">
      <c r="A155" s="329" t="s">
        <v>413</v>
      </c>
      <c r="B155" s="321"/>
      <c r="C155" s="321" t="s">
        <v>164</v>
      </c>
      <c r="D155" s="56">
        <f t="shared" ref="D155:E155" si="50">D150-D108</f>
        <v>0</v>
      </c>
      <c r="E155" s="56">
        <f t="shared" si="50"/>
        <v>-28941.099999999948</v>
      </c>
      <c r="F155" s="56">
        <f t="shared" ref="F155:G155" si="51">F150-F108</f>
        <v>-29834.300000000032</v>
      </c>
      <c r="G155" s="56">
        <f t="shared" si="51"/>
        <v>-31083.599999999984</v>
      </c>
    </row>
    <row r="156" spans="1:7">
      <c r="A156" s="325" t="s">
        <v>391</v>
      </c>
      <c r="B156" s="307"/>
      <c r="C156" s="307" t="s">
        <v>35</v>
      </c>
      <c r="D156" s="47">
        <f t="shared" ref="D156:E156" si="52">D135+D136-D137+D141-D142</f>
        <v>0</v>
      </c>
      <c r="E156" s="47">
        <f t="shared" si="52"/>
        <v>0</v>
      </c>
      <c r="F156" s="47">
        <f t="shared" ref="F156:G156" si="53">F135+F136-F137+F141-F142</f>
        <v>185494.09999999998</v>
      </c>
      <c r="G156" s="47">
        <f t="shared" si="53"/>
        <v>0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4">IF(D177=0,0,D156/D177)</f>
        <v>0</v>
      </c>
      <c r="E157" s="241">
        <f t="shared" si="54"/>
        <v>0</v>
      </c>
      <c r="F157" s="241">
        <f t="shared" ref="F157:G157" si="55">IF(F177=0,0,F156/F177)</f>
        <v>0.51757018321451165</v>
      </c>
      <c r="G157" s="241">
        <f t="shared" si="55"/>
        <v>0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6">D133-D142-D111</f>
        <v>0</v>
      </c>
      <c r="E158" s="47">
        <f t="shared" si="56"/>
        <v>0</v>
      </c>
      <c r="F158" s="47">
        <f t="shared" ref="F158:G158" si="57">F133-F142-F111</f>
        <v>55538.700000000041</v>
      </c>
      <c r="G158" s="47">
        <f t="shared" si="57"/>
        <v>0</v>
      </c>
    </row>
    <row r="159" spans="1:7">
      <c r="A159" s="326" t="s">
        <v>395</v>
      </c>
      <c r="B159" s="308"/>
      <c r="C159" s="308" t="s">
        <v>394</v>
      </c>
      <c r="D159" s="40">
        <f t="shared" ref="D159:E159" si="58">D121-D123-D124-D142-D145</f>
        <v>0</v>
      </c>
      <c r="E159" s="40">
        <f t="shared" si="58"/>
        <v>0</v>
      </c>
      <c r="F159" s="40">
        <f t="shared" ref="F159:G159" si="59">F121-F123-F124-F142-F145</f>
        <v>-32798.400000000016</v>
      </c>
      <c r="G159" s="40">
        <f t="shared" si="59"/>
        <v>0</v>
      </c>
    </row>
    <row r="160" spans="1:7">
      <c r="A160" s="326" t="s">
        <v>400</v>
      </c>
      <c r="B160" s="308"/>
      <c r="C160" s="308" t="s">
        <v>115</v>
      </c>
      <c r="D160" s="240" t="str">
        <f t="shared" ref="D160:E160" si="60">IF(D175=0,"-",1000*D158/D175)</f>
        <v>-</v>
      </c>
      <c r="E160" s="240">
        <f t="shared" si="60"/>
        <v>0</v>
      </c>
      <c r="F160" s="240">
        <f t="shared" ref="F160:G160" si="61">IF(F175=0,"-",1000*F158/F175)</f>
        <v>1012.2976815398082</v>
      </c>
      <c r="G160" s="240">
        <f t="shared" si="61"/>
        <v>0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2">IF(D175=0,0,1000*(D159/D175))</f>
        <v>0</v>
      </c>
      <c r="E161" s="40">
        <f t="shared" si="62"/>
        <v>0</v>
      </c>
      <c r="F161" s="40">
        <f t="shared" ref="F161:G161" si="63">IF(F175=0,0,1000*(F159/F175))</f>
        <v>-597.81277340332485</v>
      </c>
      <c r="G161" s="40">
        <f t="shared" si="63"/>
        <v>0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4">IF((D22+D23+D65+D66)=0,0,D158/(D22+D23+D65+D66))</f>
        <v>0</v>
      </c>
      <c r="E162" s="241">
        <f t="shared" si="64"/>
        <v>0</v>
      </c>
      <c r="F162" s="241">
        <f t="shared" ref="F162:G162" si="65">IF((F22+F23+F65+F66)=0,0,F158/(F22+F23+F65+F66))</f>
        <v>0.36239428559869891</v>
      </c>
      <c r="G162" s="241">
        <f t="shared" si="65"/>
        <v>0</v>
      </c>
    </row>
    <row r="163" spans="1:7">
      <c r="A163" s="326" t="s">
        <v>409</v>
      </c>
      <c r="B163" s="308"/>
      <c r="C163" s="308" t="s">
        <v>36</v>
      </c>
      <c r="D163" s="55">
        <f t="shared" ref="D163:E163" si="66">D145</f>
        <v>0</v>
      </c>
      <c r="E163" s="55">
        <f t="shared" si="66"/>
        <v>0</v>
      </c>
      <c r="F163" s="55">
        <f t="shared" ref="F163:G163" si="67">F145</f>
        <v>85882.1</v>
      </c>
      <c r="G163" s="55">
        <f t="shared" si="67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6.133793102366987E-2</v>
      </c>
      <c r="G164" s="245">
        <f>IF(G178=0,0,G146/G178)</f>
        <v>0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68">IF(D177=0,0,D180/D177)</f>
        <v>0</v>
      </c>
      <c r="E165" s="259">
        <f t="shared" si="68"/>
        <v>8.1721233136252083E-2</v>
      </c>
      <c r="F165" s="259">
        <f t="shared" ref="F165:G165" si="69">IF(F177=0,0,F180/F177)</f>
        <v>8.0085581765994493E-2</v>
      </c>
      <c r="G165" s="259">
        <f t="shared" si="69"/>
        <v>4.4081621040262156E-2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70">D55</f>
        <v>0</v>
      </c>
      <c r="E166" s="55">
        <f t="shared" si="70"/>
        <v>13318.5</v>
      </c>
      <c r="F166" s="55">
        <f t="shared" ref="F166:G166" si="71">F55</f>
        <v>15472.800000000003</v>
      </c>
      <c r="G166" s="55">
        <f t="shared" si="71"/>
        <v>15283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2">IF(0=D111,0,(D44+D45+D46+D47+D48)/D111)</f>
        <v>0</v>
      </c>
      <c r="E167" s="241">
        <f t="shared" si="72"/>
        <v>0</v>
      </c>
      <c r="F167" s="241">
        <f t="shared" ref="F167:G167" si="73">IF(0=F111,0,(F44+F45+F46+F47+F48)/F111)</f>
        <v>4.8544376752511352E-2</v>
      </c>
      <c r="G167" s="241">
        <f t="shared" si="73"/>
        <v>0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4">D38-D44</f>
        <v>0</v>
      </c>
      <c r="E168" s="55">
        <f t="shared" si="74"/>
        <v>-323.40000000000009</v>
      </c>
      <c r="F168" s="55">
        <f t="shared" ref="F168:G168" si="75">F38-F44</f>
        <v>-1.3999999999999773</v>
      </c>
      <c r="G168" s="55">
        <f t="shared" si="75"/>
        <v>281.29999999999995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76">IF(D177=0,0,D168/D177)</f>
        <v>0</v>
      </c>
      <c r="E169" s="258">
        <f t="shared" si="76"/>
        <v>-8.9253704898107559E-4</v>
      </c>
      <c r="F169" s="258">
        <f t="shared" ref="F169:G169" si="77">IF(F177=0,0,F168/F177)</f>
        <v>-3.9063143059553091E-6</v>
      </c>
      <c r="G169" s="258">
        <f t="shared" si="77"/>
        <v>7.5503461537119478E-4</v>
      </c>
    </row>
    <row r="170" spans="1:7">
      <c r="A170" s="326" t="s">
        <v>366</v>
      </c>
      <c r="B170" s="308"/>
      <c r="C170" s="308" t="s">
        <v>364</v>
      </c>
      <c r="D170" s="55">
        <f t="shared" ref="D170:E170" si="78">SUM(D82:D87)+SUM(D89:D94)</f>
        <v>0</v>
      </c>
      <c r="E170" s="55">
        <f t="shared" si="78"/>
        <v>47449.5</v>
      </c>
      <c r="F170" s="55">
        <f t="shared" ref="F170:G170" si="79">SUM(F82:F87)+SUM(F89:F94)</f>
        <v>46253.4</v>
      </c>
      <c r="G170" s="55">
        <f t="shared" si="79"/>
        <v>33682</v>
      </c>
    </row>
    <row r="171" spans="1:7">
      <c r="A171" s="326" t="s">
        <v>367</v>
      </c>
      <c r="B171" s="308"/>
      <c r="C171" s="308" t="s">
        <v>365</v>
      </c>
      <c r="D171" s="40">
        <f t="shared" ref="D171:E171" si="80">SUM(D96:D102)+SUM(D104:D105)</f>
        <v>0</v>
      </c>
      <c r="E171" s="40">
        <f t="shared" si="80"/>
        <v>8270</v>
      </c>
      <c r="F171" s="40">
        <f t="shared" ref="F171:G171" si="81">SUM(F96:F102)+SUM(F104:F105)</f>
        <v>11899.6</v>
      </c>
      <c r="G171" s="40">
        <f t="shared" si="81"/>
        <v>9247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2">IF(D184=0,0,D170/D184)</f>
        <v>0</v>
      </c>
      <c r="E172" s="259">
        <f t="shared" si="82"/>
        <v>0.11971196165947504</v>
      </c>
      <c r="F172" s="259">
        <f t="shared" ref="F172:G172" si="83">IF(F184=0,0,F170/F184)</f>
        <v>0.11627925685293278</v>
      </c>
      <c r="G172" s="259">
        <f t="shared" si="83"/>
        <v>8.4271975152252251E-2</v>
      </c>
    </row>
    <row r="174" spans="1:7">
      <c r="A174" s="22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" t="s">
        <v>386</v>
      </c>
      <c r="B175" s="23"/>
      <c r="C175" s="23" t="s">
        <v>188</v>
      </c>
      <c r="D175" s="66"/>
      <c r="E175" s="340">
        <v>193388</v>
      </c>
      <c r="F175" s="66">
        <v>54864</v>
      </c>
      <c r="G175" s="340">
        <v>55000</v>
      </c>
    </row>
    <row r="176" spans="1:7">
      <c r="A176" s="22" t="s">
        <v>98</v>
      </c>
      <c r="B176" s="23"/>
      <c r="C176" s="23"/>
      <c r="D176" s="23"/>
      <c r="E176" s="23"/>
      <c r="F176" s="23"/>
      <c r="G176" s="23"/>
    </row>
    <row r="177" spans="1:7">
      <c r="A177" s="23" t="s">
        <v>380</v>
      </c>
      <c r="B177" s="23"/>
      <c r="C177" s="23" t="s">
        <v>99</v>
      </c>
      <c r="D177" s="39">
        <f t="shared" ref="D177:E177" si="84">SUM(D22:D32)+SUM(D44:D53)+SUM(D65:D72)+D75</f>
        <v>0</v>
      </c>
      <c r="E177" s="39">
        <f t="shared" si="84"/>
        <v>362337.9</v>
      </c>
      <c r="F177" s="39">
        <f t="shared" ref="F177:G177" si="85">SUM(F22:F32)+SUM(F44:F53)+SUM(F65:F72)+F75</f>
        <v>358394.09999999992</v>
      </c>
      <c r="G177" s="39">
        <f t="shared" si="85"/>
        <v>372565.7</v>
      </c>
    </row>
    <row r="178" spans="1:7">
      <c r="A178" s="23" t="s">
        <v>385</v>
      </c>
      <c r="B178" s="23"/>
      <c r="C178" s="23" t="s">
        <v>100</v>
      </c>
      <c r="D178" s="39">
        <f t="shared" ref="D178:E178" si="86">D78-D17-D20-D59-D63-D64</f>
        <v>0</v>
      </c>
      <c r="E178" s="39">
        <f t="shared" si="86"/>
        <v>379557.89999999997</v>
      </c>
      <c r="F178" s="39">
        <f t="shared" ref="F178:G178" si="87">F78-F17-F20-F59-F63-F64</f>
        <v>382684.89999999997</v>
      </c>
      <c r="G178" s="39">
        <f t="shared" si="87"/>
        <v>382904.3</v>
      </c>
    </row>
    <row r="179" spans="1:7">
      <c r="A179" s="23"/>
      <c r="B179" s="23"/>
      <c r="C179" s="23" t="s">
        <v>388</v>
      </c>
      <c r="D179" s="39">
        <f t="shared" ref="D179:E179" si="88">D178+D170</f>
        <v>0</v>
      </c>
      <c r="E179" s="39">
        <f t="shared" si="88"/>
        <v>427007.39999999997</v>
      </c>
      <c r="F179" s="39">
        <f t="shared" ref="F179:G179" si="89">F178+F170</f>
        <v>428938.3</v>
      </c>
      <c r="G179" s="39">
        <f t="shared" si="89"/>
        <v>416586.3</v>
      </c>
    </row>
    <row r="180" spans="1:7">
      <c r="A180" s="23" t="s">
        <v>389</v>
      </c>
      <c r="B180" s="23"/>
      <c r="C180" s="23" t="s">
        <v>390</v>
      </c>
      <c r="D180" s="39">
        <f t="shared" ref="D180:E180" si="90">D38-D44+D8+D9+D10+D16-D33</f>
        <v>0</v>
      </c>
      <c r="E180" s="39">
        <f t="shared" si="90"/>
        <v>29610.699999999997</v>
      </c>
      <c r="F180" s="39">
        <f t="shared" ref="F180:G180" si="91">F38-F44+F8+F9+F10+F16-F33</f>
        <v>28702.2</v>
      </c>
      <c r="G180" s="39">
        <f t="shared" si="91"/>
        <v>16423.3</v>
      </c>
    </row>
    <row r="181" spans="1:7" ht="27.5" customHeight="1">
      <c r="A181" s="238" t="s">
        <v>376</v>
      </c>
      <c r="B181" s="71"/>
      <c r="C181" s="71" t="s">
        <v>374</v>
      </c>
      <c r="D181" s="73">
        <f t="shared" ref="D181:E181" si="92">D22+D23+D24+D25+D26+D29+SUM(D44:D47)+SUM(D49:D53)-D54+D32-D33+SUM(D65:D70)+D72</f>
        <v>0</v>
      </c>
      <c r="E181" s="73">
        <f t="shared" si="92"/>
        <v>355012.80000000005</v>
      </c>
      <c r="F181" s="73">
        <f t="shared" ref="F181:G181" si="93">F22+F23+F24+F25+F26+F29+SUM(F44:F47)+SUM(F49:F53)-F54+F32-F33+SUM(F65:F70)+F72</f>
        <v>348254.19999999995</v>
      </c>
      <c r="G181" s="73">
        <f t="shared" si="93"/>
        <v>352391.5</v>
      </c>
    </row>
    <row r="182" spans="1:7">
      <c r="A182" s="71" t="s">
        <v>375</v>
      </c>
      <c r="B182" s="71"/>
      <c r="C182" s="71" t="s">
        <v>170</v>
      </c>
      <c r="D182" s="73">
        <f t="shared" ref="D182:E182" si="94">D181+D171</f>
        <v>0</v>
      </c>
      <c r="E182" s="73">
        <f t="shared" si="94"/>
        <v>363282.80000000005</v>
      </c>
      <c r="F182" s="73">
        <f t="shared" ref="F182:G182" si="95">F181+F171</f>
        <v>360153.79999999993</v>
      </c>
      <c r="G182" s="73">
        <f t="shared" si="95"/>
        <v>361638.5</v>
      </c>
    </row>
    <row r="183" spans="1:7">
      <c r="A183" s="71" t="s">
        <v>369</v>
      </c>
      <c r="B183" s="71"/>
      <c r="C183" s="71" t="s">
        <v>370</v>
      </c>
      <c r="D183" s="73">
        <f t="shared" ref="D183" si="96">D4+D5-D7+D38+D39+D40+D41+D43+D13-D16+D57+D58+D60+D61+D62</f>
        <v>0</v>
      </c>
      <c r="E183" s="73">
        <f>E4+E5-E7+E38+E39+E40+E41+E43+E13-E16+E57+E58+E60+E62</f>
        <v>348914.4</v>
      </c>
      <c r="F183" s="73">
        <f t="shared" ref="F183:G183" si="97">F4+F5-F7+F38+F39+F40+F41+F43+F13-F16+F57+F58+F60+F62</f>
        <v>351525.19999999995</v>
      </c>
      <c r="G183" s="73">
        <f t="shared" si="97"/>
        <v>366000.10000000003</v>
      </c>
    </row>
    <row r="184" spans="1:7">
      <c r="A184" s="71" t="s">
        <v>373</v>
      </c>
      <c r="B184" s="71"/>
      <c r="C184" s="71" t="s">
        <v>171</v>
      </c>
      <c r="D184" s="73">
        <f t="shared" ref="D184:E184" si="98">D183+D170</f>
        <v>0</v>
      </c>
      <c r="E184" s="73">
        <f t="shared" si="98"/>
        <v>396363.9</v>
      </c>
      <c r="F184" s="73">
        <f t="shared" ref="F184:G184" si="99">F183+F170</f>
        <v>397778.6</v>
      </c>
      <c r="G184" s="73">
        <f t="shared" si="99"/>
        <v>399682.10000000003</v>
      </c>
    </row>
    <row r="185" spans="1:7">
      <c r="A185" s="71"/>
      <c r="B185" s="71"/>
      <c r="C185" s="71" t="s">
        <v>405</v>
      </c>
      <c r="D185" s="73">
        <f t="shared" ref="D185:E185" si="100">D181-D183</f>
        <v>0</v>
      </c>
      <c r="E185" s="73">
        <f t="shared" si="100"/>
        <v>6098.4000000000233</v>
      </c>
      <c r="F185" s="73">
        <f t="shared" ref="F185:G185" si="101">F181-F183</f>
        <v>-3271</v>
      </c>
      <c r="G185" s="73">
        <f t="shared" si="101"/>
        <v>-13608.600000000035</v>
      </c>
    </row>
    <row r="186" spans="1:7">
      <c r="A186" s="71"/>
      <c r="B186" s="71"/>
      <c r="C186" s="71" t="s">
        <v>406</v>
      </c>
      <c r="D186" s="73">
        <f t="shared" ref="D186:E186" si="102">D182-D184</f>
        <v>0</v>
      </c>
      <c r="E186" s="73">
        <f t="shared" si="102"/>
        <v>-33081.099999999977</v>
      </c>
      <c r="F186" s="73">
        <f t="shared" ref="F186:G186" si="103">F182-F184</f>
        <v>-37624.800000000047</v>
      </c>
      <c r="G186" s="73">
        <f t="shared" si="103"/>
        <v>-38043.600000000035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I45"/>
  <sheetViews>
    <sheetView view="pageLayout" topLeftCell="A22" zoomScaleNormal="115" workbookViewId="0">
      <selection activeCell="K26" sqref="K26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590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385" t="s">
        <v>470</v>
      </c>
      <c r="F3" s="384"/>
      <c r="G3" s="385"/>
      <c r="H3" s="384"/>
      <c r="I3" s="386"/>
    </row>
    <row r="4" spans="1:9">
      <c r="A4" s="372" t="s">
        <v>518</v>
      </c>
      <c r="B4" s="387" t="s">
        <v>1</v>
      </c>
      <c r="C4" s="388">
        <v>21094.3</v>
      </c>
      <c r="D4" s="389">
        <f t="shared" ref="D4:D28" si="0">CHOOSE((C4&lt;&gt;0)+1,"  -",(E4-C4)/C4)</f>
        <v>2.7908013065140857E-2</v>
      </c>
      <c r="E4" s="388">
        <v>21683</v>
      </c>
      <c r="F4" s="389">
        <f t="shared" ref="F4:F27" si="1">CHOOSE((E4&lt;&gt;0)+1,"  -",(G4-E4)/E4)</f>
        <v>-8.7257298344325385E-3</v>
      </c>
      <c r="G4" s="388">
        <v>21493.8</v>
      </c>
      <c r="H4" s="389">
        <f t="shared" ref="H4:H16" si="2">CHOOSE((G4&lt;&gt;0)+1,"  -",(I4-G4)/G4)</f>
        <v>5.2898975518521959E-3</v>
      </c>
      <c r="I4" s="390">
        <v>21607.5</v>
      </c>
    </row>
    <row r="5" spans="1:9">
      <c r="A5" s="391" t="s">
        <v>519</v>
      </c>
      <c r="B5" s="382" t="s">
        <v>520</v>
      </c>
      <c r="C5" s="392">
        <v>10701.6</v>
      </c>
      <c r="D5" s="393">
        <f t="shared" si="0"/>
        <v>0.12642034835912383</v>
      </c>
      <c r="E5" s="392">
        <v>12054.5</v>
      </c>
      <c r="F5" s="393">
        <f t="shared" si="1"/>
        <v>-5.3266415031730921E-2</v>
      </c>
      <c r="G5" s="392">
        <v>11412.4</v>
      </c>
      <c r="H5" s="393">
        <f t="shared" si="2"/>
        <v>8.4828782727559532E-2</v>
      </c>
      <c r="I5" s="394">
        <v>12380.5</v>
      </c>
    </row>
    <row r="6" spans="1:9">
      <c r="A6" s="391" t="s">
        <v>229</v>
      </c>
      <c r="B6" s="382" t="s">
        <v>521</v>
      </c>
      <c r="C6" s="392">
        <v>985.1</v>
      </c>
      <c r="D6" s="393">
        <f t="shared" si="0"/>
        <v>0.44046289716780018</v>
      </c>
      <c r="E6" s="392">
        <v>1419</v>
      </c>
      <c r="F6" s="393">
        <f t="shared" si="1"/>
        <v>-0.17808315715292464</v>
      </c>
      <c r="G6" s="392">
        <v>1166.3</v>
      </c>
      <c r="H6" s="393">
        <f t="shared" si="2"/>
        <v>0.14807510932007206</v>
      </c>
      <c r="I6" s="394">
        <v>1339</v>
      </c>
    </row>
    <row r="7" spans="1:9">
      <c r="A7" s="391" t="s">
        <v>522</v>
      </c>
      <c r="B7" s="382" t="s">
        <v>523</v>
      </c>
      <c r="C7" s="392">
        <v>15.1</v>
      </c>
      <c r="D7" s="393">
        <f t="shared" si="0"/>
        <v>0.98675496688741726</v>
      </c>
      <c r="E7" s="392">
        <v>30</v>
      </c>
      <c r="F7" s="393">
        <f t="shared" si="1"/>
        <v>-0.43333333333333335</v>
      </c>
      <c r="G7" s="392">
        <v>17</v>
      </c>
      <c r="H7" s="393">
        <f t="shared" si="2"/>
        <v>1.1764705882352942</v>
      </c>
      <c r="I7" s="394">
        <v>37</v>
      </c>
    </row>
    <row r="8" spans="1:9">
      <c r="A8" s="391" t="s">
        <v>524</v>
      </c>
      <c r="B8" s="382" t="s">
        <v>525</v>
      </c>
      <c r="C8" s="392">
        <v>0</v>
      </c>
      <c r="D8" s="393" t="str">
        <f t="shared" si="0"/>
        <v xml:space="preserve">  -</v>
      </c>
      <c r="E8" s="392">
        <v>0</v>
      </c>
      <c r="F8" s="393" t="str">
        <f t="shared" si="1"/>
        <v xml:space="preserve">  -</v>
      </c>
      <c r="G8" s="392">
        <v>0</v>
      </c>
      <c r="H8" s="393" t="str">
        <f t="shared" si="2"/>
        <v xml:space="preserve">  -</v>
      </c>
      <c r="I8" s="394">
        <v>0</v>
      </c>
    </row>
    <row r="9" spans="1:9">
      <c r="A9" s="391" t="s">
        <v>526</v>
      </c>
      <c r="B9" s="382" t="s">
        <v>527</v>
      </c>
      <c r="C9" s="392">
        <v>4930.3999999999996</v>
      </c>
      <c r="D9" s="393">
        <f t="shared" si="0"/>
        <v>-0.56109037806263184</v>
      </c>
      <c r="E9" s="392">
        <v>2164</v>
      </c>
      <c r="F9" s="393">
        <f t="shared" si="1"/>
        <v>1.4565619223659889</v>
      </c>
      <c r="G9" s="392">
        <v>5316</v>
      </c>
      <c r="H9" s="393">
        <f t="shared" si="2"/>
        <v>-0.55699774266365687</v>
      </c>
      <c r="I9" s="394">
        <v>2355</v>
      </c>
    </row>
    <row r="10" spans="1:9">
      <c r="A10" s="391" t="s">
        <v>528</v>
      </c>
      <c r="B10" s="382" t="s">
        <v>529</v>
      </c>
      <c r="C10" s="392">
        <v>100960.3</v>
      </c>
      <c r="D10" s="393">
        <f t="shared" si="0"/>
        <v>-1.2725794198313623E-2</v>
      </c>
      <c r="E10" s="392">
        <v>99675.5</v>
      </c>
      <c r="F10" s="393">
        <f t="shared" si="1"/>
        <v>2.7758074953223237E-2</v>
      </c>
      <c r="G10" s="392">
        <v>102442.3</v>
      </c>
      <c r="H10" s="393">
        <f t="shared" si="2"/>
        <v>-2.4989677115800795E-3</v>
      </c>
      <c r="I10" s="394">
        <v>102186.3</v>
      </c>
    </row>
    <row r="11" spans="1:9">
      <c r="A11" s="391" t="s">
        <v>530</v>
      </c>
      <c r="B11" s="382" t="s">
        <v>531</v>
      </c>
      <c r="C11" s="392">
        <v>19670.2</v>
      </c>
      <c r="D11" s="393">
        <f t="shared" si="0"/>
        <v>-8.6130288456650189E-2</v>
      </c>
      <c r="E11" s="392">
        <v>17976</v>
      </c>
      <c r="F11" s="393">
        <f t="shared" si="1"/>
        <v>4.9070983533600274E-2</v>
      </c>
      <c r="G11" s="392">
        <v>18858.099999999999</v>
      </c>
      <c r="H11" s="393">
        <f t="shared" si="2"/>
        <v>-6.945026275181472E-2</v>
      </c>
      <c r="I11" s="394">
        <v>17548.400000000001</v>
      </c>
    </row>
    <row r="12" spans="1:9">
      <c r="A12" s="391" t="s">
        <v>532</v>
      </c>
      <c r="B12" s="382" t="s">
        <v>533</v>
      </c>
      <c r="C12" s="392">
        <v>521.29999999999995</v>
      </c>
      <c r="D12" s="393">
        <f t="shared" si="0"/>
        <v>1.8607327834260591E-2</v>
      </c>
      <c r="E12" s="392">
        <v>531</v>
      </c>
      <c r="F12" s="393">
        <f t="shared" si="1"/>
        <v>-8.7570621468926552E-2</v>
      </c>
      <c r="G12" s="392">
        <v>484.5</v>
      </c>
      <c r="H12" s="393">
        <f t="shared" si="2"/>
        <v>9.1847265221878222E-2</v>
      </c>
      <c r="I12" s="394">
        <v>529</v>
      </c>
    </row>
    <row r="13" spans="1:9">
      <c r="A13" s="391" t="s">
        <v>534</v>
      </c>
      <c r="B13" s="382" t="s">
        <v>535</v>
      </c>
      <c r="C13" s="392">
        <v>8145.2</v>
      </c>
      <c r="D13" s="393">
        <f t="shared" si="0"/>
        <v>0.14644207631488487</v>
      </c>
      <c r="E13" s="392">
        <v>9338</v>
      </c>
      <c r="F13" s="393">
        <f t="shared" si="1"/>
        <v>-1.4874705504390623E-2</v>
      </c>
      <c r="G13" s="392">
        <v>9199.1</v>
      </c>
      <c r="H13" s="393">
        <f t="shared" si="2"/>
        <v>0.17141894315748274</v>
      </c>
      <c r="I13" s="394">
        <v>10776</v>
      </c>
    </row>
    <row r="14" spans="1:9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0</v>
      </c>
    </row>
    <row r="15" spans="1:9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540</v>
      </c>
      <c r="B16" s="382" t="s">
        <v>541</v>
      </c>
      <c r="C16" s="392">
        <v>270</v>
      </c>
      <c r="D16" s="393">
        <f t="shared" si="0"/>
        <v>0</v>
      </c>
      <c r="E16" s="392">
        <v>270</v>
      </c>
      <c r="F16" s="393">
        <f t="shared" si="1"/>
        <v>0</v>
      </c>
      <c r="G16" s="392">
        <v>270</v>
      </c>
      <c r="H16" s="393">
        <f t="shared" si="2"/>
        <v>0</v>
      </c>
      <c r="I16" s="394">
        <v>270</v>
      </c>
    </row>
    <row r="17" spans="1:9">
      <c r="A17" s="391" t="s">
        <v>542</v>
      </c>
      <c r="B17" s="382" t="s">
        <v>543</v>
      </c>
      <c r="C17" s="392">
        <v>3303.9</v>
      </c>
      <c r="D17" s="393">
        <f t="shared" si="0"/>
        <v>-0.78116771088713344</v>
      </c>
      <c r="E17" s="392">
        <v>723</v>
      </c>
      <c r="F17" s="393">
        <f t="shared" si="1"/>
        <v>1.4821576763485476</v>
      </c>
      <c r="G17" s="392">
        <v>1794.6</v>
      </c>
      <c r="H17" s="393">
        <f>CHOOSE((G17&lt;&gt;0)+1,"  -",(I17-G17)/G17)</f>
        <v>-0.57372116349047142</v>
      </c>
      <c r="I17" s="394">
        <v>765</v>
      </c>
    </row>
    <row r="18" spans="1:9">
      <c r="A18" s="391">
        <v>389</v>
      </c>
      <c r="B18" s="382" t="s">
        <v>7</v>
      </c>
      <c r="C18" s="392">
        <v>0</v>
      </c>
      <c r="D18" s="393" t="str">
        <f t="shared" si="0"/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7017.2</v>
      </c>
      <c r="D19" s="393">
        <f t="shared" si="0"/>
        <v>-1.6060536966311323E-2</v>
      </c>
      <c r="E19" s="397">
        <v>6904.5</v>
      </c>
      <c r="F19" s="393">
        <f t="shared" si="1"/>
        <v>-5.1995075675283706E-3</v>
      </c>
      <c r="G19" s="397">
        <v>6868.6</v>
      </c>
      <c r="H19" s="393">
        <f t="shared" ref="H19:H27" si="3">CHOOSE((G19&lt;&gt;0)+1,"  -",(I19-G19)/G19)</f>
        <v>1.9276126139242296E-2</v>
      </c>
      <c r="I19" s="398">
        <v>7001</v>
      </c>
    </row>
    <row r="20" spans="1:9">
      <c r="A20" s="399" t="s">
        <v>546</v>
      </c>
      <c r="B20" s="400" t="s">
        <v>547</v>
      </c>
      <c r="C20" s="401">
        <f>C19+C18+C17+C10+C9+C8+C7+C5+C4</f>
        <v>148022.80000000002</v>
      </c>
      <c r="D20" s="402">
        <f t="shared" si="0"/>
        <v>-3.2348394976990144E-2</v>
      </c>
      <c r="E20" s="401">
        <f>E19+E18+E17+E10+E9+E8+E7+E5+E4</f>
        <v>143234.5</v>
      </c>
      <c r="F20" s="402">
        <f t="shared" si="1"/>
        <v>4.2658716999046893E-2</v>
      </c>
      <c r="G20" s="401">
        <f>G19+G18+G17+G10+G9+G8+G7+G5+G4</f>
        <v>149344.69999999998</v>
      </c>
      <c r="H20" s="402">
        <f t="shared" si="3"/>
        <v>-2.0170786107575257E-2</v>
      </c>
      <c r="I20" s="434">
        <f>I19+I18+I17+I10+I9+I8+I7+I5+I4</f>
        <v>146332.29999999999</v>
      </c>
    </row>
    <row r="21" spans="1:9">
      <c r="A21" s="403" t="s">
        <v>548</v>
      </c>
      <c r="B21" s="404" t="s">
        <v>549</v>
      </c>
      <c r="C21" s="388">
        <v>41381.199999999997</v>
      </c>
      <c r="D21" s="393">
        <f t="shared" si="0"/>
        <v>-0.15224788068011555</v>
      </c>
      <c r="E21" s="388">
        <v>35081</v>
      </c>
      <c r="F21" s="393">
        <f t="shared" si="1"/>
        <v>0.21965166329352068</v>
      </c>
      <c r="G21" s="388">
        <v>42786.6</v>
      </c>
      <c r="H21" s="393">
        <f t="shared" si="3"/>
        <v>-0.18432406407613597</v>
      </c>
      <c r="I21" s="390">
        <v>34900</v>
      </c>
    </row>
    <row r="22" spans="1:9">
      <c r="A22" s="405" t="s">
        <v>550</v>
      </c>
      <c r="B22" s="378" t="s">
        <v>551</v>
      </c>
      <c r="C22" s="392">
        <v>9076.4</v>
      </c>
      <c r="D22" s="393">
        <f t="shared" si="0"/>
        <v>-0.31690978802168257</v>
      </c>
      <c r="E22" s="392">
        <v>6200</v>
      </c>
      <c r="F22" s="393">
        <f t="shared" si="1"/>
        <v>0.57604838709677419</v>
      </c>
      <c r="G22" s="392">
        <v>9771.5</v>
      </c>
      <c r="H22" s="393">
        <f t="shared" si="3"/>
        <v>-0.34503402752903856</v>
      </c>
      <c r="I22" s="394">
        <v>6400</v>
      </c>
    </row>
    <row r="23" spans="1:9">
      <c r="A23" s="405" t="s">
        <v>552</v>
      </c>
      <c r="B23" s="378" t="s">
        <v>553</v>
      </c>
      <c r="C23" s="392">
        <v>13358</v>
      </c>
      <c r="D23" s="393">
        <f t="shared" si="0"/>
        <v>-1.7817038478814193E-2</v>
      </c>
      <c r="E23" s="392">
        <v>13120</v>
      </c>
      <c r="F23" s="393">
        <f t="shared" si="1"/>
        <v>2.192835365853664E-2</v>
      </c>
      <c r="G23" s="392">
        <v>13407.7</v>
      </c>
      <c r="H23" s="393">
        <f t="shared" si="3"/>
        <v>-7.1376895366096144E-3</v>
      </c>
      <c r="I23" s="394">
        <v>13312</v>
      </c>
    </row>
    <row r="24" spans="1:9">
      <c r="A24" s="405" t="s">
        <v>554</v>
      </c>
      <c r="B24" s="378" t="s">
        <v>555</v>
      </c>
      <c r="C24" s="392">
        <v>12948.7</v>
      </c>
      <c r="D24" s="393">
        <f t="shared" si="0"/>
        <v>-6.9868017638836377E-2</v>
      </c>
      <c r="E24" s="392">
        <v>12044</v>
      </c>
      <c r="F24" s="393">
        <f t="shared" si="1"/>
        <v>4.9202922617070773E-2</v>
      </c>
      <c r="G24" s="392">
        <v>12636.6</v>
      </c>
      <c r="H24" s="393">
        <f t="shared" si="3"/>
        <v>-2.9802320244369556E-2</v>
      </c>
      <c r="I24" s="394">
        <v>12260</v>
      </c>
    </row>
    <row r="25" spans="1:9">
      <c r="A25" s="405" t="s">
        <v>556</v>
      </c>
      <c r="B25" s="378" t="s">
        <v>557</v>
      </c>
      <c r="C25" s="392">
        <v>63315.7</v>
      </c>
      <c r="D25" s="393">
        <f t="shared" si="0"/>
        <v>-4.989599735926472E-2</v>
      </c>
      <c r="E25" s="392">
        <v>60156.5</v>
      </c>
      <c r="F25" s="393">
        <f t="shared" si="1"/>
        <v>4.4269530308445444E-2</v>
      </c>
      <c r="G25" s="392">
        <v>62819.6</v>
      </c>
      <c r="H25" s="393">
        <f t="shared" si="3"/>
        <v>-6.52025800864696E-3</v>
      </c>
      <c r="I25" s="394">
        <v>62410</v>
      </c>
    </row>
    <row r="26" spans="1:9">
      <c r="A26" s="406" t="s">
        <v>558</v>
      </c>
      <c r="B26" s="378" t="s">
        <v>559</v>
      </c>
      <c r="C26" s="392">
        <v>1220.8</v>
      </c>
      <c r="D26" s="393">
        <f t="shared" si="0"/>
        <v>0.716497378768021</v>
      </c>
      <c r="E26" s="392">
        <v>2095.5</v>
      </c>
      <c r="F26" s="393">
        <f t="shared" si="1"/>
        <v>-0.28246241947029355</v>
      </c>
      <c r="G26" s="392">
        <v>1503.6</v>
      </c>
      <c r="H26" s="393">
        <f t="shared" si="3"/>
        <v>1.7746741154562384</v>
      </c>
      <c r="I26" s="394">
        <v>4172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0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3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7017.2</v>
      </c>
      <c r="D28" s="393">
        <f t="shared" si="0"/>
        <v>-1.6060536966311323E-2</v>
      </c>
      <c r="E28" s="397">
        <v>6904.5</v>
      </c>
      <c r="F28" s="393">
        <f>CHOOSE((E28&lt;&gt;0)+1,"  -",(G28-E28)/E28)</f>
        <v>-5.1995075675283706E-3</v>
      </c>
      <c r="G28" s="397">
        <v>6868.6</v>
      </c>
      <c r="H28" s="393">
        <f>CHOOSE((G28&lt;&gt;0)+1,"  -",(I28-G28)/G28)</f>
        <v>1.9276126139242296E-2</v>
      </c>
      <c r="I28" s="398">
        <v>7001</v>
      </c>
    </row>
    <row r="29" spans="1:9">
      <c r="A29" s="410" t="s">
        <v>562</v>
      </c>
      <c r="B29" s="411" t="s">
        <v>563</v>
      </c>
      <c r="C29" s="401">
        <f>SUM(C21:C28)</f>
        <v>148318</v>
      </c>
      <c r="D29" s="413">
        <f>CHOOSE((C29&lt;&gt;0)+1,"  -",(E29-C29)/C29)</f>
        <v>-8.5738076295527182E-2</v>
      </c>
      <c r="E29" s="401">
        <f>SUM(E21:E28)</f>
        <v>135601.5</v>
      </c>
      <c r="F29" s="413">
        <f>CHOOSE((E29&lt;&gt;0)+1,"  -",(G29-E29)/E29)</f>
        <v>0.10466477140739602</v>
      </c>
      <c r="G29" s="401">
        <f>SUM(G21:G28)</f>
        <v>149794.20000000001</v>
      </c>
      <c r="H29" s="412">
        <f>CHOOSE((G29&lt;&gt;0)+1,"  -",(I29-G29)/G29)</f>
        <v>-6.2346873243423383E-2</v>
      </c>
      <c r="I29" s="434">
        <f>SUM(I21:I28)</f>
        <v>140455</v>
      </c>
    </row>
    <row r="30" spans="1:9">
      <c r="A30" s="414" t="s">
        <v>564</v>
      </c>
      <c r="B30" s="415" t="s">
        <v>565</v>
      </c>
      <c r="C30" s="416">
        <f>C29-C20</f>
        <v>295.19999999998254</v>
      </c>
      <c r="D30" s="418"/>
      <c r="E30" s="416">
        <f>E29-E20</f>
        <v>-7633</v>
      </c>
      <c r="F30" s="418"/>
      <c r="G30" s="416">
        <f>G29-G20</f>
        <v>449.5000000000291</v>
      </c>
      <c r="H30" s="417"/>
      <c r="I30" s="435">
        <f>I29-I20</f>
        <v>-5877.2999999999884</v>
      </c>
    </row>
    <row r="31" spans="1:9">
      <c r="A31" s="419"/>
      <c r="B31" s="404" t="s">
        <v>566</v>
      </c>
      <c r="C31" s="420"/>
      <c r="D31" s="384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2592.3000000000002</v>
      </c>
      <c r="D32" s="393">
        <f t="shared" ref="D32:D42" si="4">CHOOSE((C32&lt;&gt;0)+1,"  -",(E32-C32)/C32)</f>
        <v>1.0163561316205685</v>
      </c>
      <c r="E32" s="392">
        <v>5227</v>
      </c>
      <c r="F32" s="393">
        <f t="shared" ref="F32:F42" si="5">CHOOSE((E32&lt;&gt;0)+1,"  -",(G32-E32)/E32)</f>
        <v>-0.1336330591161278</v>
      </c>
      <c r="G32" s="392">
        <v>4528.5</v>
      </c>
      <c r="H32" s="393">
        <f t="shared" ref="H32:H42" si="6">CHOOSE((G32&lt;&gt;0)+1,"  -",(I32-G32)/G32)</f>
        <v>-0.12333002097824887</v>
      </c>
      <c r="I32" s="394">
        <v>3970</v>
      </c>
    </row>
    <row r="33" spans="1:9">
      <c r="A33" s="406" t="s">
        <v>569</v>
      </c>
      <c r="B33" s="378" t="s">
        <v>570</v>
      </c>
      <c r="C33" s="392">
        <v>0</v>
      </c>
      <c r="D33" s="393" t="str">
        <f t="shared" si="4"/>
        <v xml:space="preserve">  -</v>
      </c>
      <c r="E33" s="392">
        <v>0</v>
      </c>
      <c r="F33" s="393" t="str">
        <f t="shared" si="5"/>
        <v xml:space="preserve">  -</v>
      </c>
      <c r="G33" s="392">
        <v>0</v>
      </c>
      <c r="H33" s="393" t="str">
        <f t="shared" si="6"/>
        <v xml:space="preserve">  -</v>
      </c>
      <c r="I33" s="394">
        <v>0</v>
      </c>
    </row>
    <row r="34" spans="1:9">
      <c r="A34" s="405" t="s">
        <v>571</v>
      </c>
      <c r="B34" s="378" t="s">
        <v>572</v>
      </c>
      <c r="C34" s="392">
        <v>7960.4</v>
      </c>
      <c r="D34" s="393">
        <f t="shared" si="4"/>
        <v>-0.15456509723129488</v>
      </c>
      <c r="E34" s="392">
        <v>6730</v>
      </c>
      <c r="F34" s="393">
        <f t="shared" si="5"/>
        <v>-0.22876671619613675</v>
      </c>
      <c r="G34" s="392">
        <v>5190.3999999999996</v>
      </c>
      <c r="H34" s="393">
        <f t="shared" si="6"/>
        <v>1.6163686806411839</v>
      </c>
      <c r="I34" s="394">
        <v>13580</v>
      </c>
    </row>
    <row r="35" spans="1:9">
      <c r="A35" s="410" t="s">
        <v>573</v>
      </c>
      <c r="B35" s="411" t="s">
        <v>574</v>
      </c>
      <c r="C35" s="401">
        <f>SUM(C32:C34)</f>
        <v>10552.7</v>
      </c>
      <c r="D35" s="412">
        <f t="shared" si="4"/>
        <v>0.1330749476437309</v>
      </c>
      <c r="E35" s="401">
        <f>SUM(E32:E34)</f>
        <v>11957</v>
      </c>
      <c r="F35" s="412">
        <f t="shared" si="5"/>
        <v>-0.18717905829221379</v>
      </c>
      <c r="G35" s="401">
        <f>SUM(G32:G34)</f>
        <v>9718.9</v>
      </c>
      <c r="H35" s="412">
        <f t="shared" si="6"/>
        <v>0.80575991110105061</v>
      </c>
      <c r="I35" s="434">
        <f>SUM(I32:I34)</f>
        <v>17550</v>
      </c>
    </row>
    <row r="36" spans="1:9">
      <c r="A36" s="405" t="s">
        <v>575</v>
      </c>
      <c r="B36" s="378" t="s">
        <v>576</v>
      </c>
      <c r="C36" s="392">
        <v>0</v>
      </c>
      <c r="D36" s="393" t="str">
        <f t="shared" si="4"/>
        <v xml:space="preserve">  -</v>
      </c>
      <c r="E36" s="392">
        <v>0</v>
      </c>
      <c r="F36" s="393" t="str">
        <f t="shared" si="5"/>
        <v xml:space="preserve">  -</v>
      </c>
      <c r="G36" s="392">
        <v>0</v>
      </c>
      <c r="H36" s="393" t="str">
        <f t="shared" si="6"/>
        <v xml:space="preserve">  -</v>
      </c>
      <c r="I36" s="394">
        <v>0</v>
      </c>
    </row>
    <row r="37" spans="1:9">
      <c r="A37" s="405" t="s">
        <v>577</v>
      </c>
      <c r="B37" s="378" t="s">
        <v>578</v>
      </c>
      <c r="C37" s="392">
        <v>1622</v>
      </c>
      <c r="D37" s="393">
        <f t="shared" si="4"/>
        <v>-0.61273119605425397</v>
      </c>
      <c r="E37" s="392">
        <v>628.15</v>
      </c>
      <c r="F37" s="393">
        <f t="shared" si="5"/>
        <v>1.2333837459205605</v>
      </c>
      <c r="G37" s="392">
        <v>1402.9</v>
      </c>
      <c r="H37" s="393">
        <f t="shared" si="6"/>
        <v>5.7560054173497752</v>
      </c>
      <c r="I37" s="394">
        <v>9478</v>
      </c>
    </row>
    <row r="38" spans="1:9">
      <c r="A38" s="410" t="s">
        <v>579</v>
      </c>
      <c r="B38" s="411" t="s">
        <v>580</v>
      </c>
      <c r="C38" s="401">
        <f>SUM(C36:C37)</f>
        <v>1622</v>
      </c>
      <c r="D38" s="412">
        <f t="shared" si="4"/>
        <v>-0.61273119605425397</v>
      </c>
      <c r="E38" s="401">
        <f>SUM(E36:E37)</f>
        <v>628.15</v>
      </c>
      <c r="F38" s="412">
        <f t="shared" si="5"/>
        <v>1.2333837459205605</v>
      </c>
      <c r="G38" s="401">
        <f>SUM(G36:G37)</f>
        <v>1402.9</v>
      </c>
      <c r="H38" s="412">
        <f t="shared" si="6"/>
        <v>5.7560054173497752</v>
      </c>
      <c r="I38" s="434">
        <f>SUM(I36:I37)</f>
        <v>9478</v>
      </c>
    </row>
    <row r="39" spans="1:9">
      <c r="A39" s="423" t="s">
        <v>581</v>
      </c>
      <c r="B39" s="424" t="s">
        <v>145</v>
      </c>
      <c r="C39" s="425">
        <f>C35-C38</f>
        <v>8930.7000000000007</v>
      </c>
      <c r="D39" s="426">
        <f t="shared" si="4"/>
        <v>0.26852878273819514</v>
      </c>
      <c r="E39" s="425">
        <f>E35-E38</f>
        <v>11328.85</v>
      </c>
      <c r="F39" s="426">
        <f t="shared" si="5"/>
        <v>-0.26594491056020692</v>
      </c>
      <c r="G39" s="425">
        <f>G35-G38</f>
        <v>8316</v>
      </c>
      <c r="H39" s="426">
        <f t="shared" si="6"/>
        <v>-2.9341029341029341E-2</v>
      </c>
      <c r="I39" s="436">
        <f>I35-I38</f>
        <v>8072</v>
      </c>
    </row>
    <row r="40" spans="1:9">
      <c r="A40" s="377" t="s">
        <v>582</v>
      </c>
      <c r="B40" s="378" t="s">
        <v>153</v>
      </c>
      <c r="C40" s="392">
        <f>C9+C30+C18-C27</f>
        <v>5225.5999999999822</v>
      </c>
      <c r="D40" s="393">
        <f t="shared" si="4"/>
        <v>-2.0465783833435429</v>
      </c>
      <c r="E40" s="392">
        <f>E9+E30+E18-E27</f>
        <v>-5469</v>
      </c>
      <c r="F40" s="393">
        <f t="shared" si="5"/>
        <v>-2.0542146644724868</v>
      </c>
      <c r="G40" s="392">
        <f>G9+G30+G18-G27</f>
        <v>5765.5000000000291</v>
      </c>
      <c r="H40" s="393">
        <f t="shared" si="6"/>
        <v>-1.6109270661694512</v>
      </c>
      <c r="I40" s="394">
        <f>I9+I30+I18-I27</f>
        <v>-3522.2999999999884</v>
      </c>
    </row>
    <row r="41" spans="1:9">
      <c r="A41" s="377" t="s">
        <v>582</v>
      </c>
      <c r="B41" s="378" t="s">
        <v>583</v>
      </c>
      <c r="C41" s="392">
        <f>C40-C39</f>
        <v>-3705.1000000000186</v>
      </c>
      <c r="D41" s="393">
        <f t="shared" si="4"/>
        <v>3.5337102912201868</v>
      </c>
      <c r="E41" s="392">
        <f>E40-E39</f>
        <v>-16797.849999999999</v>
      </c>
      <c r="F41" s="393">
        <f t="shared" si="5"/>
        <v>-0.84816509255648964</v>
      </c>
      <c r="G41" s="392">
        <f>G40-G39</f>
        <v>-2550.4999999999709</v>
      </c>
      <c r="H41" s="393">
        <f t="shared" si="6"/>
        <v>3.5458929621643289</v>
      </c>
      <c r="I41" s="394">
        <f>I40-I39</f>
        <v>-11594.299999999988</v>
      </c>
    </row>
    <row r="42" spans="1:9">
      <c r="A42" s="427" t="s">
        <v>582</v>
      </c>
      <c r="B42" s="409" t="s">
        <v>584</v>
      </c>
      <c r="C42" s="397">
        <f>C35+C20-C8-C9-C17-C18-C19</f>
        <v>143324.00000000003</v>
      </c>
      <c r="D42" s="428">
        <f t="shared" si="4"/>
        <v>1.4484664117663269E-2</v>
      </c>
      <c r="E42" s="397">
        <f>E35+E20-E8-E9-E17-E18-E19</f>
        <v>145400</v>
      </c>
      <c r="F42" s="428">
        <f t="shared" si="5"/>
        <v>-2.1705639614857971E-3</v>
      </c>
      <c r="G42" s="397">
        <f>G35+G20-G8-G9-G17-G18-G19</f>
        <v>145084.39999999997</v>
      </c>
      <c r="H42" s="428">
        <f t="shared" si="6"/>
        <v>5.9805878509336809E-2</v>
      </c>
      <c r="I42" s="398">
        <f>I35+I20-I8-I9-I17-I18-I19</f>
        <v>153761.29999999999</v>
      </c>
    </row>
    <row r="43" spans="1:9">
      <c r="A43" s="427"/>
      <c r="B43" s="409" t="s">
        <v>585</v>
      </c>
      <c r="C43" s="428">
        <f>IF(0&gt;C40,"negativ",C40/C39)</f>
        <v>0.5851277055549936</v>
      </c>
      <c r="D43" s="430"/>
      <c r="E43" s="428" t="str">
        <f>IF(0&gt;E40,"negativ",E40/E39)</f>
        <v>negativ</v>
      </c>
      <c r="F43" s="430"/>
      <c r="G43" s="428">
        <f>IF(0&gt;G40,"negativ",G40/G39)</f>
        <v>0.69330206830207175</v>
      </c>
      <c r="H43" s="430"/>
      <c r="I43" s="441" t="str">
        <f>IF(0&gt;I40,"negativ",I40/I39)</f>
        <v>negativ</v>
      </c>
    </row>
    <row r="44" spans="1:9">
      <c r="A44" s="378"/>
      <c r="B44" s="378"/>
      <c r="C44" s="378"/>
      <c r="D44" s="380"/>
      <c r="E44" s="378"/>
      <c r="F44" s="380"/>
      <c r="G44" s="378"/>
      <c r="H44" s="380"/>
      <c r="I44" s="378"/>
    </row>
    <row r="45" spans="1:9">
      <c r="A45" s="378"/>
      <c r="B45" s="378"/>
      <c r="C45" s="378"/>
      <c r="D45" s="431"/>
      <c r="E45" s="432"/>
      <c r="F45" s="380"/>
      <c r="G45" s="378"/>
      <c r="H45" s="380"/>
      <c r="I45" s="378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I43"/>
  <sheetViews>
    <sheetView view="pageLayout" topLeftCell="A25" zoomScaleNormal="115" workbookViewId="0">
      <selection activeCell="L15" sqref="L15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499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385" t="s">
        <v>470</v>
      </c>
      <c r="F3" s="384"/>
      <c r="G3" s="385"/>
      <c r="H3" s="384"/>
      <c r="I3" s="380" t="s">
        <v>588</v>
      </c>
    </row>
    <row r="4" spans="1:9">
      <c r="A4" s="372" t="s">
        <v>518</v>
      </c>
      <c r="B4" s="387" t="s">
        <v>1</v>
      </c>
      <c r="C4" s="388">
        <v>694170.4</v>
      </c>
      <c r="D4" s="389">
        <f t="shared" ref="D4:D16" si="0">CHOOSE((C4&lt;&gt;0)+1,"  -",(E4-C4)/C4)</f>
        <v>5.0771395611222013E-3</v>
      </c>
      <c r="E4" s="388">
        <v>697694.8</v>
      </c>
      <c r="F4" s="389">
        <f t="shared" ref="F4:F27" si="1">CHOOSE((E4&lt;&gt;0)+1,"  -",(G4-E4)/E4)</f>
        <v>-5.4507361241620178E-3</v>
      </c>
      <c r="G4" s="388">
        <v>693891.84975000005</v>
      </c>
      <c r="H4" s="389">
        <f t="shared" ref="H4:H16" si="2">CHOOSE((G4&lt;&gt;0)+1,"  -",(I4-G4)/G4)</f>
        <v>1.5523384881780665E-2</v>
      </c>
      <c r="I4" s="390">
        <v>704663.4</v>
      </c>
    </row>
    <row r="5" spans="1:9">
      <c r="A5" s="391" t="s">
        <v>519</v>
      </c>
      <c r="B5" s="382" t="s">
        <v>520</v>
      </c>
      <c r="C5" s="392">
        <v>432611.6</v>
      </c>
      <c r="D5" s="393">
        <f t="shared" si="0"/>
        <v>4.8899058647525973E-2</v>
      </c>
      <c r="E5" s="392">
        <v>453765.9</v>
      </c>
      <c r="F5" s="393">
        <f t="shared" si="1"/>
        <v>-3.5858152077976789E-2</v>
      </c>
      <c r="G5" s="392">
        <v>437494.69335000002</v>
      </c>
      <c r="H5" s="393">
        <f t="shared" si="2"/>
        <v>1.6013695152172207E-2</v>
      </c>
      <c r="I5" s="394">
        <v>444500.6</v>
      </c>
    </row>
    <row r="6" spans="1:9">
      <c r="A6" s="391" t="s">
        <v>229</v>
      </c>
      <c r="B6" s="382" t="s">
        <v>521</v>
      </c>
      <c r="C6" s="392">
        <v>64851.7</v>
      </c>
      <c r="D6" s="393">
        <f t="shared" si="0"/>
        <v>-2.994987024241455E-2</v>
      </c>
      <c r="E6" s="392">
        <v>62909.4</v>
      </c>
      <c r="F6" s="393">
        <f t="shared" si="1"/>
        <v>7.2987014659176452E-2</v>
      </c>
      <c r="G6" s="392">
        <v>67500.969299999997</v>
      </c>
      <c r="H6" s="393">
        <f t="shared" si="2"/>
        <v>0.17102466556728402</v>
      </c>
      <c r="I6" s="394">
        <v>79045.3</v>
      </c>
    </row>
    <row r="7" spans="1:9">
      <c r="A7" s="391" t="s">
        <v>522</v>
      </c>
      <c r="B7" s="382" t="s">
        <v>523</v>
      </c>
      <c r="C7" s="392">
        <v>24792.400000000001</v>
      </c>
      <c r="D7" s="393">
        <f t="shared" si="0"/>
        <v>-0.1110703280037431</v>
      </c>
      <c r="E7" s="392">
        <v>22038.7</v>
      </c>
      <c r="F7" s="393">
        <f t="shared" si="1"/>
        <v>0.1208468498595652</v>
      </c>
      <c r="G7" s="392">
        <v>24702.00747</v>
      </c>
      <c r="H7" s="393">
        <f t="shared" si="2"/>
        <v>0.12511503503322347</v>
      </c>
      <c r="I7" s="394">
        <v>27792.6</v>
      </c>
    </row>
    <row r="8" spans="1:9">
      <c r="A8" s="391" t="s">
        <v>524</v>
      </c>
      <c r="B8" s="382" t="s">
        <v>525</v>
      </c>
      <c r="C8" s="392">
        <v>22683.5</v>
      </c>
      <c r="D8" s="393">
        <f t="shared" si="0"/>
        <v>-9.0118367976723207E-2</v>
      </c>
      <c r="E8" s="392">
        <v>20639.3</v>
      </c>
      <c r="F8" s="393">
        <f t="shared" si="1"/>
        <v>0.59192491848076234</v>
      </c>
      <c r="G8" s="392">
        <v>32856.215969999997</v>
      </c>
      <c r="H8" s="393">
        <f t="shared" si="2"/>
        <v>-0.99088148190060732</v>
      </c>
      <c r="I8" s="394">
        <v>299.60000000000002</v>
      </c>
    </row>
    <row r="9" spans="1:9">
      <c r="A9" s="391" t="s">
        <v>526</v>
      </c>
      <c r="B9" s="382" t="s">
        <v>527</v>
      </c>
      <c r="C9" s="392">
        <v>99759.3</v>
      </c>
      <c r="D9" s="393">
        <f t="shared" si="0"/>
        <v>0.15661497223817733</v>
      </c>
      <c r="E9" s="392">
        <v>115383.1</v>
      </c>
      <c r="F9" s="393">
        <f t="shared" si="1"/>
        <v>-6.7771318936655431E-2</v>
      </c>
      <c r="G9" s="392">
        <v>107563.43513</v>
      </c>
      <c r="H9" s="393">
        <f t="shared" si="2"/>
        <v>0.18953527139924842</v>
      </c>
      <c r="I9" s="394">
        <v>127950.5</v>
      </c>
    </row>
    <row r="10" spans="1:9">
      <c r="A10" s="391" t="s">
        <v>528</v>
      </c>
      <c r="B10" s="382" t="s">
        <v>529</v>
      </c>
      <c r="C10" s="392">
        <v>2762167.3</v>
      </c>
      <c r="D10" s="393">
        <f t="shared" si="0"/>
        <v>2.064103792699272E-3</v>
      </c>
      <c r="E10" s="392">
        <v>2767868.6999999997</v>
      </c>
      <c r="F10" s="393">
        <f t="shared" si="1"/>
        <v>-1.7113218267902916E-3</v>
      </c>
      <c r="G10" s="392">
        <v>2763131.9858800001</v>
      </c>
      <c r="H10" s="393">
        <f t="shared" si="2"/>
        <v>2.5839632158309978E-2</v>
      </c>
      <c r="I10" s="394">
        <v>2834530.3</v>
      </c>
    </row>
    <row r="11" spans="1:9">
      <c r="A11" s="391" t="s">
        <v>530</v>
      </c>
      <c r="B11" s="382" t="s">
        <v>531</v>
      </c>
      <c r="C11" s="392">
        <v>823710</v>
      </c>
      <c r="D11" s="393">
        <f t="shared" si="0"/>
        <v>2.0094693520777886E-2</v>
      </c>
      <c r="E11" s="392">
        <v>840262.2</v>
      </c>
      <c r="F11" s="393">
        <f t="shared" si="1"/>
        <v>-3.2991277758299728E-2</v>
      </c>
      <c r="G11" s="392">
        <v>812540.87636999995</v>
      </c>
      <c r="H11" s="393">
        <f t="shared" si="2"/>
        <v>-0.18020838166832473</v>
      </c>
      <c r="I11" s="394">
        <v>666114.19999999995</v>
      </c>
    </row>
    <row r="12" spans="1:9">
      <c r="A12" s="391" t="s">
        <v>532</v>
      </c>
      <c r="B12" s="382" t="s">
        <v>533</v>
      </c>
      <c r="C12" s="392">
        <v>83001.2</v>
      </c>
      <c r="D12" s="393">
        <f t="shared" si="0"/>
        <v>0.10826831419304792</v>
      </c>
      <c r="E12" s="392">
        <v>91987.6</v>
      </c>
      <c r="F12" s="393">
        <f t="shared" si="1"/>
        <v>-8.7625351460414322E-2</v>
      </c>
      <c r="G12" s="392">
        <v>83927.154219999997</v>
      </c>
      <c r="H12" s="393">
        <f t="shared" si="2"/>
        <v>-1</v>
      </c>
      <c r="I12" s="394">
        <v>0</v>
      </c>
    </row>
    <row r="13" spans="1:9">
      <c r="A13" s="391" t="s">
        <v>534</v>
      </c>
      <c r="B13" s="382" t="s">
        <v>535</v>
      </c>
      <c r="C13" s="392">
        <v>369979.3</v>
      </c>
      <c r="D13" s="393">
        <f t="shared" si="0"/>
        <v>5.7749176778268407E-2</v>
      </c>
      <c r="E13" s="392">
        <v>391345.3</v>
      </c>
      <c r="F13" s="393">
        <f t="shared" si="1"/>
        <v>5.882046877782824E-3</v>
      </c>
      <c r="G13" s="392">
        <v>393647.21139999997</v>
      </c>
      <c r="H13" s="393">
        <f t="shared" si="2"/>
        <v>-1</v>
      </c>
      <c r="I13" s="394">
        <v>0</v>
      </c>
    </row>
    <row r="14" spans="1:9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0</v>
      </c>
    </row>
    <row r="15" spans="1:9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540</v>
      </c>
      <c r="B16" s="382" t="s">
        <v>541</v>
      </c>
      <c r="C16" s="392">
        <v>1519.2</v>
      </c>
      <c r="D16" s="393">
        <f t="shared" si="0"/>
        <v>0.35966298051606099</v>
      </c>
      <c r="E16" s="392">
        <v>2065.6</v>
      </c>
      <c r="F16" s="393">
        <f t="shared" si="1"/>
        <v>-0.39630180092951195</v>
      </c>
      <c r="G16" s="392">
        <v>1246.999</v>
      </c>
      <c r="H16" s="393">
        <f t="shared" si="2"/>
        <v>-1</v>
      </c>
      <c r="I16" s="394">
        <v>0</v>
      </c>
    </row>
    <row r="17" spans="1:9">
      <c r="A17" s="391" t="s">
        <v>542</v>
      </c>
      <c r="B17" s="382" t="s">
        <v>543</v>
      </c>
      <c r="C17" s="392">
        <v>68802.5</v>
      </c>
      <c r="D17" s="393">
        <f>CHOOSE((C17&lt;&gt;0)+1,"  -",(E17-C17)/C17)</f>
        <v>-0.78637694851204532</v>
      </c>
      <c r="E17" s="392">
        <v>14697.8</v>
      </c>
      <c r="F17" s="393">
        <f t="shared" si="1"/>
        <v>0.68979662262379404</v>
      </c>
      <c r="G17" s="392">
        <v>24836.292799999999</v>
      </c>
      <c r="H17" s="393">
        <f>CHOOSE((G17&lt;&gt;0)+1,"  -",(I17-G17)/G17)</f>
        <v>-0.42241782557821994</v>
      </c>
      <c r="I17" s="394">
        <v>14345</v>
      </c>
    </row>
    <row r="18" spans="1:9">
      <c r="A18" s="391">
        <v>389</v>
      </c>
      <c r="B18" s="382" t="s">
        <v>7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385875.5</v>
      </c>
      <c r="D19" s="393">
        <f t="shared" ref="D19:D27" si="3">CHOOSE((C19&lt;&gt;0)+1,"  -",(E19-C19)/C19)</f>
        <v>5.8569149894201686E-2</v>
      </c>
      <c r="E19" s="397">
        <v>408475.9</v>
      </c>
      <c r="F19" s="393">
        <f t="shared" si="1"/>
        <v>-4.3552366345236078E-2</v>
      </c>
      <c r="G19" s="397">
        <v>390685.80796000001</v>
      </c>
      <c r="H19" s="393">
        <f t="shared" ref="H19:H27" si="4">CHOOSE((G19&lt;&gt;0)+1,"  -",(I19-G19)/G19)</f>
        <v>9.1680299898856843E-2</v>
      </c>
      <c r="I19" s="398">
        <v>426504</v>
      </c>
    </row>
    <row r="20" spans="1:9">
      <c r="A20" s="399" t="s">
        <v>546</v>
      </c>
      <c r="B20" s="400" t="s">
        <v>547</v>
      </c>
      <c r="C20" s="401">
        <f>C19+C18+C17+C10+C9+C8+C7+C5+C4</f>
        <v>4490862.5</v>
      </c>
      <c r="D20" s="402">
        <f t="shared" si="3"/>
        <v>2.1603199830767892E-3</v>
      </c>
      <c r="E20" s="401">
        <f>E19+E18+E17+E10+E9+E8+E7+E5+E4</f>
        <v>4500564.2</v>
      </c>
      <c r="F20" s="402">
        <f t="shared" si="1"/>
        <v>-5.6441616120042112E-3</v>
      </c>
      <c r="G20" s="401">
        <f>G19+G18+G17+G10+G9+G8+G7+G5+G4</f>
        <v>4475162.2883099997</v>
      </c>
      <c r="H20" s="402">
        <f t="shared" si="4"/>
        <v>2.3557517001201865E-2</v>
      </c>
      <c r="I20" s="434">
        <f>I19+I18+I17+I10+I9+I8+I7+I5+I4</f>
        <v>4580586</v>
      </c>
    </row>
    <row r="21" spans="1:9">
      <c r="A21" s="403" t="s">
        <v>548</v>
      </c>
      <c r="B21" s="404" t="s">
        <v>549</v>
      </c>
      <c r="C21" s="388">
        <v>1576925.9</v>
      </c>
      <c r="D21" s="393">
        <f t="shared" si="3"/>
        <v>7.1388325856021576E-2</v>
      </c>
      <c r="E21" s="388">
        <v>1689500</v>
      </c>
      <c r="F21" s="393">
        <f t="shared" si="1"/>
        <v>2.2978965137614701E-2</v>
      </c>
      <c r="G21" s="388">
        <v>1728322.9616</v>
      </c>
      <c r="H21" s="393">
        <f t="shared" si="4"/>
        <v>-4.9830363603033695E-2</v>
      </c>
      <c r="I21" s="390">
        <v>1642200</v>
      </c>
    </row>
    <row r="22" spans="1:9">
      <c r="A22" s="405" t="s">
        <v>550</v>
      </c>
      <c r="B22" s="378" t="s">
        <v>551</v>
      </c>
      <c r="C22" s="392">
        <v>193699.7</v>
      </c>
      <c r="D22" s="393">
        <f t="shared" si="3"/>
        <v>-2.4817797859263652E-2</v>
      </c>
      <c r="E22" s="392">
        <v>188892.5</v>
      </c>
      <c r="F22" s="393">
        <f t="shared" si="1"/>
        <v>7.4031114787511454E-2</v>
      </c>
      <c r="G22" s="392">
        <v>202876.42235000001</v>
      </c>
      <c r="H22" s="393">
        <f t="shared" si="4"/>
        <v>0.54326459611880074</v>
      </c>
      <c r="I22" s="394">
        <v>313092</v>
      </c>
    </row>
    <row r="23" spans="1:9">
      <c r="A23" s="405" t="s">
        <v>552</v>
      </c>
      <c r="B23" s="378" t="s">
        <v>553</v>
      </c>
      <c r="C23" s="392">
        <v>182204.1</v>
      </c>
      <c r="D23" s="393">
        <f t="shared" si="3"/>
        <v>-0.10759088297134915</v>
      </c>
      <c r="E23" s="392">
        <v>162600.6</v>
      </c>
      <c r="F23" s="393">
        <f t="shared" si="1"/>
        <v>6.9660772346473415E-2</v>
      </c>
      <c r="G23" s="392">
        <v>173927.48337999999</v>
      </c>
      <c r="H23" s="393">
        <f t="shared" si="4"/>
        <v>-0.31897077047214617</v>
      </c>
      <c r="I23" s="394">
        <v>118449.7</v>
      </c>
    </row>
    <row r="24" spans="1:9">
      <c r="A24" s="405" t="s">
        <v>554</v>
      </c>
      <c r="B24" s="378" t="s">
        <v>555</v>
      </c>
      <c r="C24" s="392">
        <v>313031.90000000002</v>
      </c>
      <c r="D24" s="393">
        <f t="shared" si="3"/>
        <v>-6.2052461745911586E-2</v>
      </c>
      <c r="E24" s="392">
        <v>293607.5</v>
      </c>
      <c r="F24" s="393">
        <f t="shared" si="1"/>
        <v>0.16489053215602475</v>
      </c>
      <c r="G24" s="392">
        <v>342020.59692000004</v>
      </c>
      <c r="H24" s="393">
        <f t="shared" si="4"/>
        <v>-2.764736768824366E-3</v>
      </c>
      <c r="I24" s="394">
        <v>341075.00000000006</v>
      </c>
    </row>
    <row r="25" spans="1:9">
      <c r="A25" s="405" t="s">
        <v>556</v>
      </c>
      <c r="B25" s="378" t="s">
        <v>557</v>
      </c>
      <c r="C25" s="392">
        <v>1540564.3</v>
      </c>
      <c r="D25" s="393">
        <f t="shared" si="3"/>
        <v>1.1312932540368517E-2</v>
      </c>
      <c r="E25" s="392">
        <v>1557992.6</v>
      </c>
      <c r="F25" s="393">
        <f t="shared" si="1"/>
        <v>-1.6416022354663346E-2</v>
      </c>
      <c r="G25" s="392">
        <v>1532416.55865</v>
      </c>
      <c r="H25" s="393">
        <f t="shared" si="4"/>
        <v>5.6325964936087575E-2</v>
      </c>
      <c r="I25" s="394">
        <v>1618731.4</v>
      </c>
    </row>
    <row r="26" spans="1:9">
      <c r="A26" s="406" t="s">
        <v>558</v>
      </c>
      <c r="B26" s="378" t="s">
        <v>559</v>
      </c>
      <c r="C26" s="392">
        <v>293267.90000000002</v>
      </c>
      <c r="D26" s="393">
        <f t="shared" si="3"/>
        <v>-0.41191518062495086</v>
      </c>
      <c r="E26" s="392">
        <v>172466.4</v>
      </c>
      <c r="F26" s="393">
        <f t="shared" si="1"/>
        <v>3.3804677548786403E-2</v>
      </c>
      <c r="G26" s="392">
        <v>178296.57104000001</v>
      </c>
      <c r="H26" s="393">
        <f t="shared" si="4"/>
        <v>-0.91657214766815187</v>
      </c>
      <c r="I26" s="394">
        <v>14874.900000000001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75600</v>
      </c>
    </row>
    <row r="28" spans="1:9">
      <c r="A28" s="408" t="s">
        <v>560</v>
      </c>
      <c r="B28" s="409" t="s">
        <v>561</v>
      </c>
      <c r="C28" s="397">
        <v>385875.5</v>
      </c>
      <c r="D28" s="393">
        <f>CHOOSE((C28&lt;&gt;0)+1,"  -",(E28-C28)/C28)</f>
        <v>5.8569149894201686E-2</v>
      </c>
      <c r="E28" s="397">
        <v>408475.9</v>
      </c>
      <c r="F28" s="393">
        <f>CHOOSE((E28&lt;&gt;0)+1,"  -",(G28-E28)/E28)</f>
        <v>-4.3552366345236078E-2</v>
      </c>
      <c r="G28" s="397">
        <v>390685.80796000001</v>
      </c>
      <c r="H28" s="393">
        <f>CHOOSE((G28&lt;&gt;0)+1,"  -",(I28-G28)/G28)</f>
        <v>9.1680299898856843E-2</v>
      </c>
      <c r="I28" s="398">
        <v>426504</v>
      </c>
    </row>
    <row r="29" spans="1:9">
      <c r="A29" s="410" t="s">
        <v>562</v>
      </c>
      <c r="B29" s="411" t="s">
        <v>563</v>
      </c>
      <c r="C29" s="401">
        <f>SUM(C21:C28)</f>
        <v>4485569.3000000007</v>
      </c>
      <c r="D29" s="412">
        <f>CHOOSE((C29&lt;&gt;0)+1,"  -",(E29-C29)/C29)</f>
        <v>-2.6827809794401666E-3</v>
      </c>
      <c r="E29" s="401">
        <f>SUM(E21:E28)</f>
        <v>4473535.5</v>
      </c>
      <c r="F29" s="413">
        <f>CHOOSE((E29&lt;&gt;0)+1,"  -",(G29-E29)/E29)</f>
        <v>1.6767700155726928E-2</v>
      </c>
      <c r="G29" s="401">
        <f>SUM(G21:G28)</f>
        <v>4548546.4018999999</v>
      </c>
      <c r="H29" s="412">
        <f>CHOOSE((G29&lt;&gt;0)+1,"  -",(I29-G29)/G29)</f>
        <v>4.3543539517871773E-4</v>
      </c>
      <c r="I29" s="434">
        <f>SUM(I21:I28)</f>
        <v>4550527</v>
      </c>
    </row>
    <row r="30" spans="1:9">
      <c r="A30" s="414" t="s">
        <v>564</v>
      </c>
      <c r="B30" s="415" t="s">
        <v>565</v>
      </c>
      <c r="C30" s="416">
        <f>C29-C20</f>
        <v>-5293.1999999992549</v>
      </c>
      <c r="D30" s="417"/>
      <c r="E30" s="416">
        <f>E29-E20</f>
        <v>-27028.700000000186</v>
      </c>
      <c r="F30" s="418"/>
      <c r="G30" s="416">
        <f>G29-G20</f>
        <v>73384.113590000197</v>
      </c>
      <c r="H30" s="417"/>
      <c r="I30" s="435">
        <f>I29-I20</f>
        <v>-30059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149642.20000000001</v>
      </c>
      <c r="D32" s="393">
        <f t="shared" ref="D32:D42" si="5">CHOOSE((C32&lt;&gt;0)+1,"  -",(E32-C32)/C32)</f>
        <v>1.9966292930737373E-2</v>
      </c>
      <c r="E32" s="392">
        <v>152630</v>
      </c>
      <c r="F32" s="393">
        <f t="shared" ref="F32:F42" si="6">CHOOSE((E32&lt;&gt;0)+1,"  -",(G32-E32)/E32)</f>
        <v>-0.19454546059097164</v>
      </c>
      <c r="G32" s="392">
        <v>122936.52635</v>
      </c>
      <c r="H32" s="393">
        <f t="shared" ref="H32:H42" si="7">CHOOSE((G32&lt;&gt;0)+1,"  -",(I32-G32)/G32)</f>
        <v>0.2812872193212087</v>
      </c>
      <c r="I32" s="394">
        <v>157517</v>
      </c>
    </row>
    <row r="33" spans="1:9">
      <c r="A33" s="406" t="s">
        <v>569</v>
      </c>
      <c r="B33" s="378" t="s">
        <v>570</v>
      </c>
      <c r="C33" s="392">
        <v>16812.099999999999</v>
      </c>
      <c r="D33" s="393">
        <f t="shared" si="5"/>
        <v>4.582407908589647</v>
      </c>
      <c r="E33" s="392">
        <v>93852</v>
      </c>
      <c r="F33" s="393">
        <f t="shared" si="6"/>
        <v>-0.9195383362102032</v>
      </c>
      <c r="G33" s="392">
        <v>7551.4880700000003</v>
      </c>
      <c r="H33" s="393">
        <f t="shared" si="7"/>
        <v>43.01913860138032</v>
      </c>
      <c r="I33" s="394">
        <v>332410</v>
      </c>
    </row>
    <row r="34" spans="1:9">
      <c r="A34" s="405" t="s">
        <v>571</v>
      </c>
      <c r="B34" s="378" t="s">
        <v>572</v>
      </c>
      <c r="C34" s="392">
        <v>44723.6</v>
      </c>
      <c r="D34" s="393">
        <f t="shared" si="5"/>
        <v>-0.33015678523195807</v>
      </c>
      <c r="E34" s="392">
        <v>29957.8</v>
      </c>
      <c r="F34" s="393">
        <f t="shared" si="6"/>
        <v>-0.38206543871712878</v>
      </c>
      <c r="G34" s="392">
        <v>18511.96</v>
      </c>
      <c r="H34" s="393">
        <f t="shared" si="7"/>
        <v>0.17323611330188712</v>
      </c>
      <c r="I34" s="394">
        <v>21718.9</v>
      </c>
    </row>
    <row r="35" spans="1:9">
      <c r="A35" s="410" t="s">
        <v>573</v>
      </c>
      <c r="B35" s="411" t="s">
        <v>574</v>
      </c>
      <c r="C35" s="401">
        <f t="shared" ref="C35:I35" si="8">SUM(C32:C34)</f>
        <v>211177.90000000002</v>
      </c>
      <c r="D35" s="412">
        <f t="shared" si="5"/>
        <v>0.30903754606897765</v>
      </c>
      <c r="E35" s="401">
        <f t="shared" si="8"/>
        <v>276439.8</v>
      </c>
      <c r="F35" s="412">
        <f t="shared" si="6"/>
        <v>-0.46100389878736703</v>
      </c>
      <c r="G35" s="401">
        <f t="shared" si="8"/>
        <v>148999.97442000001</v>
      </c>
      <c r="H35" s="412">
        <f t="shared" si="7"/>
        <v>2.4338656901898279</v>
      </c>
      <c r="I35" s="434">
        <f t="shared" si="8"/>
        <v>511645.9</v>
      </c>
    </row>
    <row r="36" spans="1:9">
      <c r="A36" s="405" t="s">
        <v>575</v>
      </c>
      <c r="B36" s="378" t="s">
        <v>576</v>
      </c>
      <c r="C36" s="392">
        <v>188.2</v>
      </c>
      <c r="D36" s="393">
        <f t="shared" si="5"/>
        <v>390.16896918172159</v>
      </c>
      <c r="E36" s="392">
        <v>73618</v>
      </c>
      <c r="F36" s="393">
        <f t="shared" si="6"/>
        <v>-0.99703740932924001</v>
      </c>
      <c r="G36" s="392">
        <v>218.1</v>
      </c>
      <c r="H36" s="393">
        <f t="shared" si="7"/>
        <v>-1</v>
      </c>
      <c r="I36" s="394">
        <v>0</v>
      </c>
    </row>
    <row r="37" spans="1:9">
      <c r="A37" s="405" t="s">
        <v>577</v>
      </c>
      <c r="B37" s="378" t="s">
        <v>578</v>
      </c>
      <c r="C37" s="392">
        <v>36964.199999999997</v>
      </c>
      <c r="D37" s="393">
        <f t="shared" si="5"/>
        <v>-0.1468420796338078</v>
      </c>
      <c r="E37" s="392">
        <v>31536.3</v>
      </c>
      <c r="F37" s="393">
        <f t="shared" si="6"/>
        <v>7.4971131680000483E-2</v>
      </c>
      <c r="G37" s="392">
        <v>33900.612099999998</v>
      </c>
      <c r="H37" s="393">
        <f t="shared" si="7"/>
        <v>0.75254652702863722</v>
      </c>
      <c r="I37" s="394">
        <v>59412.399999999994</v>
      </c>
    </row>
    <row r="38" spans="1:9">
      <c r="A38" s="410" t="s">
        <v>579</v>
      </c>
      <c r="B38" s="411" t="s">
        <v>580</v>
      </c>
      <c r="C38" s="401">
        <f>SUM(C36:C37)</f>
        <v>37152.399999999994</v>
      </c>
      <c r="D38" s="412">
        <f t="shared" si="5"/>
        <v>1.8303501254293133</v>
      </c>
      <c r="E38" s="401">
        <f>SUM(E36:E37)</f>
        <v>105154.3</v>
      </c>
      <c r="F38" s="412">
        <f t="shared" si="6"/>
        <v>-0.67553669131932803</v>
      </c>
      <c r="G38" s="401">
        <f>SUM(G36:G37)</f>
        <v>34118.712099999997</v>
      </c>
      <c r="H38" s="412">
        <f t="shared" si="7"/>
        <v>0.74134357199256651</v>
      </c>
      <c r="I38" s="434">
        <f>SUM(I36:I37)</f>
        <v>59412.399999999994</v>
      </c>
    </row>
    <row r="39" spans="1:9">
      <c r="A39" s="423" t="s">
        <v>581</v>
      </c>
      <c r="B39" s="424" t="s">
        <v>145</v>
      </c>
      <c r="C39" s="425">
        <f>+C35-C38</f>
        <v>174025.50000000003</v>
      </c>
      <c r="D39" s="426">
        <f t="shared" si="5"/>
        <v>-1.5744819006410143E-2</v>
      </c>
      <c r="E39" s="425">
        <f>+E35-E38</f>
        <v>171285.5</v>
      </c>
      <c r="F39" s="426">
        <f t="shared" si="6"/>
        <v>-0.32929954771419639</v>
      </c>
      <c r="G39" s="425">
        <f>+G35-G38</f>
        <v>114881.26232000001</v>
      </c>
      <c r="H39" s="426">
        <f t="shared" si="7"/>
        <v>2.9365296904582272</v>
      </c>
      <c r="I39" s="436">
        <f>+I35-I38</f>
        <v>452233.5</v>
      </c>
    </row>
    <row r="40" spans="1:9">
      <c r="A40" s="377" t="s">
        <v>582</v>
      </c>
      <c r="B40" s="378" t="s">
        <v>153</v>
      </c>
      <c r="C40" s="392">
        <f t="shared" ref="C40:E40" si="9">C9+C30+C18-C27</f>
        <v>94466.100000000748</v>
      </c>
      <c r="D40" s="393">
        <f t="shared" si="5"/>
        <v>-6.4697282940662099E-2</v>
      </c>
      <c r="E40" s="392">
        <f t="shared" si="9"/>
        <v>88354.39999999982</v>
      </c>
      <c r="F40" s="393">
        <f t="shared" si="6"/>
        <v>1.0479743931258723</v>
      </c>
      <c r="G40" s="392">
        <f t="shared" ref="G40" si="10">G9+G30+G18-G27</f>
        <v>180947.5487200002</v>
      </c>
      <c r="H40" s="393">
        <f t="shared" si="7"/>
        <v>-0.87680684177438595</v>
      </c>
      <c r="I40" s="394">
        <f t="shared" ref="I40" si="11">I9+I30+I18-I27</f>
        <v>22291.5</v>
      </c>
    </row>
    <row r="41" spans="1:9">
      <c r="A41" s="377" t="s">
        <v>582</v>
      </c>
      <c r="B41" s="378" t="s">
        <v>583</v>
      </c>
      <c r="C41" s="392">
        <f>C40-C39</f>
        <v>-79559.399999999281</v>
      </c>
      <c r="D41" s="393">
        <f t="shared" si="5"/>
        <v>4.2379655955184801E-2</v>
      </c>
      <c r="E41" s="392">
        <f>E40-E39</f>
        <v>-82931.10000000018</v>
      </c>
      <c r="F41" s="393">
        <f t="shared" si="6"/>
        <v>-1.7966406619470867</v>
      </c>
      <c r="G41" s="392">
        <f>G40-G39</f>
        <v>66066.286400000186</v>
      </c>
      <c r="H41" s="393">
        <f t="shared" si="7"/>
        <v>-7.5077367508884052</v>
      </c>
      <c r="I41" s="394">
        <f>I40-I39</f>
        <v>-429942</v>
      </c>
    </row>
    <row r="42" spans="1:9">
      <c r="A42" s="427" t="s">
        <v>582</v>
      </c>
      <c r="B42" s="409" t="s">
        <v>584</v>
      </c>
      <c r="C42" s="397">
        <f>C35+C20-C8-C9-C17-C18-C19</f>
        <v>4124919.6000000006</v>
      </c>
      <c r="D42" s="428">
        <f t="shared" si="5"/>
        <v>2.2518814669745271E-2</v>
      </c>
      <c r="E42" s="397">
        <f>E35+E20-E8-E9-E17-E18-E19</f>
        <v>4217807.9000000004</v>
      </c>
      <c r="F42" s="428">
        <f t="shared" si="6"/>
        <v>-3.5465671428516442E-2</v>
      </c>
      <c r="G42" s="397">
        <f>G35+G20-G8-G9-G17-G18-G19</f>
        <v>4068220.5108699994</v>
      </c>
      <c r="H42" s="428">
        <f t="shared" si="7"/>
        <v>0.11182095167027148</v>
      </c>
      <c r="I42" s="398">
        <f>I35+I20-I8-I9-I17-I18-I19</f>
        <v>4523132.8000000007</v>
      </c>
    </row>
    <row r="43" spans="1:9">
      <c r="A43" s="427"/>
      <c r="B43" s="409" t="s">
        <v>585</v>
      </c>
      <c r="C43" s="429">
        <f t="shared" ref="C43:E43" si="12">IF(0&gt;C40,"negativ",C40/C39)</f>
        <v>0.54282906815380927</v>
      </c>
      <c r="D43" s="430"/>
      <c r="E43" s="429">
        <f t="shared" si="12"/>
        <v>0.51583117076459961</v>
      </c>
      <c r="F43" s="430"/>
      <c r="G43" s="429">
        <f t="shared" ref="G43" si="13">IF(0&gt;G40,"negativ",G40/G39)</f>
        <v>1.5750832212826278</v>
      </c>
      <c r="H43" s="430"/>
      <c r="I43" s="437">
        <f t="shared" ref="I43" si="14">IF(0&gt;I40,"negativ",I40/I39)</f>
        <v>4.9292013970658966E-2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Layout" zoomScaleNormal="100" workbookViewId="0"/>
  </sheetViews>
  <sheetFormatPr baseColWidth="10" defaultRowHeight="13"/>
  <sheetData>
    <row r="1" spans="1:9">
      <c r="A1" s="372" t="s">
        <v>513</v>
      </c>
      <c r="B1" s="373" t="s">
        <v>507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383"/>
      <c r="D3" s="384"/>
      <c r="E3" s="385" t="s">
        <v>470</v>
      </c>
      <c r="F3" s="384"/>
      <c r="G3" s="385"/>
      <c r="H3" s="384"/>
      <c r="I3" s="386"/>
    </row>
    <row r="4" spans="1:9">
      <c r="A4" s="372" t="s">
        <v>518</v>
      </c>
      <c r="B4" s="387" t="s">
        <v>1</v>
      </c>
      <c r="C4" s="388">
        <v>3545827.3834500001</v>
      </c>
      <c r="D4" s="389">
        <f t="shared" ref="D4:D27" si="0">CHOOSE((C4&lt;&gt;0)+1,"  -",(E4-C4)/C4)</f>
        <v>-0.10376789636386667</v>
      </c>
      <c r="E4" s="388">
        <v>3177884.335</v>
      </c>
      <c r="F4" s="389">
        <f t="shared" ref="F4:F26" si="1">CHOOSE((E4&lt;&gt;0)+1,"  -",(G4-E4)/E4)</f>
        <v>-1.9400753300229734E-3</v>
      </c>
      <c r="G4" s="388">
        <v>3171719</v>
      </c>
      <c r="H4" s="389">
        <f t="shared" ref="H4:H27" si="2">CHOOSE((G4&lt;&gt;0)+1,"  -",(I4-G4)/G4)</f>
        <v>-4.4856464270636866E-2</v>
      </c>
      <c r="I4" s="390">
        <v>3029446.9</v>
      </c>
    </row>
    <row r="5" spans="1:9">
      <c r="A5" s="391" t="s">
        <v>519</v>
      </c>
      <c r="B5" s="382" t="s">
        <v>520</v>
      </c>
      <c r="C5" s="392">
        <v>788684.24407000002</v>
      </c>
      <c r="D5" s="393">
        <f t="shared" si="0"/>
        <v>0.17467202359601455</v>
      </c>
      <c r="E5" s="392">
        <v>926445.31695999997</v>
      </c>
      <c r="F5" s="393">
        <f t="shared" si="1"/>
        <v>-0.13942519282611579</v>
      </c>
      <c r="G5" s="392">
        <v>797275.5</v>
      </c>
      <c r="H5" s="393">
        <f t="shared" si="2"/>
        <v>4.076156861712163E-2</v>
      </c>
      <c r="I5" s="394">
        <v>829773.7</v>
      </c>
    </row>
    <row r="6" spans="1:9">
      <c r="A6" s="391" t="s">
        <v>229</v>
      </c>
      <c r="B6" s="382" t="s">
        <v>521</v>
      </c>
      <c r="C6" s="392">
        <v>48708.590669999998</v>
      </c>
      <c r="D6" s="393">
        <f t="shared" si="0"/>
        <v>-7.2443579694316737E-2</v>
      </c>
      <c r="E6" s="392">
        <v>45179.966</v>
      </c>
      <c r="F6" s="393">
        <f t="shared" si="1"/>
        <v>7.3832149408877307E-2</v>
      </c>
      <c r="G6" s="392">
        <v>48515.7</v>
      </c>
      <c r="H6" s="393">
        <f t="shared" si="2"/>
        <v>-2.9977924671807151E-2</v>
      </c>
      <c r="I6" s="394">
        <v>47061.3</v>
      </c>
    </row>
    <row r="7" spans="1:9">
      <c r="A7" s="391" t="s">
        <v>522</v>
      </c>
      <c r="B7" s="382" t="s">
        <v>523</v>
      </c>
      <c r="C7" s="392">
        <v>107997.87302</v>
      </c>
      <c r="D7" s="393">
        <f t="shared" si="0"/>
        <v>0.14158091777574516</v>
      </c>
      <c r="E7" s="392">
        <v>123288.31099999999</v>
      </c>
      <c r="F7" s="393">
        <f t="shared" si="1"/>
        <v>-0.12881197634380753</v>
      </c>
      <c r="G7" s="392">
        <v>107407.3</v>
      </c>
      <c r="H7" s="393">
        <f t="shared" si="2"/>
        <v>5.9613266509818179E-2</v>
      </c>
      <c r="I7" s="394">
        <v>113810.2</v>
      </c>
    </row>
    <row r="8" spans="1:9">
      <c r="A8" s="391" t="s">
        <v>524</v>
      </c>
      <c r="B8" s="382" t="s">
        <v>525</v>
      </c>
      <c r="C8" s="392">
        <v>104942.06482</v>
      </c>
      <c r="D8" s="393">
        <f t="shared" si="0"/>
        <v>-5.4681741109656255E-2</v>
      </c>
      <c r="E8" s="392">
        <v>99203.65</v>
      </c>
      <c r="F8" s="393">
        <f t="shared" si="1"/>
        <v>8.2896647451983968E-2</v>
      </c>
      <c r="G8" s="392">
        <v>107427.3</v>
      </c>
      <c r="H8" s="393">
        <f t="shared" si="2"/>
        <v>-4.4720476080102517E-2</v>
      </c>
      <c r="I8" s="394">
        <v>102623.1</v>
      </c>
    </row>
    <row r="9" spans="1:9">
      <c r="A9" s="391" t="s">
        <v>526</v>
      </c>
      <c r="B9" s="382" t="s">
        <v>527</v>
      </c>
      <c r="C9" s="392">
        <v>603764.75521999993</v>
      </c>
      <c r="D9" s="393">
        <f t="shared" si="0"/>
        <v>5.5175983182160708E-2</v>
      </c>
      <c r="E9" s="392">
        <v>637078.06920000003</v>
      </c>
      <c r="F9" s="393">
        <f t="shared" si="1"/>
        <v>-9.8240187860480194E-2</v>
      </c>
      <c r="G9" s="392">
        <v>574491.4</v>
      </c>
      <c r="H9" s="393">
        <f t="shared" si="2"/>
        <v>0.14338648063313034</v>
      </c>
      <c r="I9" s="394">
        <v>656865.69999999995</v>
      </c>
    </row>
    <row r="10" spans="1:9">
      <c r="A10" s="391" t="s">
        <v>528</v>
      </c>
      <c r="B10" s="382" t="s">
        <v>529</v>
      </c>
      <c r="C10" s="392">
        <v>5265640.1451699995</v>
      </c>
      <c r="D10" s="393">
        <f t="shared" si="0"/>
        <v>1.0279586344245559E-2</v>
      </c>
      <c r="E10" s="392">
        <v>5319768.7477000002</v>
      </c>
      <c r="F10" s="393">
        <f t="shared" si="1"/>
        <v>6.3947238899638012E-3</v>
      </c>
      <c r="G10" s="392">
        <v>5353787.2</v>
      </c>
      <c r="H10" s="393">
        <f t="shared" si="2"/>
        <v>2.203318802062211E-2</v>
      </c>
      <c r="I10" s="394">
        <v>5471748.2000000002</v>
      </c>
    </row>
    <row r="11" spans="1:9">
      <c r="A11" s="391" t="s">
        <v>530</v>
      </c>
      <c r="B11" s="382" t="s">
        <v>531</v>
      </c>
      <c r="C11" s="392">
        <v>440444.41632000002</v>
      </c>
      <c r="D11" s="393">
        <f t="shared" si="0"/>
        <v>-2.0474693254933049E-2</v>
      </c>
      <c r="E11" s="392">
        <v>431426.45199999999</v>
      </c>
      <c r="F11" s="393">
        <f t="shared" si="1"/>
        <v>-8.2877440254867981E-3</v>
      </c>
      <c r="G11" s="392">
        <v>427850.9</v>
      </c>
      <c r="H11" s="393">
        <f t="shared" si="2"/>
        <v>1.2768466771952292E-3</v>
      </c>
      <c r="I11" s="394">
        <v>428397.2</v>
      </c>
    </row>
    <row r="12" spans="1:9">
      <c r="A12" s="391" t="s">
        <v>532</v>
      </c>
      <c r="B12" s="382" t="s">
        <v>533</v>
      </c>
      <c r="C12" s="392">
        <v>608314.58501000004</v>
      </c>
      <c r="D12" s="393">
        <f t="shared" si="0"/>
        <v>0.44437943187825446</v>
      </c>
      <c r="E12" s="392">
        <v>878637.0747</v>
      </c>
      <c r="F12" s="393">
        <f t="shared" si="1"/>
        <v>-0.1252923167823162</v>
      </c>
      <c r="G12" s="392">
        <v>768550.6</v>
      </c>
      <c r="H12" s="393">
        <f t="shared" si="2"/>
        <v>0.2748874309642072</v>
      </c>
      <c r="I12" s="394">
        <v>979815.5</v>
      </c>
    </row>
    <row r="13" spans="1:9">
      <c r="A13" s="391" t="s">
        <v>534</v>
      </c>
      <c r="B13" s="382" t="s">
        <v>535</v>
      </c>
      <c r="C13" s="392">
        <v>1266558.0151500001</v>
      </c>
      <c r="D13" s="393">
        <f t="shared" si="0"/>
        <v>-4.0979752628112487E-2</v>
      </c>
      <c r="E13" s="392">
        <v>1214654.781</v>
      </c>
      <c r="F13" s="393">
        <f t="shared" si="1"/>
        <v>5.8475066423008704E-2</v>
      </c>
      <c r="G13" s="392">
        <v>1285681.8</v>
      </c>
      <c r="H13" s="393">
        <f t="shared" si="2"/>
        <v>-4.5419869830933282E-2</v>
      </c>
      <c r="I13" s="394">
        <v>1227286.3</v>
      </c>
    </row>
    <row r="14" spans="1:9">
      <c r="A14" s="391" t="s">
        <v>536</v>
      </c>
      <c r="B14" s="382" t="s">
        <v>537</v>
      </c>
      <c r="C14" s="392">
        <v>53155.984700000001</v>
      </c>
      <c r="D14" s="393">
        <f t="shared" si="0"/>
        <v>-0.15042491913427014</v>
      </c>
      <c r="E14" s="392">
        <v>45160</v>
      </c>
      <c r="F14" s="393">
        <f t="shared" si="1"/>
        <v>0.22908990256864475</v>
      </c>
      <c r="G14" s="392">
        <v>55505.7</v>
      </c>
      <c r="H14" s="393">
        <f t="shared" si="2"/>
        <v>-0.92334120639862216</v>
      </c>
      <c r="I14" s="394">
        <v>4255</v>
      </c>
    </row>
    <row r="15" spans="1:9">
      <c r="A15" s="391" t="s">
        <v>538</v>
      </c>
      <c r="B15" s="382" t="s">
        <v>539</v>
      </c>
      <c r="C15" s="392"/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540</v>
      </c>
      <c r="B16" s="382" t="s">
        <v>541</v>
      </c>
      <c r="C16" s="392">
        <v>5621.9058500000001</v>
      </c>
      <c r="D16" s="393">
        <f t="shared" si="0"/>
        <v>0.87409755359030061</v>
      </c>
      <c r="E16" s="392">
        <v>10536</v>
      </c>
      <c r="F16" s="393">
        <f t="shared" si="1"/>
        <v>-0.51192103264996203</v>
      </c>
      <c r="G16" s="392">
        <v>5142.3999999999996</v>
      </c>
      <c r="H16" s="393">
        <f t="shared" si="2"/>
        <v>-5.6860609831985001E-2</v>
      </c>
      <c r="I16" s="394">
        <v>4850</v>
      </c>
    </row>
    <row r="17" spans="1:9">
      <c r="A17" s="391" t="s">
        <v>542</v>
      </c>
      <c r="B17" s="382" t="s">
        <v>543</v>
      </c>
      <c r="C17" s="392">
        <v>18637.456590000002</v>
      </c>
      <c r="D17" s="393">
        <f>CHOOSE((C17&lt;&gt;0)+1,"  -",(E17-C17)/C17)</f>
        <v>-0.80669942904478675</v>
      </c>
      <c r="E17" s="392">
        <v>3602.6310000000003</v>
      </c>
      <c r="F17" s="393">
        <f t="shared" si="1"/>
        <v>6.5547287524034514</v>
      </c>
      <c r="G17" s="392">
        <v>27216.9</v>
      </c>
      <c r="H17" s="393">
        <f>CHOOSE((G17&lt;&gt;0)+1,"  -",(I17-G17)/G17)</f>
        <v>-0.66381549698900311</v>
      </c>
      <c r="I17" s="394">
        <v>9149.9</v>
      </c>
    </row>
    <row r="18" spans="1:9">
      <c r="A18" s="391">
        <v>389</v>
      </c>
      <c r="B18" s="382" t="s">
        <v>7</v>
      </c>
      <c r="C18" s="392">
        <v>1.5</v>
      </c>
      <c r="D18" s="393">
        <f t="shared" si="0"/>
        <v>-1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 t="shared" si="2"/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120316.52357999999</v>
      </c>
      <c r="D19" s="393">
        <f t="shared" si="0"/>
        <v>0.15105571437089893</v>
      </c>
      <c r="E19" s="397">
        <v>138491.022</v>
      </c>
      <c r="F19" s="393">
        <f t="shared" si="1"/>
        <v>-0.23097180985493773</v>
      </c>
      <c r="G19" s="397">
        <v>106503.5</v>
      </c>
      <c r="H19" s="393">
        <f t="shared" si="2"/>
        <v>0.42121620416230454</v>
      </c>
      <c r="I19" s="398">
        <v>151364.5</v>
      </c>
    </row>
    <row r="20" spans="1:9">
      <c r="A20" s="399" t="s">
        <v>546</v>
      </c>
      <c r="B20" s="400" t="s">
        <v>547</v>
      </c>
      <c r="C20" s="401">
        <f>C19+C18+C17+C10+C9+C8+C7+C5+C4</f>
        <v>10555811.94592</v>
      </c>
      <c r="D20" s="402">
        <f t="shared" si="0"/>
        <v>-1.232021408928812E-2</v>
      </c>
      <c r="E20" s="401">
        <f>E19+E18+E17+E10+E9+E8+E7+E5+E4</f>
        <v>10425762.08286</v>
      </c>
      <c r="F20" s="402">
        <f t="shared" si="1"/>
        <v>-1.7258592842417843E-2</v>
      </c>
      <c r="G20" s="401">
        <f>G19+G18+G17+G10+G9+G8+G7+G5+G4</f>
        <v>10245828.100000001</v>
      </c>
      <c r="H20" s="402">
        <f t="shared" si="2"/>
        <v>1.1610003490103412E-2</v>
      </c>
      <c r="I20" s="401">
        <f>I19+I18+I17+I10+I9+I8+I7+I5+I4</f>
        <v>10364782.200000001</v>
      </c>
    </row>
    <row r="21" spans="1:9">
      <c r="A21" s="403" t="s">
        <v>548</v>
      </c>
      <c r="B21" s="404" t="s">
        <v>549</v>
      </c>
      <c r="C21" s="388">
        <v>4391568.6946700001</v>
      </c>
      <c r="D21" s="393">
        <f t="shared" si="0"/>
        <v>2.8177016900631291E-2</v>
      </c>
      <c r="E21" s="388">
        <v>4515310</v>
      </c>
      <c r="F21" s="393">
        <f t="shared" si="1"/>
        <v>1.9288753153161177E-2</v>
      </c>
      <c r="G21" s="388">
        <v>4602404.7</v>
      </c>
      <c r="H21" s="393">
        <f t="shared" si="2"/>
        <v>-2.0466409657542758E-2</v>
      </c>
      <c r="I21" s="390">
        <v>4508210</v>
      </c>
    </row>
    <row r="22" spans="1:9">
      <c r="A22" s="405" t="s">
        <v>550</v>
      </c>
      <c r="B22" s="378" t="s">
        <v>551</v>
      </c>
      <c r="C22" s="392">
        <v>423264.43612999999</v>
      </c>
      <c r="D22" s="393">
        <f t="shared" si="0"/>
        <v>-0.28599009460086383</v>
      </c>
      <c r="E22" s="392">
        <v>302215</v>
      </c>
      <c r="F22" s="393">
        <f t="shared" si="1"/>
        <v>3.8022599804773977E-3</v>
      </c>
      <c r="G22" s="392">
        <v>303364.09999999998</v>
      </c>
      <c r="H22" s="393">
        <f t="shared" si="2"/>
        <v>1.1639149128061044E-2</v>
      </c>
      <c r="I22" s="394">
        <v>306895</v>
      </c>
    </row>
    <row r="23" spans="1:9">
      <c r="A23" s="405" t="s">
        <v>552</v>
      </c>
      <c r="B23" s="378" t="s">
        <v>553</v>
      </c>
      <c r="C23" s="392">
        <v>221671.71038999999</v>
      </c>
      <c r="D23" s="393">
        <f t="shared" si="0"/>
        <v>1.6053999870975694E-2</v>
      </c>
      <c r="E23" s="392">
        <v>225230.42800000001</v>
      </c>
      <c r="F23" s="393">
        <f t="shared" si="1"/>
        <v>0.15908184483847795</v>
      </c>
      <c r="G23" s="392">
        <v>261060.5</v>
      </c>
      <c r="H23" s="393">
        <f t="shared" si="2"/>
        <v>-0.10227744143598899</v>
      </c>
      <c r="I23" s="394">
        <v>234359.9</v>
      </c>
    </row>
    <row r="24" spans="1:9">
      <c r="A24" s="405" t="s">
        <v>554</v>
      </c>
      <c r="B24" s="378" t="s">
        <v>555</v>
      </c>
      <c r="C24" s="392">
        <v>945984.49659</v>
      </c>
      <c r="D24" s="393">
        <f t="shared" si="0"/>
        <v>-0.13379787961245748</v>
      </c>
      <c r="E24" s="392">
        <v>819413.77679999999</v>
      </c>
      <c r="F24" s="393">
        <f t="shared" si="1"/>
        <v>8.3157893031900521E-2</v>
      </c>
      <c r="G24" s="392">
        <v>887554.5</v>
      </c>
      <c r="H24" s="393">
        <f t="shared" si="2"/>
        <v>-0.10141134995090439</v>
      </c>
      <c r="I24" s="394">
        <v>797546.4</v>
      </c>
    </row>
    <row r="25" spans="1:9">
      <c r="A25" s="405" t="s">
        <v>556</v>
      </c>
      <c r="B25" s="378" t="s">
        <v>557</v>
      </c>
      <c r="C25" s="392">
        <v>4003818.3174599996</v>
      </c>
      <c r="D25" s="393">
        <f t="shared" si="0"/>
        <v>3.5365950898049323E-2</v>
      </c>
      <c r="E25" s="392">
        <v>4145417.1594800004</v>
      </c>
      <c r="F25" s="393">
        <f t="shared" si="1"/>
        <v>-2.9354213291109252E-2</v>
      </c>
      <c r="G25" s="392">
        <v>4023731.7</v>
      </c>
      <c r="H25" s="393">
        <f t="shared" si="2"/>
        <v>2.5178890530896884E-2</v>
      </c>
      <c r="I25" s="394">
        <v>4125044.8</v>
      </c>
    </row>
    <row r="26" spans="1:9">
      <c r="A26" s="406" t="s">
        <v>558</v>
      </c>
      <c r="B26" s="378" t="s">
        <v>559</v>
      </c>
      <c r="C26" s="392">
        <v>253550.71387000001</v>
      </c>
      <c r="D26" s="393">
        <f t="shared" si="0"/>
        <v>0.13033459995282637</v>
      </c>
      <c r="E26" s="392">
        <v>286597.14473</v>
      </c>
      <c r="F26" s="393">
        <f t="shared" si="1"/>
        <v>-0.23874921990050635</v>
      </c>
      <c r="G26" s="392">
        <v>218172.3</v>
      </c>
      <c r="H26" s="393">
        <f t="shared" si="2"/>
        <v>0.15232777029897934</v>
      </c>
      <c r="I26" s="394">
        <v>251406</v>
      </c>
    </row>
    <row r="27" spans="1:9">
      <c r="A27" s="407">
        <v>489</v>
      </c>
      <c r="B27" s="378" t="s">
        <v>18</v>
      </c>
      <c r="C27" s="392">
        <v>6715.3744299999998</v>
      </c>
      <c r="D27" s="393">
        <f t="shared" si="0"/>
        <v>-0.56626854386732983</v>
      </c>
      <c r="E27" s="392">
        <v>2912.6691299999998</v>
      </c>
      <c r="F27" s="393"/>
      <c r="G27" s="392"/>
      <c r="H27" s="393" t="str">
        <f t="shared" si="2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120316.52357999999</v>
      </c>
      <c r="D28" s="393">
        <f>CHOOSE((C28&lt;&gt;0)+1,"  -",(E28-C28)/C28)</f>
        <v>0.14565637784861268</v>
      </c>
      <c r="E28" s="397">
        <v>137841.39259999999</v>
      </c>
      <c r="F28" s="393">
        <f>CHOOSE((E28&lt;&gt;0)+1,"  -",(G28-E28)/E28)</f>
        <v>-0.22734747530401833</v>
      </c>
      <c r="G28" s="397">
        <v>106503.5</v>
      </c>
      <c r="H28" s="393">
        <f>CHOOSE((G28&lt;&gt;0)+1,"  -",(I28-G28)/G28)</f>
        <v>0.42756059660011186</v>
      </c>
      <c r="I28" s="398">
        <v>152040.20000000001</v>
      </c>
    </row>
    <row r="29" spans="1:9">
      <c r="A29" s="410" t="s">
        <v>562</v>
      </c>
      <c r="B29" s="411" t="s">
        <v>563</v>
      </c>
      <c r="C29" s="401">
        <f t="shared" ref="C29:E29" si="3">SUM(C21:C28)</f>
        <v>10366890.26712</v>
      </c>
      <c r="D29" s="412">
        <f>CHOOSE((C29&lt;&gt;0)+1,"  -",(E29-C29)/C29)</f>
        <v>6.5639070026448244E-3</v>
      </c>
      <c r="E29" s="401">
        <f t="shared" si="3"/>
        <v>10434937.570739999</v>
      </c>
      <c r="F29" s="413">
        <f>CHOOSE((E29&lt;&gt;0)+1,"  -",(G29-E29)/E29)</f>
        <v>-3.0806385301372719E-3</v>
      </c>
      <c r="G29" s="401">
        <f t="shared" ref="G29" si="4">SUM(G21:G28)</f>
        <v>10402791.300000001</v>
      </c>
      <c r="H29" s="412">
        <f>CHOOSE((G29&lt;&gt;0)+1,"  -",(I29-G29)/G29)</f>
        <v>-2.6232382456812336E-3</v>
      </c>
      <c r="I29" s="401">
        <f t="shared" ref="I29" si="5">SUM(I21:I28)</f>
        <v>10375502.300000001</v>
      </c>
    </row>
    <row r="30" spans="1:9">
      <c r="A30" s="414" t="s">
        <v>564</v>
      </c>
      <c r="B30" s="415" t="s">
        <v>565</v>
      </c>
      <c r="C30" s="416">
        <f t="shared" ref="C30:E30" si="6">C29-C20</f>
        <v>-188921.67879999988</v>
      </c>
      <c r="D30" s="417"/>
      <c r="E30" s="416">
        <f t="shared" si="6"/>
        <v>9175.487879998982</v>
      </c>
      <c r="F30" s="418"/>
      <c r="G30" s="416">
        <f t="shared" ref="G30" si="7">G29-G20</f>
        <v>156963.19999999925</v>
      </c>
      <c r="H30" s="417"/>
      <c r="I30" s="416">
        <f t="shared" ref="I30" si="8">I29-I20</f>
        <v>10720.099999999627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899166.4</v>
      </c>
      <c r="D32" s="393">
        <f t="shared" ref="D32:D42" si="9">CHOOSE((C32&lt;&gt;0)+1,"  -",(E32-C32)/C32)</f>
        <v>-0.3023794683609175</v>
      </c>
      <c r="E32" s="392">
        <v>627276.94199999992</v>
      </c>
      <c r="F32" s="393">
        <f t="shared" ref="F32:F42" si="10">CHOOSE((E32&lt;&gt;0)+1,"  -",(G32-E32)/E32)</f>
        <v>4.1902318163003875E-2</v>
      </c>
      <c r="G32" s="392">
        <v>653561.30000000005</v>
      </c>
      <c r="H32" s="393">
        <f t="shared" ref="H32:H42" si="11">CHOOSE((G32&lt;&gt;0)+1,"  -",(I32-G32)/G32)</f>
        <v>-5.8886136617942446E-2</v>
      </c>
      <c r="I32" s="394">
        <v>615075.6</v>
      </c>
    </row>
    <row r="33" spans="1:9">
      <c r="A33" s="406" t="s">
        <v>569</v>
      </c>
      <c r="B33" s="378" t="s">
        <v>570</v>
      </c>
      <c r="C33" s="392">
        <v>12732.1</v>
      </c>
      <c r="D33" s="393">
        <f t="shared" si="9"/>
        <v>0.25156101507214046</v>
      </c>
      <c r="E33" s="392">
        <v>15935</v>
      </c>
      <c r="F33" s="393">
        <f t="shared" si="10"/>
        <v>0.84042045811107613</v>
      </c>
      <c r="G33" s="392">
        <v>29327.1</v>
      </c>
      <c r="H33" s="393">
        <f t="shared" si="11"/>
        <v>-0.43577101043062555</v>
      </c>
      <c r="I33" s="394">
        <v>16547.2</v>
      </c>
    </row>
    <row r="34" spans="1:9">
      <c r="A34" s="405" t="s">
        <v>571</v>
      </c>
      <c r="B34" s="378" t="s">
        <v>572</v>
      </c>
      <c r="C34" s="392">
        <v>371341</v>
      </c>
      <c r="D34" s="393">
        <f t="shared" si="9"/>
        <v>-3.9427462628689035E-2</v>
      </c>
      <c r="E34" s="392">
        <v>356699.96659999999</v>
      </c>
      <c r="F34" s="393">
        <f t="shared" si="10"/>
        <v>-2.0889171005602211E-2</v>
      </c>
      <c r="G34" s="392">
        <v>349248.8</v>
      </c>
      <c r="H34" s="393">
        <f t="shared" si="11"/>
        <v>8.653773470374132E-2</v>
      </c>
      <c r="I34" s="394">
        <v>379472</v>
      </c>
    </row>
    <row r="35" spans="1:9">
      <c r="A35" s="410" t="s">
        <v>573</v>
      </c>
      <c r="B35" s="411" t="s">
        <v>574</v>
      </c>
      <c r="C35" s="401">
        <f t="shared" ref="C35:I35" si="12">SUM(C32:C34)</f>
        <v>1283239.5</v>
      </c>
      <c r="D35" s="412">
        <f t="shared" si="9"/>
        <v>-0.22079089008715835</v>
      </c>
      <c r="E35" s="401">
        <f t="shared" si="12"/>
        <v>999911.90859999997</v>
      </c>
      <c r="F35" s="412">
        <f t="shared" si="10"/>
        <v>3.2228130421128168E-2</v>
      </c>
      <c r="G35" s="401">
        <f t="shared" si="12"/>
        <v>1032137.2</v>
      </c>
      <c r="H35" s="412">
        <f t="shared" si="11"/>
        <v>-2.0387212087695342E-2</v>
      </c>
      <c r="I35" s="401">
        <f t="shared" si="12"/>
        <v>1011094.7999999999</v>
      </c>
    </row>
    <row r="36" spans="1:9">
      <c r="A36" s="405" t="s">
        <v>575</v>
      </c>
      <c r="B36" s="378" t="s">
        <v>576</v>
      </c>
      <c r="C36" s="392">
        <v>2305.2564499999999</v>
      </c>
      <c r="D36" s="393">
        <f t="shared" si="9"/>
        <v>-0.58529559693890021</v>
      </c>
      <c r="E36" s="392">
        <v>956</v>
      </c>
      <c r="F36" s="393">
        <f t="shared" si="10"/>
        <v>10.284518828451883</v>
      </c>
      <c r="G36" s="392">
        <v>10788</v>
      </c>
      <c r="H36" s="393">
        <f t="shared" si="11"/>
        <v>-0.99073044123099741</v>
      </c>
      <c r="I36" s="394">
        <v>100</v>
      </c>
    </row>
    <row r="37" spans="1:9">
      <c r="A37" s="405" t="s">
        <v>577</v>
      </c>
      <c r="B37" s="378" t="s">
        <v>578</v>
      </c>
      <c r="C37" s="392">
        <f>18852.3+82328.5+12795+303106.5+26150</f>
        <v>443232.3</v>
      </c>
      <c r="D37" s="393">
        <f t="shared" si="9"/>
        <v>-8.1168603912666157E-2</v>
      </c>
      <c r="E37" s="392">
        <v>407255.75299999997</v>
      </c>
      <c r="F37" s="393">
        <f t="shared" si="10"/>
        <v>0.15430241693847851</v>
      </c>
      <c r="G37" s="392">
        <v>470096.3</v>
      </c>
      <c r="H37" s="393">
        <f t="shared" si="11"/>
        <v>-0.14730471182181176</v>
      </c>
      <c r="I37" s="394">
        <v>400848.9</v>
      </c>
    </row>
    <row r="38" spans="1:9">
      <c r="A38" s="410" t="s">
        <v>579</v>
      </c>
      <c r="B38" s="411" t="s">
        <v>580</v>
      </c>
      <c r="C38" s="401">
        <f t="shared" ref="C38:E38" si="13">SUM(C36:C37)</f>
        <v>445537.55644999997</v>
      </c>
      <c r="D38" s="412">
        <f t="shared" si="9"/>
        <v>-8.3777008042617979E-2</v>
      </c>
      <c r="E38" s="401">
        <f t="shared" si="13"/>
        <v>408211.75299999997</v>
      </c>
      <c r="F38" s="412">
        <f t="shared" si="10"/>
        <v>0.1780265915077659</v>
      </c>
      <c r="G38" s="401">
        <f t="shared" ref="G38" si="14">SUM(G36:G37)</f>
        <v>480884.3</v>
      </c>
      <c r="H38" s="412">
        <f t="shared" si="11"/>
        <v>-0.16622584684091363</v>
      </c>
      <c r="I38" s="401">
        <f t="shared" ref="I38" si="15">SUM(I36:I37)</f>
        <v>400948.9</v>
      </c>
    </row>
    <row r="39" spans="1:9">
      <c r="A39" s="423" t="s">
        <v>581</v>
      </c>
      <c r="B39" s="424" t="s">
        <v>145</v>
      </c>
      <c r="C39" s="425">
        <f t="shared" ref="C39:E39" si="16">C35-C38</f>
        <v>837701.94354999997</v>
      </c>
      <c r="D39" s="426">
        <f t="shared" si="9"/>
        <v>-0.29366266826061971</v>
      </c>
      <c r="E39" s="425">
        <f t="shared" si="16"/>
        <v>591700.15559999994</v>
      </c>
      <c r="F39" s="426">
        <f t="shared" si="10"/>
        <v>-6.8357689646009009E-2</v>
      </c>
      <c r="G39" s="425">
        <f t="shared" ref="G39" si="17">G35-G38</f>
        <v>551252.89999999991</v>
      </c>
      <c r="H39" s="426">
        <f t="shared" si="11"/>
        <v>0.10683481211618118</v>
      </c>
      <c r="I39" s="425">
        <f t="shared" ref="I39" si="18">I35-I38</f>
        <v>610145.89999999991</v>
      </c>
    </row>
    <row r="40" spans="1:9">
      <c r="A40" s="377" t="s">
        <v>582</v>
      </c>
      <c r="B40" s="378" t="s">
        <v>153</v>
      </c>
      <c r="C40" s="392">
        <f>C9+C30+C18-C27</f>
        <v>408129.20199000003</v>
      </c>
      <c r="D40" s="393">
        <f t="shared" si="9"/>
        <v>0.57631672718621607</v>
      </c>
      <c r="E40" s="392">
        <f>E9+E30+E18-E27</f>
        <v>643340.88794999896</v>
      </c>
      <c r="F40" s="393">
        <f t="shared" si="10"/>
        <v>0.13696271090552634</v>
      </c>
      <c r="G40" s="392">
        <f>G9+G30+G18-G27</f>
        <v>731454.59999999928</v>
      </c>
      <c r="H40" s="393">
        <f t="shared" si="11"/>
        <v>-8.7317517724271279E-2</v>
      </c>
      <c r="I40" s="392">
        <f>I9+I30+I18-I27</f>
        <v>667585.79999999958</v>
      </c>
    </row>
    <row r="41" spans="1:9">
      <c r="A41" s="377" t="s">
        <v>582</v>
      </c>
      <c r="B41" s="378" t="s">
        <v>583</v>
      </c>
      <c r="C41" s="392">
        <f t="shared" ref="C41:E41" si="19">C40-C39</f>
        <v>-429572.74155999994</v>
      </c>
      <c r="D41" s="393">
        <f t="shared" si="9"/>
        <v>-1.1202141741174381</v>
      </c>
      <c r="E41" s="392">
        <f t="shared" si="19"/>
        <v>51640.732349999016</v>
      </c>
      <c r="F41" s="393">
        <f t="shared" si="10"/>
        <v>2.4895264222565348</v>
      </c>
      <c r="G41" s="392">
        <f t="shared" ref="G41" si="20">G40-G39</f>
        <v>180201.69999999937</v>
      </c>
      <c r="H41" s="393">
        <f t="shared" si="11"/>
        <v>-0.68124662530930691</v>
      </c>
      <c r="I41" s="392">
        <f t="shared" ref="I41" si="21">I40-I39</f>
        <v>57439.899999999674</v>
      </c>
    </row>
    <row r="42" spans="1:9">
      <c r="A42" s="427" t="s">
        <v>582</v>
      </c>
      <c r="B42" s="409" t="s">
        <v>584</v>
      </c>
      <c r="C42" s="397">
        <f>C35+C20-C8-C9-C17-C18-C19</f>
        <v>10991389.145709999</v>
      </c>
      <c r="D42" s="428">
        <f t="shared" si="9"/>
        <v>-4.0403494095496387E-2</v>
      </c>
      <c r="E42" s="397">
        <f>E35+E20-E8-E9-E17-E18-E19</f>
        <v>10547298.619260002</v>
      </c>
      <c r="F42" s="428">
        <f t="shared" si="10"/>
        <v>-8.0563206113115939E-3</v>
      </c>
      <c r="G42" s="397">
        <f>G35+G20-G8-G9-G17-G18-G19</f>
        <v>10462326.199999999</v>
      </c>
      <c r="H42" s="428">
        <f t="shared" si="11"/>
        <v>-6.1672709076846096E-4</v>
      </c>
      <c r="I42" s="397">
        <f>I35+I20-I8-I9-I17-I18-I19</f>
        <v>10455873.800000003</v>
      </c>
    </row>
    <row r="43" spans="1:9">
      <c r="A43" s="427"/>
      <c r="B43" s="409" t="s">
        <v>585</v>
      </c>
      <c r="C43" s="429">
        <f>IF(0&gt;C40,"negativ",C40/C39)</f>
        <v>0.48720097301008591</v>
      </c>
      <c r="D43" s="430"/>
      <c r="E43" s="429">
        <f>IF(0&gt;E40,"negativ",E40/E39)</f>
        <v>1.0872751711508912</v>
      </c>
      <c r="F43" s="430"/>
      <c r="G43" s="429">
        <f>IF(0&gt;G40,"negativ",G40/G39)</f>
        <v>1.3268947882178932</v>
      </c>
      <c r="H43" s="430"/>
      <c r="I43" s="429">
        <f>IF(0&gt;I40,"negativ",I40/I39)</f>
        <v>1.0941412537558635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AY186"/>
  <sheetViews>
    <sheetView view="pageLayout" topLeftCell="A169" zoomScaleNormal="115" workbookViewId="0">
      <selection activeCell="G186" sqref="G186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1" s="2" customFormat="1" ht="18" customHeight="1">
      <c r="A1" s="45" t="s">
        <v>3</v>
      </c>
      <c r="B1" s="284" t="s">
        <v>498</v>
      </c>
      <c r="C1" s="284" t="s">
        <v>499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1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1" s="62" customFormat="1" ht="12.75" customHeight="1">
      <c r="A4" s="148">
        <v>30</v>
      </c>
      <c r="B4" s="96"/>
      <c r="C4" s="97" t="s">
        <v>1</v>
      </c>
      <c r="D4" s="98"/>
      <c r="E4" s="100"/>
      <c r="F4" s="98"/>
      <c r="G4" s="345">
        <v>704663.4</v>
      </c>
    </row>
    <row r="5" spans="1:51" s="62" customFormat="1" ht="12.75" customHeight="1">
      <c r="A5" s="101">
        <v>31</v>
      </c>
      <c r="B5" s="102"/>
      <c r="C5" s="103" t="s">
        <v>4</v>
      </c>
      <c r="D5" s="105"/>
      <c r="E5" s="106"/>
      <c r="F5" s="105"/>
      <c r="G5" s="346">
        <v>443710.8</v>
      </c>
    </row>
    <row r="6" spans="1:51" s="62" customFormat="1" ht="12.75" customHeight="1">
      <c r="A6" s="107" t="s">
        <v>229</v>
      </c>
      <c r="B6" s="108"/>
      <c r="C6" s="109" t="s">
        <v>230</v>
      </c>
      <c r="D6" s="150"/>
      <c r="E6" s="155"/>
      <c r="F6" s="150"/>
      <c r="G6" s="347">
        <v>79045.3</v>
      </c>
    </row>
    <row r="7" spans="1:51" s="62" customFormat="1" ht="12.75" customHeight="1">
      <c r="A7" s="107" t="s">
        <v>371</v>
      </c>
      <c r="B7" s="108"/>
      <c r="C7" s="109" t="s">
        <v>372</v>
      </c>
      <c r="D7" s="150"/>
      <c r="E7" s="155"/>
      <c r="F7" s="150"/>
      <c r="G7" s="347">
        <v>21282.6</v>
      </c>
    </row>
    <row r="8" spans="1:51" s="62" customFormat="1" ht="12.75" customHeight="1">
      <c r="A8" s="145">
        <v>330</v>
      </c>
      <c r="B8" s="102"/>
      <c r="C8" s="103" t="s">
        <v>231</v>
      </c>
      <c r="D8" s="105"/>
      <c r="E8" s="113"/>
      <c r="F8" s="105"/>
      <c r="G8" s="348">
        <v>105449.60000000001</v>
      </c>
    </row>
    <row r="9" spans="1:51" s="62" customFormat="1" ht="12.75" customHeight="1">
      <c r="A9" s="145">
        <v>332</v>
      </c>
      <c r="B9" s="102"/>
      <c r="C9" s="103" t="s">
        <v>232</v>
      </c>
      <c r="D9" s="105"/>
      <c r="E9" s="113"/>
      <c r="F9" s="105"/>
      <c r="G9" s="348">
        <v>0</v>
      </c>
    </row>
    <row r="10" spans="1:51" s="62" customFormat="1" ht="12.75" customHeight="1">
      <c r="A10" s="145">
        <v>339</v>
      </c>
      <c r="B10" s="102"/>
      <c r="C10" s="103" t="s">
        <v>233</v>
      </c>
      <c r="D10" s="105"/>
      <c r="E10" s="113"/>
      <c r="F10" s="105"/>
      <c r="G10" s="348">
        <v>0</v>
      </c>
    </row>
    <row r="11" spans="1:51" s="62" customFormat="1" ht="12.75" customHeight="1">
      <c r="A11" s="101">
        <v>350</v>
      </c>
      <c r="B11" s="102"/>
      <c r="C11" s="103" t="s">
        <v>234</v>
      </c>
      <c r="D11" s="105"/>
      <c r="E11" s="113"/>
      <c r="F11" s="105"/>
      <c r="G11" s="348">
        <v>13717.6</v>
      </c>
    </row>
    <row r="12" spans="1:51" s="63" customFormat="1" ht="14">
      <c r="A12" s="114">
        <v>351</v>
      </c>
      <c r="B12" s="115"/>
      <c r="C12" s="116" t="s">
        <v>272</v>
      </c>
      <c r="D12" s="119"/>
      <c r="E12" s="296"/>
      <c r="F12" s="119"/>
      <c r="G12" s="349">
        <v>627.4</v>
      </c>
    </row>
    <row r="13" spans="1:51" s="62" customFormat="1" ht="12.75" customHeight="1">
      <c r="A13" s="101">
        <v>36</v>
      </c>
      <c r="B13" s="102"/>
      <c r="C13" s="103" t="s">
        <v>5</v>
      </c>
      <c r="D13" s="104"/>
      <c r="E13" s="113"/>
      <c r="F13" s="104"/>
      <c r="G13" s="348">
        <v>2593190.2999999998</v>
      </c>
    </row>
    <row r="14" spans="1:51" s="62" customFormat="1" ht="12.75" customHeight="1">
      <c r="A14" s="121" t="s">
        <v>173</v>
      </c>
      <c r="B14" s="102"/>
      <c r="C14" s="122" t="s">
        <v>174</v>
      </c>
      <c r="D14" s="104"/>
      <c r="E14" s="113"/>
      <c r="F14" s="104"/>
      <c r="G14" s="348">
        <v>666114.19999999995</v>
      </c>
    </row>
    <row r="15" spans="1:51" s="62" customFormat="1" ht="12.75" customHeight="1">
      <c r="A15" s="121" t="s">
        <v>175</v>
      </c>
      <c r="B15" s="102"/>
      <c r="C15" s="122" t="s">
        <v>176</v>
      </c>
      <c r="D15" s="104"/>
      <c r="E15" s="113"/>
      <c r="F15" s="104"/>
      <c r="G15" s="348">
        <v>0</v>
      </c>
    </row>
    <row r="16" spans="1:51" s="64" customFormat="1" ht="26.25" customHeight="1">
      <c r="A16" s="121" t="s">
        <v>146</v>
      </c>
      <c r="B16" s="123"/>
      <c r="C16" s="122" t="s">
        <v>148</v>
      </c>
      <c r="D16" s="126"/>
      <c r="E16" s="127"/>
      <c r="F16" s="126"/>
      <c r="G16" s="350">
        <v>22500.9</v>
      </c>
    </row>
    <row r="17" spans="1:7" s="65" customFormat="1">
      <c r="A17" s="101">
        <v>37</v>
      </c>
      <c r="B17" s="102"/>
      <c r="C17" s="103" t="s">
        <v>6</v>
      </c>
      <c r="D17" s="104"/>
      <c r="E17" s="157"/>
      <c r="F17" s="104"/>
      <c r="G17" s="351">
        <v>263840.90000000002</v>
      </c>
    </row>
    <row r="18" spans="1:7" s="65" customFormat="1">
      <c r="A18" s="145" t="s">
        <v>196</v>
      </c>
      <c r="B18" s="102"/>
      <c r="C18" s="103" t="s">
        <v>197</v>
      </c>
      <c r="D18" s="104"/>
      <c r="E18" s="157"/>
      <c r="F18" s="104"/>
      <c r="G18" s="351">
        <v>0</v>
      </c>
    </row>
    <row r="19" spans="1:7" s="65" customFormat="1">
      <c r="A19" s="145" t="s">
        <v>198</v>
      </c>
      <c r="B19" s="102"/>
      <c r="C19" s="103" t="s">
        <v>199</v>
      </c>
      <c r="D19" s="104"/>
      <c r="E19" s="157"/>
      <c r="F19" s="104"/>
      <c r="G19" s="351">
        <v>0</v>
      </c>
    </row>
    <row r="20" spans="1:7" s="62" customFormat="1" ht="12.75" customHeight="1">
      <c r="A20" s="131">
        <v>39</v>
      </c>
      <c r="B20" s="132"/>
      <c r="C20" s="133" t="s">
        <v>8</v>
      </c>
      <c r="D20" s="134"/>
      <c r="E20" s="159"/>
      <c r="F20" s="134"/>
      <c r="G20" s="352">
        <v>426504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0</v>
      </c>
      <c r="E21" s="15">
        <f t="shared" si="0"/>
        <v>0</v>
      </c>
      <c r="F21" s="15">
        <f t="shared" ref="F21:G21" si="1">F4+F5+SUM(F8:F13)+F17</f>
        <v>0</v>
      </c>
      <c r="G21" s="15">
        <f t="shared" si="1"/>
        <v>4125199.9999999995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/>
      <c r="E22" s="141"/>
      <c r="F22" s="152"/>
      <c r="G22" s="348">
        <f>1259500+382700</f>
        <v>1642200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/>
      <c r="E23" s="141"/>
      <c r="F23" s="152"/>
      <c r="G23" s="348">
        <f>164400+148692</f>
        <v>313092</v>
      </c>
    </row>
    <row r="24" spans="1:7" s="67" customFormat="1" ht="12.75" customHeight="1">
      <c r="A24" s="101">
        <v>41</v>
      </c>
      <c r="B24" s="102"/>
      <c r="C24" s="103" t="s">
        <v>9</v>
      </c>
      <c r="D24" s="152"/>
      <c r="E24" s="141"/>
      <c r="F24" s="152"/>
      <c r="G24" s="348">
        <v>36408.9</v>
      </c>
    </row>
    <row r="25" spans="1:7" s="62" customFormat="1" ht="12.75" customHeight="1">
      <c r="A25" s="161">
        <v>42</v>
      </c>
      <c r="B25" s="162"/>
      <c r="C25" s="103" t="s">
        <v>10</v>
      </c>
      <c r="D25" s="152"/>
      <c r="E25" s="141"/>
      <c r="F25" s="152"/>
      <c r="G25" s="348">
        <v>284651.90000000002</v>
      </c>
    </row>
    <row r="26" spans="1:7" s="68" customFormat="1" ht="12.75" customHeight="1">
      <c r="A26" s="114">
        <v>430</v>
      </c>
      <c r="B26" s="102"/>
      <c r="C26" s="103" t="s">
        <v>11</v>
      </c>
      <c r="D26" s="268"/>
      <c r="E26" s="144"/>
      <c r="F26" s="268"/>
      <c r="G26" s="351">
        <v>3634.9</v>
      </c>
    </row>
    <row r="27" spans="1:7" s="68" customFormat="1" ht="12.75" customHeight="1">
      <c r="A27" s="114">
        <v>431</v>
      </c>
      <c r="B27" s="102"/>
      <c r="C27" s="103" t="s">
        <v>377</v>
      </c>
      <c r="D27" s="268"/>
      <c r="E27" s="144"/>
      <c r="F27" s="268"/>
      <c r="G27" s="351">
        <v>16379.3</v>
      </c>
    </row>
    <row r="28" spans="1:7" s="68" customFormat="1" ht="12.75" customHeight="1">
      <c r="A28" s="114">
        <v>432</v>
      </c>
      <c r="B28" s="102"/>
      <c r="C28" s="103" t="s">
        <v>378</v>
      </c>
      <c r="D28" s="268"/>
      <c r="E28" s="144"/>
      <c r="F28" s="268"/>
      <c r="G28" s="351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/>
      <c r="E29" s="144"/>
      <c r="F29" s="268"/>
      <c r="G29" s="351">
        <v>0</v>
      </c>
    </row>
    <row r="30" spans="1:7" s="62" customFormat="1" ht="14">
      <c r="A30" s="114">
        <v>450</v>
      </c>
      <c r="B30" s="115"/>
      <c r="C30" s="116" t="s">
        <v>271</v>
      </c>
      <c r="D30" s="104"/>
      <c r="E30" s="106"/>
      <c r="F30" s="104"/>
      <c r="G30" s="346">
        <v>3544.2</v>
      </c>
    </row>
    <row r="31" spans="1:7" s="63" customFormat="1" ht="14">
      <c r="A31" s="114">
        <v>451</v>
      </c>
      <c r="B31" s="115"/>
      <c r="C31" s="116" t="s">
        <v>14</v>
      </c>
      <c r="D31" s="279"/>
      <c r="E31" s="141"/>
      <c r="F31" s="279"/>
      <c r="G31" s="348">
        <v>11330.7</v>
      </c>
    </row>
    <row r="32" spans="1:7" s="69" customFormat="1" ht="12.75" customHeight="1">
      <c r="A32" s="101">
        <v>46</v>
      </c>
      <c r="B32" s="102"/>
      <c r="C32" s="103" t="s">
        <v>15</v>
      </c>
      <c r="D32" s="152"/>
      <c r="E32" s="141"/>
      <c r="F32" s="152"/>
      <c r="G32" s="348">
        <v>1354890.5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/>
      <c r="E33" s="143"/>
      <c r="F33" s="152"/>
      <c r="G33" s="347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/>
      <c r="E34" s="141"/>
      <c r="F34" s="152"/>
      <c r="G34" s="348">
        <v>263840.90000000002</v>
      </c>
    </row>
    <row r="35" spans="1:7" s="62" customFormat="1" ht="15" customHeight="1">
      <c r="A35" s="131">
        <v>49</v>
      </c>
      <c r="B35" s="132"/>
      <c r="C35" s="133" t="s">
        <v>26</v>
      </c>
      <c r="D35" s="146"/>
      <c r="E35" s="147"/>
      <c r="F35" s="146"/>
      <c r="G35" s="352">
        <v>426504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0</v>
      </c>
      <c r="E36" s="15">
        <f t="shared" si="2"/>
        <v>0</v>
      </c>
      <c r="F36" s="15">
        <f t="shared" ref="F36:G36" si="3">F22+F23+F24+F25+F26+F27+F28+F29+F30+F31+F32+F34</f>
        <v>0</v>
      </c>
      <c r="G36" s="15">
        <f t="shared" si="3"/>
        <v>3929973.3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0</v>
      </c>
      <c r="E37" s="16">
        <f t="shared" si="4"/>
        <v>0</v>
      </c>
      <c r="F37" s="16">
        <f t="shared" ref="F37:G37" si="5">F36-F21</f>
        <v>0</v>
      </c>
      <c r="G37" s="16">
        <f t="shared" si="5"/>
        <v>-195226.69999999972</v>
      </c>
    </row>
    <row r="38" spans="1:7" s="63" customFormat="1" ht="15" customHeight="1">
      <c r="A38" s="145">
        <v>340</v>
      </c>
      <c r="B38" s="102"/>
      <c r="C38" s="103" t="s">
        <v>78</v>
      </c>
      <c r="D38" s="140"/>
      <c r="E38" s="141"/>
      <c r="F38" s="140"/>
      <c r="G38" s="348">
        <v>27792.6</v>
      </c>
    </row>
    <row r="39" spans="1:7" s="63" customFormat="1" ht="15" customHeight="1">
      <c r="A39" s="145">
        <v>341</v>
      </c>
      <c r="B39" s="102"/>
      <c r="C39" s="103" t="s">
        <v>237</v>
      </c>
      <c r="D39" s="152"/>
      <c r="E39" s="141"/>
      <c r="F39" s="152"/>
      <c r="G39" s="348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/>
      <c r="E40" s="141"/>
      <c r="F40" s="152"/>
      <c r="G40" s="348">
        <v>789.8</v>
      </c>
    </row>
    <row r="41" spans="1:7" s="63" customFormat="1" ht="15" customHeight="1">
      <c r="A41" s="145">
        <v>343</v>
      </c>
      <c r="B41" s="102"/>
      <c r="C41" s="103" t="s">
        <v>239</v>
      </c>
      <c r="D41" s="152"/>
      <c r="E41" s="141"/>
      <c r="F41" s="152"/>
      <c r="G41" s="348">
        <v>0</v>
      </c>
    </row>
    <row r="42" spans="1:7" s="63" customFormat="1" ht="15" customHeight="1">
      <c r="A42" s="145">
        <v>344</v>
      </c>
      <c r="B42" s="102"/>
      <c r="C42" s="103" t="s">
        <v>83</v>
      </c>
      <c r="D42" s="152"/>
      <c r="E42" s="141"/>
      <c r="F42" s="152"/>
      <c r="G42" s="348">
        <v>299.60000000000002</v>
      </c>
    </row>
    <row r="43" spans="1:7" s="63" customFormat="1" ht="15" customHeight="1">
      <c r="A43" s="145">
        <v>349</v>
      </c>
      <c r="B43" s="102"/>
      <c r="C43" s="103" t="s">
        <v>240</v>
      </c>
      <c r="D43" s="152"/>
      <c r="E43" s="141"/>
      <c r="F43" s="152"/>
      <c r="G43" s="348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40"/>
      <c r="E44" s="141"/>
      <c r="F44" s="140"/>
      <c r="G44" s="348">
        <v>6843.3</v>
      </c>
    </row>
    <row r="45" spans="1:7" s="62" customFormat="1" ht="15" customHeight="1">
      <c r="A45" s="101">
        <v>441</v>
      </c>
      <c r="B45" s="102"/>
      <c r="C45" s="103" t="s">
        <v>80</v>
      </c>
      <c r="D45" s="140"/>
      <c r="E45" s="141"/>
      <c r="F45" s="140"/>
      <c r="G45" s="348">
        <v>1300</v>
      </c>
    </row>
    <row r="46" spans="1:7" s="62" customFormat="1" ht="15" customHeight="1">
      <c r="A46" s="101">
        <v>442</v>
      </c>
      <c r="B46" s="102"/>
      <c r="C46" s="103" t="s">
        <v>81</v>
      </c>
      <c r="D46" s="140"/>
      <c r="E46" s="141"/>
      <c r="F46" s="140"/>
      <c r="G46" s="348">
        <v>3234.6</v>
      </c>
    </row>
    <row r="47" spans="1:7" s="62" customFormat="1" ht="15" customHeight="1">
      <c r="A47" s="101">
        <v>443</v>
      </c>
      <c r="B47" s="102"/>
      <c r="C47" s="103" t="s">
        <v>82</v>
      </c>
      <c r="D47" s="140"/>
      <c r="E47" s="141"/>
      <c r="F47" s="140"/>
      <c r="G47" s="348">
        <v>4120</v>
      </c>
    </row>
    <row r="48" spans="1:7" s="62" customFormat="1" ht="15" customHeight="1">
      <c r="A48" s="101">
        <v>444</v>
      </c>
      <c r="B48" s="102"/>
      <c r="C48" s="103" t="s">
        <v>83</v>
      </c>
      <c r="D48" s="140"/>
      <c r="E48" s="141"/>
      <c r="F48" s="140"/>
      <c r="G48" s="348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/>
      <c r="E49" s="141"/>
      <c r="F49" s="140"/>
      <c r="G49" s="348">
        <v>44679.7</v>
      </c>
    </row>
    <row r="50" spans="1:7" s="62" customFormat="1" ht="15" customHeight="1">
      <c r="A50" s="101">
        <v>446</v>
      </c>
      <c r="B50" s="102"/>
      <c r="C50" s="103" t="s">
        <v>85</v>
      </c>
      <c r="D50" s="140"/>
      <c r="E50" s="141"/>
      <c r="F50" s="140"/>
      <c r="G50" s="348">
        <v>15955.8</v>
      </c>
    </row>
    <row r="51" spans="1:7" s="62" customFormat="1" ht="15" customHeight="1">
      <c r="A51" s="101">
        <v>447</v>
      </c>
      <c r="B51" s="102"/>
      <c r="C51" s="103" t="s">
        <v>86</v>
      </c>
      <c r="D51" s="140"/>
      <c r="E51" s="141"/>
      <c r="F51" s="140"/>
      <c r="G51" s="348">
        <v>42316.3</v>
      </c>
    </row>
    <row r="52" spans="1:7" s="62" customFormat="1" ht="15" customHeight="1">
      <c r="A52" s="101">
        <v>448</v>
      </c>
      <c r="B52" s="102"/>
      <c r="C52" s="103" t="s">
        <v>87</v>
      </c>
      <c r="D52" s="140"/>
      <c r="E52" s="141"/>
      <c r="F52" s="140"/>
      <c r="G52" s="348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/>
      <c r="E53" s="141"/>
      <c r="F53" s="140"/>
      <c r="G53" s="348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/>
      <c r="E54" s="171"/>
      <c r="F54" s="170"/>
      <c r="G54" s="353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0</v>
      </c>
      <c r="E55" s="15">
        <f t="shared" si="6"/>
        <v>0</v>
      </c>
      <c r="F55" s="15">
        <f t="shared" ref="F55:G55" si="7">SUM(F44:F53)-SUM(F38:F43)</f>
        <v>0</v>
      </c>
      <c r="G55" s="15">
        <f t="shared" si="7"/>
        <v>89567.7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0</v>
      </c>
      <c r="E56" s="15">
        <f t="shared" si="8"/>
        <v>0</v>
      </c>
      <c r="F56" s="15">
        <f t="shared" ref="F56:G56" si="9">F55+F37</f>
        <v>0</v>
      </c>
      <c r="G56" s="15">
        <f t="shared" si="9"/>
        <v>-105658.99999999972</v>
      </c>
    </row>
    <row r="57" spans="1:7" s="62" customFormat="1" ht="15.75" customHeight="1">
      <c r="A57" s="285">
        <v>380</v>
      </c>
      <c r="B57" s="286"/>
      <c r="C57" s="287" t="s">
        <v>484</v>
      </c>
      <c r="D57" s="290"/>
      <c r="E57" s="291"/>
      <c r="F57" s="290"/>
      <c r="G57" s="368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/>
      <c r="E58" s="291"/>
      <c r="F58" s="290"/>
      <c r="G58" s="368">
        <v>0</v>
      </c>
    </row>
    <row r="59" spans="1:7" s="63" customFormat="1" ht="14">
      <c r="A59" s="114">
        <v>383</v>
      </c>
      <c r="B59" s="115"/>
      <c r="C59" s="116" t="s">
        <v>57</v>
      </c>
      <c r="D59" s="261"/>
      <c r="E59" s="165"/>
      <c r="F59" s="261"/>
      <c r="G59" s="355">
        <v>0</v>
      </c>
    </row>
    <row r="60" spans="1:7" s="63" customFormat="1" ht="14">
      <c r="A60" s="114">
        <v>3840</v>
      </c>
      <c r="B60" s="115"/>
      <c r="C60" s="116" t="s">
        <v>241</v>
      </c>
      <c r="D60" s="154"/>
      <c r="E60" s="149"/>
      <c r="F60" s="154"/>
      <c r="G60" s="349">
        <v>0</v>
      </c>
    </row>
    <row r="61" spans="1:7" s="63" customFormat="1" ht="14">
      <c r="A61" s="114">
        <v>3841</v>
      </c>
      <c r="B61" s="115"/>
      <c r="C61" s="116" t="s">
        <v>242</v>
      </c>
      <c r="D61" s="154"/>
      <c r="E61" s="149"/>
      <c r="F61" s="154"/>
      <c r="G61" s="349">
        <v>0</v>
      </c>
    </row>
    <row r="62" spans="1:7" s="63" customFormat="1" ht="14">
      <c r="A62" s="177">
        <v>386</v>
      </c>
      <c r="B62" s="178"/>
      <c r="C62" s="179" t="s">
        <v>243</v>
      </c>
      <c r="D62" s="154"/>
      <c r="E62" s="149"/>
      <c r="F62" s="154"/>
      <c r="G62" s="349">
        <v>0</v>
      </c>
    </row>
    <row r="63" spans="1:7" s="63" customFormat="1" ht="28">
      <c r="A63" s="114">
        <v>387</v>
      </c>
      <c r="B63" s="115"/>
      <c r="C63" s="116" t="s">
        <v>58</v>
      </c>
      <c r="D63" s="154"/>
      <c r="E63" s="149"/>
      <c r="F63" s="154"/>
      <c r="G63" s="349">
        <v>0</v>
      </c>
    </row>
    <row r="64" spans="1:7" s="63" customFormat="1">
      <c r="A64" s="145">
        <v>389</v>
      </c>
      <c r="B64" s="294"/>
      <c r="C64" s="103" t="s">
        <v>7</v>
      </c>
      <c r="D64" s="152"/>
      <c r="E64" s="141"/>
      <c r="F64" s="152"/>
      <c r="G64" s="348">
        <v>0</v>
      </c>
    </row>
    <row r="65" spans="1:7" s="62" customFormat="1">
      <c r="A65" s="145" t="s">
        <v>471</v>
      </c>
      <c r="B65" s="102"/>
      <c r="C65" s="103" t="s">
        <v>244</v>
      </c>
      <c r="D65" s="152"/>
      <c r="E65" s="141"/>
      <c r="F65" s="152"/>
      <c r="G65" s="348">
        <v>0</v>
      </c>
    </row>
    <row r="66" spans="1:7" s="95" customFormat="1" ht="14">
      <c r="A66" s="221" t="s">
        <v>472</v>
      </c>
      <c r="B66" s="111"/>
      <c r="C66" s="116" t="s">
        <v>245</v>
      </c>
      <c r="D66" s="260"/>
      <c r="E66" s="165"/>
      <c r="F66" s="260"/>
      <c r="G66" s="355">
        <v>0</v>
      </c>
    </row>
    <row r="67" spans="1:7" s="62" customFormat="1">
      <c r="A67" s="110">
        <v>481</v>
      </c>
      <c r="B67" s="102"/>
      <c r="C67" s="103" t="s">
        <v>246</v>
      </c>
      <c r="D67" s="152"/>
      <c r="E67" s="141"/>
      <c r="F67" s="152"/>
      <c r="G67" s="348">
        <v>0</v>
      </c>
    </row>
    <row r="68" spans="1:7" s="62" customFormat="1">
      <c r="A68" s="110">
        <v>482</v>
      </c>
      <c r="B68" s="102"/>
      <c r="C68" s="103" t="s">
        <v>247</v>
      </c>
      <c r="D68" s="152"/>
      <c r="E68" s="141"/>
      <c r="F68" s="152"/>
      <c r="G68" s="348">
        <v>0</v>
      </c>
    </row>
    <row r="69" spans="1:7" s="62" customFormat="1">
      <c r="A69" s="110">
        <v>483</v>
      </c>
      <c r="B69" s="102"/>
      <c r="C69" s="103" t="s">
        <v>248</v>
      </c>
      <c r="D69" s="152"/>
      <c r="E69" s="141"/>
      <c r="F69" s="152"/>
      <c r="G69" s="348">
        <v>0</v>
      </c>
    </row>
    <row r="70" spans="1:7" s="62" customFormat="1">
      <c r="A70" s="110">
        <v>484</v>
      </c>
      <c r="B70" s="102"/>
      <c r="C70" s="103" t="s">
        <v>249</v>
      </c>
      <c r="D70" s="152"/>
      <c r="E70" s="141"/>
      <c r="F70" s="152"/>
      <c r="G70" s="348">
        <v>0</v>
      </c>
    </row>
    <row r="71" spans="1:7" s="62" customFormat="1">
      <c r="A71" s="110">
        <v>485</v>
      </c>
      <c r="B71" s="102"/>
      <c r="C71" s="103" t="s">
        <v>250</v>
      </c>
      <c r="D71" s="152"/>
      <c r="E71" s="141"/>
      <c r="F71" s="152"/>
      <c r="G71" s="348">
        <v>0</v>
      </c>
    </row>
    <row r="72" spans="1:7" s="62" customFormat="1">
      <c r="A72" s="110">
        <v>486</v>
      </c>
      <c r="B72" s="102"/>
      <c r="C72" s="103" t="s">
        <v>251</v>
      </c>
      <c r="D72" s="152"/>
      <c r="E72" s="141"/>
      <c r="F72" s="152"/>
      <c r="G72" s="348">
        <v>0</v>
      </c>
    </row>
    <row r="73" spans="1:7" s="63" customFormat="1">
      <c r="A73" s="110">
        <v>487</v>
      </c>
      <c r="B73" s="108"/>
      <c r="C73" s="103" t="s">
        <v>64</v>
      </c>
      <c r="D73" s="140"/>
      <c r="E73" s="141"/>
      <c r="F73" s="140"/>
      <c r="G73" s="348">
        <v>0</v>
      </c>
    </row>
    <row r="74" spans="1:7" s="63" customFormat="1">
      <c r="A74" s="110">
        <v>489</v>
      </c>
      <c r="B74" s="182"/>
      <c r="C74" s="133" t="s">
        <v>18</v>
      </c>
      <c r="D74" s="140"/>
      <c r="E74" s="141"/>
      <c r="F74" s="140"/>
      <c r="G74" s="348">
        <v>75600</v>
      </c>
    </row>
    <row r="75" spans="1:7" s="63" customFormat="1">
      <c r="A75" s="181" t="s">
        <v>381</v>
      </c>
      <c r="B75" s="182"/>
      <c r="C75" s="167" t="s">
        <v>382</v>
      </c>
      <c r="D75" s="152"/>
      <c r="E75" s="141"/>
      <c r="F75" s="152"/>
      <c r="G75" s="348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0</v>
      </c>
      <c r="G76" s="15">
        <f t="shared" si="11"/>
        <v>75600</v>
      </c>
    </row>
    <row r="77" spans="1:7">
      <c r="A77" s="9"/>
      <c r="B77" s="9"/>
      <c r="C77" s="8" t="s">
        <v>23</v>
      </c>
      <c r="D77" s="15">
        <f t="shared" ref="D77:E77" si="12">D56+D76</f>
        <v>0</v>
      </c>
      <c r="E77" s="15">
        <f t="shared" si="12"/>
        <v>0</v>
      </c>
      <c r="F77" s="15">
        <f t="shared" ref="F77:G77" si="13">F56+F76</f>
        <v>0</v>
      </c>
      <c r="G77" s="15">
        <f t="shared" si="13"/>
        <v>-30058.999999999724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0</v>
      </c>
      <c r="E78" s="37">
        <f t="shared" si="14"/>
        <v>0</v>
      </c>
      <c r="F78" s="37">
        <f t="shared" ref="F78:G78" si="15">F20+F21+SUM(F38:F43)+SUM(F57:F64)</f>
        <v>0</v>
      </c>
      <c r="G78" s="37">
        <f t="shared" si="15"/>
        <v>4580586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0</v>
      </c>
      <c r="E79" s="37">
        <f t="shared" si="16"/>
        <v>0</v>
      </c>
      <c r="F79" s="37">
        <f t="shared" ref="F79:G79" si="17">F35+F36+SUM(F44:F53)+SUM(F65:F74)</f>
        <v>0</v>
      </c>
      <c r="G79" s="37">
        <f t="shared" si="17"/>
        <v>4550527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/>
      <c r="E82" s="141"/>
      <c r="F82" s="152"/>
      <c r="G82" s="348">
        <v>157517</v>
      </c>
    </row>
    <row r="83" spans="1:7" s="62" customFormat="1">
      <c r="A83" s="186">
        <v>51</v>
      </c>
      <c r="B83" s="187"/>
      <c r="C83" s="187" t="s">
        <v>253</v>
      </c>
      <c r="D83" s="152"/>
      <c r="E83" s="141"/>
      <c r="F83" s="152"/>
      <c r="G83" s="348">
        <v>0</v>
      </c>
    </row>
    <row r="84" spans="1:7" s="62" customFormat="1">
      <c r="A84" s="186">
        <v>52</v>
      </c>
      <c r="B84" s="187"/>
      <c r="C84" s="187" t="s">
        <v>254</v>
      </c>
      <c r="D84" s="152"/>
      <c r="E84" s="141"/>
      <c r="F84" s="152"/>
      <c r="G84" s="348">
        <v>0</v>
      </c>
    </row>
    <row r="85" spans="1:7" s="62" customFormat="1">
      <c r="A85" s="188">
        <v>54</v>
      </c>
      <c r="B85" s="189"/>
      <c r="C85" s="189" t="s">
        <v>89</v>
      </c>
      <c r="D85" s="152"/>
      <c r="E85" s="141"/>
      <c r="F85" s="152"/>
      <c r="G85" s="348">
        <v>332410</v>
      </c>
    </row>
    <row r="86" spans="1:7" s="62" customFormat="1">
      <c r="A86" s="188">
        <v>55</v>
      </c>
      <c r="B86" s="189"/>
      <c r="C86" s="189" t="s">
        <v>181</v>
      </c>
      <c r="D86" s="152"/>
      <c r="E86" s="141"/>
      <c r="F86" s="152"/>
      <c r="G86" s="348">
        <v>0</v>
      </c>
    </row>
    <row r="87" spans="1:7" s="62" customFormat="1">
      <c r="A87" s="188">
        <v>56</v>
      </c>
      <c r="B87" s="189"/>
      <c r="C87" s="189" t="s">
        <v>255</v>
      </c>
      <c r="D87" s="152"/>
      <c r="E87" s="141"/>
      <c r="F87" s="152"/>
      <c r="G87" s="348">
        <v>21718.9</v>
      </c>
    </row>
    <row r="88" spans="1:7" s="62" customFormat="1">
      <c r="A88" s="186">
        <v>57</v>
      </c>
      <c r="B88" s="187"/>
      <c r="C88" s="187" t="s">
        <v>150</v>
      </c>
      <c r="D88" s="152"/>
      <c r="E88" s="141"/>
      <c r="F88" s="152"/>
      <c r="G88" s="348">
        <v>0</v>
      </c>
    </row>
    <row r="89" spans="1:7" s="62" customFormat="1">
      <c r="A89" s="186">
        <v>580</v>
      </c>
      <c r="B89" s="187"/>
      <c r="C89" s="187" t="s">
        <v>256</v>
      </c>
      <c r="D89" s="152"/>
      <c r="E89" s="141"/>
      <c r="F89" s="152"/>
      <c r="G89" s="348">
        <v>0</v>
      </c>
    </row>
    <row r="90" spans="1:7" s="62" customFormat="1">
      <c r="A90" s="186">
        <v>582</v>
      </c>
      <c r="B90" s="187"/>
      <c r="C90" s="187" t="s">
        <v>257</v>
      </c>
      <c r="D90" s="152"/>
      <c r="E90" s="141"/>
      <c r="F90" s="152"/>
      <c r="G90" s="348">
        <v>0</v>
      </c>
    </row>
    <row r="91" spans="1:7" s="62" customFormat="1">
      <c r="A91" s="186">
        <v>584</v>
      </c>
      <c r="B91" s="187"/>
      <c r="C91" s="187" t="s">
        <v>258</v>
      </c>
      <c r="D91" s="152"/>
      <c r="E91" s="141"/>
      <c r="F91" s="152"/>
      <c r="G91" s="348">
        <v>0</v>
      </c>
    </row>
    <row r="92" spans="1:7" s="62" customFormat="1">
      <c r="A92" s="186">
        <v>585</v>
      </c>
      <c r="B92" s="187"/>
      <c r="C92" s="187" t="s">
        <v>259</v>
      </c>
      <c r="D92" s="152"/>
      <c r="E92" s="141"/>
      <c r="F92" s="152"/>
      <c r="G92" s="348">
        <v>0</v>
      </c>
    </row>
    <row r="93" spans="1:7" s="62" customFormat="1">
      <c r="A93" s="186">
        <v>586</v>
      </c>
      <c r="B93" s="187"/>
      <c r="C93" s="187" t="s">
        <v>260</v>
      </c>
      <c r="D93" s="152"/>
      <c r="E93" s="141"/>
      <c r="F93" s="152"/>
      <c r="G93" s="348">
        <v>0</v>
      </c>
    </row>
    <row r="94" spans="1:7" s="62" customFormat="1">
      <c r="A94" s="190">
        <v>589</v>
      </c>
      <c r="B94" s="191"/>
      <c r="C94" s="191" t="s">
        <v>261</v>
      </c>
      <c r="D94" s="273"/>
      <c r="E94" s="147"/>
      <c r="F94" s="273"/>
      <c r="G94" s="352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0</v>
      </c>
      <c r="E95" s="33">
        <f t="shared" si="18"/>
        <v>0</v>
      </c>
      <c r="F95" s="33">
        <f t="shared" ref="F95:G95" si="19">SUM(F82:F94)</f>
        <v>0</v>
      </c>
      <c r="G95" s="33">
        <f t="shared" si="19"/>
        <v>511645.9</v>
      </c>
    </row>
    <row r="96" spans="1:7" s="62" customFormat="1">
      <c r="A96" s="186">
        <v>60</v>
      </c>
      <c r="B96" s="187"/>
      <c r="C96" s="187" t="s">
        <v>262</v>
      </c>
      <c r="D96" s="152"/>
      <c r="E96" s="141"/>
      <c r="F96" s="152"/>
      <c r="G96" s="348">
        <v>0</v>
      </c>
    </row>
    <row r="97" spans="1:7" s="62" customFormat="1">
      <c r="A97" s="186">
        <v>61</v>
      </c>
      <c r="B97" s="187"/>
      <c r="C97" s="187" t="s">
        <v>263</v>
      </c>
      <c r="D97" s="152"/>
      <c r="E97" s="141"/>
      <c r="F97" s="152"/>
      <c r="G97" s="348">
        <v>2225</v>
      </c>
    </row>
    <row r="98" spans="1:7" s="62" customFormat="1">
      <c r="A98" s="186">
        <v>62</v>
      </c>
      <c r="B98" s="187"/>
      <c r="C98" s="187" t="s">
        <v>264</v>
      </c>
      <c r="D98" s="152"/>
      <c r="E98" s="141"/>
      <c r="F98" s="152"/>
      <c r="G98" s="348">
        <v>0</v>
      </c>
    </row>
    <row r="99" spans="1:7" s="62" customFormat="1">
      <c r="A99" s="186">
        <v>63</v>
      </c>
      <c r="B99" s="187"/>
      <c r="C99" s="187" t="s">
        <v>265</v>
      </c>
      <c r="D99" s="152"/>
      <c r="E99" s="141"/>
      <c r="F99" s="152"/>
      <c r="G99" s="348">
        <v>36216.1</v>
      </c>
    </row>
    <row r="100" spans="1:7" s="62" customFormat="1">
      <c r="A100" s="186">
        <v>64</v>
      </c>
      <c r="B100" s="187"/>
      <c r="C100" s="187" t="s">
        <v>185</v>
      </c>
      <c r="D100" s="152"/>
      <c r="E100" s="141"/>
      <c r="F100" s="152"/>
      <c r="G100" s="348">
        <v>20971.3</v>
      </c>
    </row>
    <row r="101" spans="1:7" s="62" customFormat="1">
      <c r="A101" s="186">
        <v>65</v>
      </c>
      <c r="B101" s="187"/>
      <c r="C101" s="187" t="s">
        <v>186</v>
      </c>
      <c r="D101" s="152"/>
      <c r="E101" s="141"/>
      <c r="F101" s="152"/>
      <c r="G101" s="348">
        <v>0</v>
      </c>
    </row>
    <row r="102" spans="1:7" s="62" customFormat="1">
      <c r="A102" s="186">
        <v>66</v>
      </c>
      <c r="B102" s="187"/>
      <c r="C102" s="187" t="s">
        <v>266</v>
      </c>
      <c r="D102" s="152"/>
      <c r="E102" s="141"/>
      <c r="F102" s="152"/>
      <c r="G102" s="348">
        <v>0</v>
      </c>
    </row>
    <row r="103" spans="1:7" s="62" customFormat="1">
      <c r="A103" s="186">
        <v>67</v>
      </c>
      <c r="B103" s="187"/>
      <c r="C103" s="187" t="s">
        <v>150</v>
      </c>
      <c r="D103" s="140"/>
      <c r="E103" s="138"/>
      <c r="F103" s="140"/>
      <c r="G103" s="346">
        <v>0</v>
      </c>
    </row>
    <row r="104" spans="1:7" s="62" customFormat="1" ht="28">
      <c r="A104" s="192" t="s">
        <v>268</v>
      </c>
      <c r="B104" s="187"/>
      <c r="C104" s="193" t="s">
        <v>267</v>
      </c>
      <c r="D104" s="140"/>
      <c r="E104" s="138"/>
      <c r="F104" s="140"/>
      <c r="G104" s="346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46"/>
      <c r="E105" s="151"/>
      <c r="F105" s="146"/>
      <c r="G105" s="356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0</v>
      </c>
      <c r="E106" s="33">
        <f t="shared" si="20"/>
        <v>0</v>
      </c>
      <c r="F106" s="33">
        <f t="shared" ref="F106:G106" si="21">SUM(F96:F105)</f>
        <v>0</v>
      </c>
      <c r="G106" s="33">
        <f t="shared" si="21"/>
        <v>59412.399999999994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0</v>
      </c>
      <c r="E107" s="33">
        <f t="shared" si="22"/>
        <v>0</v>
      </c>
      <c r="F107" s="33">
        <f t="shared" ref="F107:G107" si="23">(F95-F88)-(F106-F103)</f>
        <v>0</v>
      </c>
      <c r="G107" s="33">
        <f t="shared" si="23"/>
        <v>452233.5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0</v>
      </c>
      <c r="E108" s="50">
        <f t="shared" si="24"/>
        <v>0</v>
      </c>
      <c r="F108" s="50">
        <f t="shared" ref="F108:G108" si="25">F107-F85-F86+F100+F101</f>
        <v>0</v>
      </c>
      <c r="G108" s="50">
        <f t="shared" si="25"/>
        <v>140794.79999999999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0</v>
      </c>
      <c r="E111" s="337">
        <f t="shared" si="26"/>
        <v>0</v>
      </c>
      <c r="F111" s="336">
        <f t="shared" ref="F111:G111" si="27">F112+F117</f>
        <v>0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0</v>
      </c>
      <c r="E112" s="337">
        <f t="shared" si="28"/>
        <v>0</v>
      </c>
      <c r="F112" s="336">
        <f t="shared" ref="F112:G112" si="29">F113+F114+F115+F116</f>
        <v>0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/>
      <c r="E113" s="113"/>
      <c r="F113" s="105"/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/>
      <c r="E114" s="271"/>
      <c r="F114" s="270"/>
      <c r="G114" s="271"/>
    </row>
    <row r="115" spans="1:7" s="62" customFormat="1">
      <c r="A115" s="212">
        <v>104</v>
      </c>
      <c r="B115" s="206"/>
      <c r="C115" s="206" t="s">
        <v>273</v>
      </c>
      <c r="D115" s="105"/>
      <c r="E115" s="113"/>
      <c r="F115" s="105"/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/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0</v>
      </c>
      <c r="E117" s="337">
        <f t="shared" si="30"/>
        <v>0</v>
      </c>
      <c r="F117" s="336">
        <f t="shared" ref="F117:G117" si="31">F118+F119+F120</f>
        <v>0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/>
      <c r="E118" s="113"/>
      <c r="F118" s="105"/>
      <c r="G118" s="113"/>
    </row>
    <row r="119" spans="1:7" s="62" customFormat="1">
      <c r="A119" s="212">
        <v>108</v>
      </c>
      <c r="B119" s="206"/>
      <c r="C119" s="206" t="s">
        <v>295</v>
      </c>
      <c r="D119" s="105"/>
      <c r="E119" s="113"/>
      <c r="F119" s="105"/>
      <c r="G119" s="113"/>
    </row>
    <row r="120" spans="1:7" s="203" customFormat="1" ht="14">
      <c r="A120" s="262">
        <v>109</v>
      </c>
      <c r="B120" s="263"/>
      <c r="C120" s="263" t="s">
        <v>281</v>
      </c>
      <c r="D120" s="117"/>
      <c r="E120" s="249"/>
      <c r="F120" s="117"/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0</v>
      </c>
      <c r="E121" s="336">
        <f t="shared" si="32"/>
        <v>0</v>
      </c>
      <c r="F121" s="336">
        <f t="shared" ref="F121:G121" si="33">SUM(F122:F130)</f>
        <v>0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/>
      <c r="E122" s="113"/>
      <c r="F122" s="105"/>
      <c r="G122" s="113"/>
    </row>
    <row r="123" spans="1:7" s="62" customFormat="1">
      <c r="A123" s="212">
        <v>144</v>
      </c>
      <c r="B123" s="206"/>
      <c r="C123" s="206" t="s">
        <v>89</v>
      </c>
      <c r="D123" s="105"/>
      <c r="E123" s="113"/>
      <c r="F123" s="105"/>
      <c r="G123" s="113"/>
    </row>
    <row r="124" spans="1:7" s="62" customFormat="1">
      <c r="A124" s="212">
        <v>145</v>
      </c>
      <c r="B124" s="206"/>
      <c r="C124" s="206" t="s">
        <v>90</v>
      </c>
      <c r="D124" s="105"/>
      <c r="E124" s="210"/>
      <c r="F124" s="105"/>
      <c r="G124" s="210"/>
    </row>
    <row r="125" spans="1:7" s="62" customFormat="1">
      <c r="A125" s="212">
        <v>146</v>
      </c>
      <c r="B125" s="206"/>
      <c r="C125" s="206" t="s">
        <v>275</v>
      </c>
      <c r="D125" s="105"/>
      <c r="E125" s="210"/>
      <c r="F125" s="105"/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/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/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/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/>
      <c r="G130" s="277"/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0</v>
      </c>
      <c r="E131" s="18">
        <f t="shared" si="34"/>
        <v>0</v>
      </c>
      <c r="F131" s="18">
        <f t="shared" ref="F131:G131" si="35">F111+F121</f>
        <v>0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G133" si="36">D134+D140</f>
        <v>0</v>
      </c>
      <c r="E133" s="339">
        <f t="shared" si="36"/>
        <v>0</v>
      </c>
      <c r="F133" s="338">
        <f t="shared" si="36"/>
        <v>0</v>
      </c>
      <c r="G133" s="339">
        <f t="shared" si="36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7">D135+D136+D138+D139</f>
        <v>0</v>
      </c>
      <c r="E134" s="337">
        <f t="shared" si="37"/>
        <v>0</v>
      </c>
      <c r="F134" s="336">
        <f t="shared" ref="F134:G134" si="38">F135+F136+F138+F139</f>
        <v>0</v>
      </c>
      <c r="G134" s="337">
        <f t="shared" si="38"/>
        <v>0</v>
      </c>
    </row>
    <row r="135" spans="1:7" s="63" customFormat="1">
      <c r="A135" s="208">
        <v>200</v>
      </c>
      <c r="B135" s="206"/>
      <c r="C135" s="206" t="s">
        <v>31</v>
      </c>
      <c r="D135" s="105"/>
      <c r="E135" s="113"/>
      <c r="F135" s="105"/>
      <c r="G135" s="113"/>
    </row>
    <row r="136" spans="1:7" s="63" customFormat="1">
      <c r="A136" s="208">
        <v>201</v>
      </c>
      <c r="B136" s="206"/>
      <c r="C136" s="206" t="s">
        <v>32</v>
      </c>
      <c r="D136" s="105"/>
      <c r="E136" s="113"/>
      <c r="F136" s="105"/>
      <c r="G136" s="113"/>
    </row>
    <row r="137" spans="1:7" s="63" customFormat="1">
      <c r="A137" s="204" t="s">
        <v>91</v>
      </c>
      <c r="B137" s="205"/>
      <c r="C137" s="205" t="s">
        <v>92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282</v>
      </c>
      <c r="D138" s="105"/>
      <c r="E138" s="210"/>
      <c r="F138" s="105"/>
      <c r="G138" s="210"/>
    </row>
    <row r="139" spans="1:7" s="63" customFormat="1">
      <c r="A139" s="208">
        <v>205</v>
      </c>
      <c r="B139" s="206"/>
      <c r="C139" s="206" t="s">
        <v>296</v>
      </c>
      <c r="D139" s="105"/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9">D141+D143+D144</f>
        <v>0</v>
      </c>
      <c r="E140" s="337">
        <f t="shared" si="39"/>
        <v>0</v>
      </c>
      <c r="F140" s="336">
        <f t="shared" ref="F140:G140" si="40">F141+F143+F144</f>
        <v>0</v>
      </c>
      <c r="G140" s="337">
        <f t="shared" si="40"/>
        <v>0</v>
      </c>
    </row>
    <row r="141" spans="1:7" s="63" customFormat="1">
      <c r="A141" s="208">
        <v>206</v>
      </c>
      <c r="B141" s="206"/>
      <c r="C141" s="206" t="s">
        <v>33</v>
      </c>
      <c r="D141" s="105"/>
      <c r="E141" s="210"/>
      <c r="F141" s="105"/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297</v>
      </c>
      <c r="D143" s="105"/>
      <c r="E143" s="210"/>
      <c r="F143" s="105"/>
      <c r="G143" s="210"/>
    </row>
    <row r="144" spans="1:7" s="64" customFormat="1" ht="28">
      <c r="A144" s="262">
        <v>209</v>
      </c>
      <c r="B144" s="263"/>
      <c r="C144" s="263" t="s">
        <v>285</v>
      </c>
      <c r="D144" s="117"/>
      <c r="E144" s="276"/>
      <c r="F144" s="117"/>
      <c r="G144" s="276"/>
    </row>
    <row r="145" spans="1:7" s="62" customFormat="1">
      <c r="A145" s="257">
        <v>29</v>
      </c>
      <c r="B145" s="255"/>
      <c r="C145" s="255" t="s">
        <v>36</v>
      </c>
      <c r="D145" s="209"/>
      <c r="E145" s="210"/>
      <c r="F145" s="209"/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/>
      <c r="G146" s="174"/>
    </row>
    <row r="147" spans="1:7">
      <c r="A147" s="13">
        <v>2</v>
      </c>
      <c r="B147" s="14"/>
      <c r="C147" s="13" t="s">
        <v>34</v>
      </c>
      <c r="D147" s="18">
        <f>D133+D145</f>
        <v>0</v>
      </c>
      <c r="E147" s="18">
        <f>E133+E145</f>
        <v>0</v>
      </c>
      <c r="F147" s="18">
        <f>F133+F145</f>
        <v>0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312"/>
      <c r="C150" s="312" t="s">
        <v>153</v>
      </c>
      <c r="D150" s="55">
        <f t="shared" ref="D150:E150" si="41">D77+SUM(D8:D12)-D30-D31+D16-D33+D59+D63-D73+D64-D74-D54+D20-D35</f>
        <v>0</v>
      </c>
      <c r="E150" s="55">
        <f t="shared" si="41"/>
        <v>0</v>
      </c>
      <c r="F150" s="55">
        <f t="shared" ref="F150:G150" si="42">F77+SUM(F8:F12)-F30-F31+F16-F33+F59+F63-F73+F64-F74-F54+F20-F35</f>
        <v>0</v>
      </c>
      <c r="G150" s="55">
        <f t="shared" si="42"/>
        <v>21761.600000000326</v>
      </c>
    </row>
    <row r="151" spans="1:7">
      <c r="A151" s="38" t="s">
        <v>403</v>
      </c>
      <c r="B151" s="314"/>
      <c r="C151" s="314" t="s">
        <v>154</v>
      </c>
      <c r="D151" s="258">
        <f t="shared" ref="D151:E151" si="43">IF(D177=0,0,D150/D177)</f>
        <v>0</v>
      </c>
      <c r="E151" s="258">
        <f t="shared" si="43"/>
        <v>0</v>
      </c>
      <c r="F151" s="258">
        <f t="shared" ref="F151:G151" si="44">IF(F177=0,0,F150/F177)</f>
        <v>0</v>
      </c>
      <c r="G151" s="258">
        <f t="shared" si="44"/>
        <v>5.7500668303642625E-3</v>
      </c>
    </row>
    <row r="152" spans="1:7" s="251" customFormat="1" ht="28">
      <c r="A152" s="58" t="s">
        <v>404</v>
      </c>
      <c r="B152" s="309"/>
      <c r="C152" s="309" t="s">
        <v>161</v>
      </c>
      <c r="D152" s="242">
        <f t="shared" ref="D152:E152" si="45">IF(D107=0,0,D150/D107)</f>
        <v>0</v>
      </c>
      <c r="E152" s="242">
        <f t="shared" si="45"/>
        <v>0</v>
      </c>
      <c r="F152" s="242">
        <f t="shared" ref="F152:G152" si="46">IF(F107=0,0,F150/F107)</f>
        <v>0</v>
      </c>
      <c r="G152" s="242">
        <f t="shared" si="46"/>
        <v>4.8120274150411958E-2</v>
      </c>
    </row>
    <row r="153" spans="1:7" s="251" customFormat="1" ht="28">
      <c r="A153" s="57" t="s">
        <v>404</v>
      </c>
      <c r="B153" s="310"/>
      <c r="C153" s="310" t="s">
        <v>162</v>
      </c>
      <c r="D153" s="245">
        <f t="shared" ref="D153:E153" si="47">IF(0=D108,0,D150/D108)</f>
        <v>0</v>
      </c>
      <c r="E153" s="245">
        <f t="shared" si="47"/>
        <v>0</v>
      </c>
      <c r="F153" s="245">
        <f t="shared" ref="F153:G153" si="48">IF(0=F108,0,F150/F108)</f>
        <v>0</v>
      </c>
      <c r="G153" s="245">
        <f t="shared" si="48"/>
        <v>0.15456252645694535</v>
      </c>
    </row>
    <row r="154" spans="1:7" ht="28">
      <c r="A154" s="60" t="s">
        <v>412</v>
      </c>
      <c r="B154" s="311"/>
      <c r="C154" s="311" t="s">
        <v>163</v>
      </c>
      <c r="D154" s="56">
        <f t="shared" ref="D154:E154" si="49">D150-D107</f>
        <v>0</v>
      </c>
      <c r="E154" s="56">
        <f t="shared" si="49"/>
        <v>0</v>
      </c>
      <c r="F154" s="56">
        <f t="shared" ref="F154:G154" si="50">F150-F107</f>
        <v>0</v>
      </c>
      <c r="G154" s="56">
        <f t="shared" si="50"/>
        <v>-430471.89999999967</v>
      </c>
    </row>
    <row r="155" spans="1:7" ht="28">
      <c r="A155" s="57" t="s">
        <v>413</v>
      </c>
      <c r="B155" s="310"/>
      <c r="C155" s="310" t="s">
        <v>164</v>
      </c>
      <c r="D155" s="59">
        <f t="shared" ref="D155:E155" si="51">D150-D108</f>
        <v>0</v>
      </c>
      <c r="E155" s="59">
        <f t="shared" si="51"/>
        <v>0</v>
      </c>
      <c r="F155" s="59">
        <f t="shared" ref="F155:G155" si="52">F150-F108</f>
        <v>0</v>
      </c>
      <c r="G155" s="59">
        <f t="shared" si="52"/>
        <v>-119033.19999999966</v>
      </c>
    </row>
    <row r="156" spans="1:7">
      <c r="A156" s="51" t="s">
        <v>391</v>
      </c>
      <c r="B156" s="312"/>
      <c r="C156" s="312" t="s">
        <v>35</v>
      </c>
      <c r="D156" s="47">
        <f t="shared" ref="D156:E156" si="53">D135+D136-D137+D141-D142</f>
        <v>0</v>
      </c>
      <c r="E156" s="47">
        <f t="shared" si="53"/>
        <v>0</v>
      </c>
      <c r="F156" s="47">
        <f t="shared" ref="F156:G156" si="54">F135+F136-F137+F141-F142</f>
        <v>0</v>
      </c>
      <c r="G156" s="47">
        <f t="shared" si="54"/>
        <v>0</v>
      </c>
    </row>
    <row r="157" spans="1:7">
      <c r="A157" s="233" t="s">
        <v>399</v>
      </c>
      <c r="B157" s="313"/>
      <c r="C157" s="313" t="s">
        <v>132</v>
      </c>
      <c r="D157" s="241">
        <f t="shared" ref="D157:E157" si="55">IF(D177=0,0,D156/D177)</f>
        <v>0</v>
      </c>
      <c r="E157" s="241">
        <f t="shared" si="55"/>
        <v>0</v>
      </c>
      <c r="F157" s="241">
        <f t="shared" ref="F157:G157" si="56">IF(F177=0,0,F156/F177)</f>
        <v>0</v>
      </c>
      <c r="G157" s="241">
        <f t="shared" si="56"/>
        <v>0</v>
      </c>
    </row>
    <row r="158" spans="1:7">
      <c r="A158" s="51" t="s">
        <v>392</v>
      </c>
      <c r="B158" s="312"/>
      <c r="C158" s="312" t="s">
        <v>393</v>
      </c>
      <c r="D158" s="47">
        <f t="shared" ref="D158:E158" si="57">D133-D142-D111</f>
        <v>0</v>
      </c>
      <c r="E158" s="47">
        <f t="shared" si="57"/>
        <v>0</v>
      </c>
      <c r="F158" s="47">
        <f t="shared" ref="F158:G158" si="58">F133-F142-F111</f>
        <v>0</v>
      </c>
      <c r="G158" s="47">
        <f t="shared" si="58"/>
        <v>0</v>
      </c>
    </row>
    <row r="159" spans="1:7">
      <c r="A159" s="38" t="s">
        <v>395</v>
      </c>
      <c r="B159" s="314"/>
      <c r="C159" s="314" t="s">
        <v>394</v>
      </c>
      <c r="D159" s="40">
        <f t="shared" ref="D159:E159" si="59">D121-D123-D124-D142-D145</f>
        <v>0</v>
      </c>
      <c r="E159" s="40">
        <f t="shared" si="59"/>
        <v>0</v>
      </c>
      <c r="F159" s="40">
        <f t="shared" ref="F159:G159" si="60">F121-F123-F124-F142-F145</f>
        <v>0</v>
      </c>
      <c r="G159" s="40">
        <f t="shared" si="60"/>
        <v>0</v>
      </c>
    </row>
    <row r="160" spans="1:7">
      <c r="A160" s="38" t="s">
        <v>400</v>
      </c>
      <c r="B160" s="314"/>
      <c r="C160" s="314" t="s">
        <v>115</v>
      </c>
      <c r="D160" s="240" t="str">
        <f t="shared" ref="D160:E160" si="61">IF(D175=0,"-",1000*D158/D175)</f>
        <v>-</v>
      </c>
      <c r="E160" s="240" t="str">
        <f t="shared" si="61"/>
        <v>-</v>
      </c>
      <c r="F160" s="240" t="str">
        <f t="shared" ref="F160:G160" si="62">IF(F175=0,"-",1000*F158/F175)</f>
        <v>-</v>
      </c>
      <c r="G160" s="240">
        <f t="shared" si="62"/>
        <v>0</v>
      </c>
    </row>
    <row r="161" spans="1:7">
      <c r="A161" s="38" t="s">
        <v>400</v>
      </c>
      <c r="B161" s="314"/>
      <c r="C161" s="314" t="s">
        <v>139</v>
      </c>
      <c r="D161" s="40">
        <f t="shared" ref="D161:E161" si="63">IF(D175=0,0,1000*(D159/D175))</f>
        <v>0</v>
      </c>
      <c r="E161" s="40">
        <f t="shared" si="63"/>
        <v>0</v>
      </c>
      <c r="F161" s="40">
        <f t="shared" ref="F161:G161" si="64">IF(F175=0,0,1000*(F159/F175))</f>
        <v>0</v>
      </c>
      <c r="G161" s="40">
        <f t="shared" si="64"/>
        <v>0</v>
      </c>
    </row>
    <row r="162" spans="1:7">
      <c r="A162" s="233" t="s">
        <v>401</v>
      </c>
      <c r="B162" s="313"/>
      <c r="C162" s="313" t="s">
        <v>116</v>
      </c>
      <c r="D162" s="241">
        <f t="shared" ref="D162:E162" si="65">IF((D22+D23+D65+D66)=0,0,D158/(D22+D23+D65+D66))</f>
        <v>0</v>
      </c>
      <c r="E162" s="241">
        <f t="shared" si="65"/>
        <v>0</v>
      </c>
      <c r="F162" s="241">
        <f t="shared" ref="F162:G162" si="66">IF((F22+F23+F65+F66)=0,0,F158/(F22+F23+F65+F66))</f>
        <v>0</v>
      </c>
      <c r="G162" s="241">
        <f t="shared" si="66"/>
        <v>0</v>
      </c>
    </row>
    <row r="163" spans="1:7">
      <c r="A163" s="38" t="s">
        <v>409</v>
      </c>
      <c r="B163" s="314"/>
      <c r="C163" s="314" t="s">
        <v>36</v>
      </c>
      <c r="D163" s="55">
        <f t="shared" ref="D163:E163" si="67">D145</f>
        <v>0</v>
      </c>
      <c r="E163" s="55">
        <f t="shared" si="67"/>
        <v>0</v>
      </c>
      <c r="F163" s="55">
        <f t="shared" ref="F163:G163" si="68">F145</f>
        <v>0</v>
      </c>
      <c r="G163" s="55">
        <f t="shared" si="68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234" t="s">
        <v>493</v>
      </c>
      <c r="B165" s="315"/>
      <c r="C165" s="315" t="s">
        <v>118</v>
      </c>
      <c r="D165" s="259">
        <f t="shared" ref="D165:E165" si="69">IF(D177=0,0,D180/D177)</f>
        <v>0</v>
      </c>
      <c r="E165" s="259">
        <f t="shared" si="69"/>
        <v>0</v>
      </c>
      <c r="F165" s="259">
        <f t="shared" ref="F165:G165" si="70">IF(F177=0,0,F180/F177)</f>
        <v>0</v>
      </c>
      <c r="G165" s="259">
        <f t="shared" si="70"/>
        <v>3.9343789106860705E-2</v>
      </c>
    </row>
    <row r="166" spans="1:7">
      <c r="A166" s="38" t="s">
        <v>411</v>
      </c>
      <c r="B166" s="314"/>
      <c r="C166" s="314" t="s">
        <v>20</v>
      </c>
      <c r="D166" s="55">
        <f t="shared" ref="D166:E166" si="71">D55</f>
        <v>0</v>
      </c>
      <c r="E166" s="55">
        <f t="shared" si="71"/>
        <v>0</v>
      </c>
      <c r="F166" s="55">
        <f t="shared" ref="F166:G166" si="72">F55</f>
        <v>0</v>
      </c>
      <c r="G166" s="55">
        <f t="shared" si="72"/>
        <v>89567.7</v>
      </c>
    </row>
    <row r="167" spans="1:7">
      <c r="A167" s="233" t="s">
        <v>410</v>
      </c>
      <c r="B167" s="313"/>
      <c r="C167" s="313" t="s">
        <v>119</v>
      </c>
      <c r="D167" s="241">
        <f t="shared" ref="D167:E167" si="73">IF(0=D111,0,(D44+D45+D46+D47+D48)/D111)</f>
        <v>0</v>
      </c>
      <c r="E167" s="241">
        <f t="shared" si="73"/>
        <v>0</v>
      </c>
      <c r="F167" s="241">
        <f t="shared" ref="F167:G167" si="74">IF(0=F111,0,(F44+F45+F46+F47+F48)/F111)</f>
        <v>0</v>
      </c>
      <c r="G167" s="241">
        <f t="shared" si="74"/>
        <v>0</v>
      </c>
    </row>
    <row r="168" spans="1:7">
      <c r="A168" s="38" t="s">
        <v>396</v>
      </c>
      <c r="B168" s="312"/>
      <c r="C168" s="312" t="s">
        <v>397</v>
      </c>
      <c r="D168" s="55">
        <f t="shared" ref="D168:E168" si="75">D38-D44</f>
        <v>0</v>
      </c>
      <c r="E168" s="55">
        <f t="shared" si="75"/>
        <v>0</v>
      </c>
      <c r="F168" s="55">
        <f t="shared" ref="F168:G168" si="76">F38-F44</f>
        <v>0</v>
      </c>
      <c r="G168" s="55">
        <f t="shared" si="76"/>
        <v>20949.3</v>
      </c>
    </row>
    <row r="169" spans="1:7">
      <c r="A169" s="233" t="s">
        <v>398</v>
      </c>
      <c r="B169" s="313"/>
      <c r="C169" s="313" t="s">
        <v>120</v>
      </c>
      <c r="D169" s="258">
        <f t="shared" ref="D169:E169" si="77">IF(D177=0,0,D168/D177)</f>
        <v>0</v>
      </c>
      <c r="E169" s="258">
        <f t="shared" si="77"/>
        <v>0</v>
      </c>
      <c r="F169" s="258">
        <f t="shared" ref="F169:G169" si="78">IF(F177=0,0,F168/F177)</f>
        <v>0</v>
      </c>
      <c r="G169" s="258">
        <f t="shared" si="78"/>
        <v>5.5354328288980698E-3</v>
      </c>
    </row>
    <row r="170" spans="1:7">
      <c r="A170" s="38" t="s">
        <v>366</v>
      </c>
      <c r="B170" s="314"/>
      <c r="C170" s="314" t="s">
        <v>364</v>
      </c>
      <c r="D170" s="55">
        <f t="shared" ref="D170:E170" si="79">SUM(D82:D87)+SUM(D89:D94)</f>
        <v>0</v>
      </c>
      <c r="E170" s="55">
        <f t="shared" si="79"/>
        <v>0</v>
      </c>
      <c r="F170" s="55">
        <f t="shared" ref="F170:G170" si="80">SUM(F82:F87)+SUM(F89:F94)</f>
        <v>0</v>
      </c>
      <c r="G170" s="55">
        <f t="shared" si="80"/>
        <v>511645.9</v>
      </c>
    </row>
    <row r="171" spans="1:7">
      <c r="A171" s="38" t="s">
        <v>367</v>
      </c>
      <c r="B171" s="314"/>
      <c r="C171" s="314" t="s">
        <v>365</v>
      </c>
      <c r="D171" s="40">
        <f t="shared" ref="D171:E171" si="81">SUM(D96:D102)+SUM(D104:D105)</f>
        <v>0</v>
      </c>
      <c r="E171" s="40">
        <f t="shared" si="81"/>
        <v>0</v>
      </c>
      <c r="F171" s="40">
        <f t="shared" ref="F171:G171" si="82">SUM(F96:F102)+SUM(F104:F105)</f>
        <v>0</v>
      </c>
      <c r="G171" s="40">
        <f t="shared" si="82"/>
        <v>59412.399999999994</v>
      </c>
    </row>
    <row r="172" spans="1:7">
      <c r="A172" s="234" t="s">
        <v>368</v>
      </c>
      <c r="B172" s="315"/>
      <c r="C172" s="315" t="s">
        <v>121</v>
      </c>
      <c r="D172" s="259">
        <f t="shared" ref="D172:E172" si="83">IF(D184=0,0,D170/D184)</f>
        <v>0</v>
      </c>
      <c r="E172" s="259">
        <f t="shared" si="83"/>
        <v>0</v>
      </c>
      <c r="F172" s="259">
        <f t="shared" ref="F172:G172" si="84">IF(F184=0,0,F170/F184)</f>
        <v>0</v>
      </c>
      <c r="G172" s="259">
        <f t="shared" si="84"/>
        <v>0.1207278851417339</v>
      </c>
    </row>
    <row r="173" spans="1:7">
      <c r="A173" s="61"/>
    </row>
    <row r="174" spans="1:7">
      <c r="A174" s="332" t="s">
        <v>97</v>
      </c>
      <c r="C174" s="11"/>
      <c r="D174" s="17"/>
      <c r="E174" s="17"/>
      <c r="F174" s="17"/>
      <c r="G174" s="17"/>
    </row>
    <row r="175" spans="1:7" s="62" customFormat="1">
      <c r="A175" s="61" t="s">
        <v>386</v>
      </c>
      <c r="B175" s="1"/>
      <c r="C175" s="1" t="s">
        <v>187</v>
      </c>
      <c r="D175" s="331"/>
      <c r="E175" s="340"/>
      <c r="F175" s="340"/>
      <c r="G175" s="340">
        <v>491633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5">SUM(D22:D32)+SUM(D44:D53)+SUM(D65:D72)+D75</f>
        <v>0</v>
      </c>
      <c r="E177" s="39">
        <f t="shared" si="85"/>
        <v>0</v>
      </c>
      <c r="F177" s="39">
        <f t="shared" ref="F177:G177" si="86">SUM(F22:F32)+SUM(F44:F53)+SUM(F65:F72)+F75</f>
        <v>0</v>
      </c>
      <c r="G177" s="39">
        <f t="shared" si="86"/>
        <v>3784582.1</v>
      </c>
    </row>
    <row r="178" spans="1:7">
      <c r="A178" s="236" t="s">
        <v>385</v>
      </c>
      <c r="B178" s="23"/>
      <c r="C178" s="23" t="s">
        <v>100</v>
      </c>
      <c r="D178" s="39">
        <f t="shared" ref="D178:E178" si="87">D78-D17-D20-D59-D63-D64</f>
        <v>0</v>
      </c>
      <c r="E178" s="39">
        <f t="shared" si="87"/>
        <v>0</v>
      </c>
      <c r="F178" s="39">
        <f t="shared" ref="F178:G178" si="88">F78-F17-F20-F59-F63-F64</f>
        <v>0</v>
      </c>
      <c r="G178" s="39">
        <f t="shared" si="88"/>
        <v>3890241.0999999996</v>
      </c>
    </row>
    <row r="179" spans="1:7">
      <c r="A179" s="236"/>
      <c r="B179" s="23"/>
      <c r="C179" s="23" t="s">
        <v>388</v>
      </c>
      <c r="D179" s="39">
        <f t="shared" ref="D179:E179" si="89">D178+D170</f>
        <v>0</v>
      </c>
      <c r="E179" s="39">
        <f t="shared" si="89"/>
        <v>0</v>
      </c>
      <c r="F179" s="39">
        <f t="shared" ref="F179:G179" si="90">F178+F170</f>
        <v>0</v>
      </c>
      <c r="G179" s="39">
        <f t="shared" si="90"/>
        <v>4401887</v>
      </c>
    </row>
    <row r="180" spans="1:7">
      <c r="A180" s="236" t="s">
        <v>389</v>
      </c>
      <c r="B180" s="23"/>
      <c r="C180" s="23" t="s">
        <v>390</v>
      </c>
      <c r="D180" s="39">
        <f t="shared" ref="D180:E180" si="91">D38-D44+D8+D9+D10+D16-D33</f>
        <v>0</v>
      </c>
      <c r="E180" s="39">
        <f t="shared" si="91"/>
        <v>0</v>
      </c>
      <c r="F180" s="39">
        <f t="shared" ref="F180:G180" si="92">F38-F44+F8+F9+F10+F16-F33</f>
        <v>0</v>
      </c>
      <c r="G180" s="39">
        <f t="shared" si="92"/>
        <v>148899.80000000002</v>
      </c>
    </row>
    <row r="181" spans="1:7" ht="27.5" customHeight="1">
      <c r="A181" s="239" t="s">
        <v>376</v>
      </c>
      <c r="B181" s="71"/>
      <c r="C181" s="71" t="s">
        <v>374</v>
      </c>
      <c r="D181" s="72">
        <f t="shared" ref="D181:E181" si="93">D22+D23+D24+D25+D26+D29+SUM(D44:D47)+SUM(D49:D53)-D54+D32-D33+SUM(D65:D70)+D72</f>
        <v>0</v>
      </c>
      <c r="E181" s="73">
        <f t="shared" si="93"/>
        <v>0</v>
      </c>
      <c r="F181" s="72">
        <f t="shared" ref="F181:G181" si="94">F22+F23+F24+F25+F26+F29+SUM(F44:F47)+SUM(F49:F53)-F54+F32-F33+SUM(F65:F70)+F72</f>
        <v>0</v>
      </c>
      <c r="G181" s="73">
        <f t="shared" si="94"/>
        <v>3753327.8999999994</v>
      </c>
    </row>
    <row r="182" spans="1:7">
      <c r="A182" s="237" t="s">
        <v>375</v>
      </c>
      <c r="B182" s="71"/>
      <c r="C182" s="71" t="s">
        <v>170</v>
      </c>
      <c r="D182" s="72">
        <f t="shared" ref="D182:E182" si="95">D181+D171</f>
        <v>0</v>
      </c>
      <c r="E182" s="73">
        <f t="shared" si="95"/>
        <v>0</v>
      </c>
      <c r="F182" s="72">
        <f t="shared" ref="F182:G182" si="96">F181+F171</f>
        <v>0</v>
      </c>
      <c r="G182" s="73">
        <f t="shared" si="96"/>
        <v>3812740.2999999993</v>
      </c>
    </row>
    <row r="183" spans="1:7">
      <c r="A183" s="237" t="s">
        <v>369</v>
      </c>
      <c r="B183" s="71"/>
      <c r="C183" s="71" t="s">
        <v>370</v>
      </c>
      <c r="D183" s="73">
        <f t="shared" ref="D183:F183" si="97">D4+D5-D7+D38+D39+D40+D41+D43+D13-D16+D57+D58+D60+D62</f>
        <v>0</v>
      </c>
      <c r="E183" s="73">
        <f t="shared" si="97"/>
        <v>0</v>
      </c>
      <c r="F183" s="73">
        <f t="shared" si="97"/>
        <v>0</v>
      </c>
      <c r="G183" s="73">
        <f>G4+G5-G7+G38+G39+G40+G41+G43+G13-G16+G57+G58+G60+G62</f>
        <v>3726363.4</v>
      </c>
    </row>
    <row r="184" spans="1:7">
      <c r="A184" s="237" t="s">
        <v>373</v>
      </c>
      <c r="B184" s="71"/>
      <c r="C184" s="71" t="s">
        <v>171</v>
      </c>
      <c r="D184" s="72">
        <f t="shared" ref="D184:E184" si="98">D183+D170</f>
        <v>0</v>
      </c>
      <c r="E184" s="73">
        <f t="shared" si="98"/>
        <v>0</v>
      </c>
      <c r="F184" s="72">
        <f t="shared" ref="F184:G184" si="99">F183+F170</f>
        <v>0</v>
      </c>
      <c r="G184" s="73">
        <f t="shared" si="99"/>
        <v>4238009.3</v>
      </c>
    </row>
    <row r="185" spans="1:7">
      <c r="A185" s="237"/>
      <c r="B185" s="71"/>
      <c r="C185" s="71" t="s">
        <v>405</v>
      </c>
      <c r="D185" s="72">
        <f t="shared" ref="D185:E186" si="100">D181-D183</f>
        <v>0</v>
      </c>
      <c r="E185" s="73">
        <f t="shared" si="100"/>
        <v>0</v>
      </c>
      <c r="F185" s="72">
        <f t="shared" ref="F185:G185" si="101">F181-F183</f>
        <v>0</v>
      </c>
      <c r="G185" s="73">
        <f t="shared" si="101"/>
        <v>26964.499999999534</v>
      </c>
    </row>
    <row r="186" spans="1:7">
      <c r="A186" s="237"/>
      <c r="B186" s="71"/>
      <c r="C186" s="71" t="s">
        <v>406</v>
      </c>
      <c r="D186" s="72">
        <f t="shared" si="100"/>
        <v>0</v>
      </c>
      <c r="E186" s="73">
        <f t="shared" si="100"/>
        <v>0</v>
      </c>
      <c r="F186" s="72">
        <f t="shared" ref="F186:G186" si="102">F182-F184</f>
        <v>0</v>
      </c>
      <c r="G186" s="73">
        <f t="shared" si="102"/>
        <v>-425269.00000000047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I44"/>
  <sheetViews>
    <sheetView view="pageLayout" zoomScaleNormal="115" workbookViewId="0">
      <selection activeCell="K44" sqref="K44:N48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223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385" t="s">
        <v>588</v>
      </c>
      <c r="F3" s="384"/>
      <c r="G3" s="385" t="s">
        <v>588</v>
      </c>
      <c r="H3" s="384"/>
      <c r="I3" s="386" t="s">
        <v>588</v>
      </c>
    </row>
    <row r="4" spans="1:9">
      <c r="A4" s="372" t="s">
        <v>518</v>
      </c>
      <c r="B4" s="387" t="s">
        <v>1</v>
      </c>
      <c r="C4" s="388">
        <v>345067</v>
      </c>
      <c r="D4" s="389">
        <f t="shared" ref="D4:D16" si="0">CHOOSE((C4&lt;&gt;0)+1,"  -",(E4-C4)/C4)</f>
        <v>3.9006917497181708E-2</v>
      </c>
      <c r="E4" s="388">
        <v>358527</v>
      </c>
      <c r="F4" s="389">
        <f t="shared" ref="F4:F27" si="1">CHOOSE((E4&lt;&gt;0)+1,"  -",(G4-E4)/E4)</f>
        <v>-2.5445782326017286E-2</v>
      </c>
      <c r="G4" s="388">
        <v>349404</v>
      </c>
      <c r="H4" s="389">
        <f t="shared" ref="H4:H16" si="2">CHOOSE((G4&lt;&gt;0)+1,"  -",(I4-G4)/G4)</f>
        <v>3.0846813430870854E-2</v>
      </c>
      <c r="I4" s="390">
        <v>360182</v>
      </c>
    </row>
    <row r="5" spans="1:9">
      <c r="A5" s="391" t="s">
        <v>519</v>
      </c>
      <c r="B5" s="382" t="s">
        <v>520</v>
      </c>
      <c r="C5" s="392">
        <v>299677</v>
      </c>
      <c r="D5" s="393">
        <f t="shared" si="0"/>
        <v>6.0034637292818605E-2</v>
      </c>
      <c r="E5" s="392">
        <v>317668</v>
      </c>
      <c r="F5" s="393">
        <f t="shared" si="1"/>
        <v>-6.2467733608673207E-2</v>
      </c>
      <c r="G5" s="392">
        <v>297824</v>
      </c>
      <c r="H5" s="393">
        <f t="shared" si="2"/>
        <v>3.69077038788009E-2</v>
      </c>
      <c r="I5" s="394">
        <v>308816</v>
      </c>
    </row>
    <row r="6" spans="1:9">
      <c r="A6" s="391" t="s">
        <v>229</v>
      </c>
      <c r="B6" s="382" t="s">
        <v>521</v>
      </c>
      <c r="C6" s="392">
        <v>134925</v>
      </c>
      <c r="D6" s="393">
        <f t="shared" si="0"/>
        <v>-5.8929034648879004E-2</v>
      </c>
      <c r="E6" s="392">
        <v>126974</v>
      </c>
      <c r="F6" s="393">
        <f t="shared" si="1"/>
        <v>-9.4822562099327427E-3</v>
      </c>
      <c r="G6" s="392">
        <v>125770</v>
      </c>
      <c r="H6" s="393">
        <f t="shared" si="2"/>
        <v>-5.8193527868331082E-2</v>
      </c>
      <c r="I6" s="394">
        <v>118451</v>
      </c>
    </row>
    <row r="7" spans="1:9">
      <c r="A7" s="391" t="s">
        <v>522</v>
      </c>
      <c r="B7" s="382" t="s">
        <v>523</v>
      </c>
      <c r="C7" s="392">
        <v>5452</v>
      </c>
      <c r="D7" s="393">
        <f t="shared" si="0"/>
        <v>-0.54475421863536322</v>
      </c>
      <c r="E7" s="392">
        <v>2482</v>
      </c>
      <c r="F7" s="393">
        <f t="shared" si="1"/>
        <v>-3.2232070910556E-2</v>
      </c>
      <c r="G7" s="392">
        <v>2402</v>
      </c>
      <c r="H7" s="393">
        <f t="shared" si="2"/>
        <v>-0.37926727726894255</v>
      </c>
      <c r="I7" s="394">
        <v>1491</v>
      </c>
    </row>
    <row r="8" spans="1:9">
      <c r="A8" s="391" t="s">
        <v>524</v>
      </c>
      <c r="B8" s="382" t="s">
        <v>525</v>
      </c>
      <c r="C8" s="392">
        <v>9111</v>
      </c>
      <c r="D8" s="393">
        <f t="shared" si="0"/>
        <v>-0.99945121281966853</v>
      </c>
      <c r="E8" s="392">
        <v>5</v>
      </c>
      <c r="F8" s="393">
        <f t="shared" si="1"/>
        <v>20594</v>
      </c>
      <c r="G8" s="392">
        <v>102975</v>
      </c>
      <c r="H8" s="393">
        <f t="shared" si="2"/>
        <v>-0.99902889050740473</v>
      </c>
      <c r="I8" s="394">
        <v>100</v>
      </c>
    </row>
    <row r="9" spans="1:9">
      <c r="A9" s="391" t="s">
        <v>526</v>
      </c>
      <c r="B9" s="382" t="s">
        <v>527</v>
      </c>
      <c r="C9" s="392">
        <v>164922</v>
      </c>
      <c r="D9" s="393">
        <f t="shared" si="0"/>
        <v>3.5835122057700005E-3</v>
      </c>
      <c r="E9" s="392">
        <v>165513</v>
      </c>
      <c r="F9" s="393">
        <f t="shared" si="1"/>
        <v>-5.9711321769287007E-2</v>
      </c>
      <c r="G9" s="392">
        <v>155630</v>
      </c>
      <c r="H9" s="393">
        <f t="shared" si="2"/>
        <v>0.14567885369144767</v>
      </c>
      <c r="I9" s="394">
        <v>178302</v>
      </c>
    </row>
    <row r="10" spans="1:9">
      <c r="A10" s="391" t="s">
        <v>528</v>
      </c>
      <c r="B10" s="382" t="s">
        <v>529</v>
      </c>
      <c r="C10" s="392">
        <v>1414266</v>
      </c>
      <c r="D10" s="393">
        <f t="shared" si="0"/>
        <v>1.6770536801422081E-2</v>
      </c>
      <c r="E10" s="392">
        <v>1437984</v>
      </c>
      <c r="F10" s="393">
        <f t="shared" si="1"/>
        <v>-1.0566876961078844E-2</v>
      </c>
      <c r="G10" s="392">
        <v>1422789</v>
      </c>
      <c r="H10" s="393">
        <f t="shared" si="2"/>
        <v>2.4392935284149653E-2</v>
      </c>
      <c r="I10" s="394">
        <v>1457495</v>
      </c>
    </row>
    <row r="11" spans="1:9">
      <c r="A11" s="391" t="s">
        <v>530</v>
      </c>
      <c r="B11" s="382" t="s">
        <v>531</v>
      </c>
      <c r="C11" s="392">
        <v>364</v>
      </c>
      <c r="D11" s="393">
        <f t="shared" si="0"/>
        <v>694.81043956043959</v>
      </c>
      <c r="E11" s="392">
        <v>253275</v>
      </c>
      <c r="F11" s="393">
        <f t="shared" si="1"/>
        <v>8.6858158128516438E-2</v>
      </c>
      <c r="G11" s="392">
        <v>275274</v>
      </c>
      <c r="H11" s="393">
        <f t="shared" si="2"/>
        <v>-1.9540530525948691E-2</v>
      </c>
      <c r="I11" s="394">
        <v>269895</v>
      </c>
    </row>
    <row r="12" spans="1:9">
      <c r="A12" s="391" t="s">
        <v>532</v>
      </c>
      <c r="B12" s="382" t="s">
        <v>533</v>
      </c>
      <c r="C12" s="392">
        <v>275373</v>
      </c>
      <c r="D12" s="393">
        <f t="shared" si="0"/>
        <v>-0.92770169914988032</v>
      </c>
      <c r="E12" s="392">
        <v>19909</v>
      </c>
      <c r="F12" s="393">
        <f t="shared" si="1"/>
        <v>-0.324827967250992</v>
      </c>
      <c r="G12" s="392">
        <v>13442</v>
      </c>
      <c r="H12" s="393">
        <f t="shared" si="2"/>
        <v>0.13041214105043891</v>
      </c>
      <c r="I12" s="394">
        <v>15195</v>
      </c>
    </row>
    <row r="13" spans="1:9">
      <c r="A13" s="391" t="s">
        <v>534</v>
      </c>
      <c r="B13" s="382" t="s">
        <v>535</v>
      </c>
      <c r="C13" s="392">
        <v>215054</v>
      </c>
      <c r="D13" s="393">
        <f t="shared" si="0"/>
        <v>-1</v>
      </c>
      <c r="E13" s="392">
        <v>0</v>
      </c>
      <c r="F13" s="393" t="str">
        <f t="shared" si="1"/>
        <v xml:space="preserve">  -</v>
      </c>
      <c r="G13" s="392">
        <v>0</v>
      </c>
      <c r="H13" s="393" t="str">
        <f t="shared" si="2"/>
        <v xml:space="preserve">  -</v>
      </c>
      <c r="I13" s="394">
        <v>0</v>
      </c>
    </row>
    <row r="14" spans="1:9">
      <c r="A14" s="391" t="s">
        <v>536</v>
      </c>
      <c r="B14" s="382" t="s">
        <v>537</v>
      </c>
      <c r="C14" s="392">
        <v>0</v>
      </c>
      <c r="D14" s="393" t="str">
        <f t="shared" si="0"/>
        <v xml:space="preserve">  -</v>
      </c>
      <c r="E14" s="392">
        <v>163000</v>
      </c>
      <c r="F14" s="393">
        <f t="shared" si="1"/>
        <v>7.1595092024539883E-2</v>
      </c>
      <c r="G14" s="392">
        <v>174670</v>
      </c>
      <c r="H14" s="393">
        <f t="shared" si="2"/>
        <v>-8.9712028396404644E-2</v>
      </c>
      <c r="I14" s="394">
        <v>159000</v>
      </c>
    </row>
    <row r="15" spans="1:9">
      <c r="A15" s="391" t="s">
        <v>538</v>
      </c>
      <c r="B15" s="382" t="s">
        <v>539</v>
      </c>
      <c r="C15" s="392">
        <v>168627</v>
      </c>
      <c r="D15" s="393">
        <f t="shared" si="0"/>
        <v>0.18839806199481696</v>
      </c>
      <c r="E15" s="392">
        <v>200396</v>
      </c>
      <c r="F15" s="393">
        <f t="shared" si="1"/>
        <v>-2.2445557795564782E-2</v>
      </c>
      <c r="G15" s="392">
        <v>195898</v>
      </c>
      <c r="H15" s="393">
        <f t="shared" si="2"/>
        <v>5.5702457401300677E-2</v>
      </c>
      <c r="I15" s="394">
        <v>206810</v>
      </c>
    </row>
    <row r="16" spans="1:9">
      <c r="A16" s="391" t="s">
        <v>540</v>
      </c>
      <c r="B16" s="382" t="s">
        <v>541</v>
      </c>
      <c r="C16" s="392">
        <v>207602</v>
      </c>
      <c r="D16" s="393">
        <f t="shared" si="0"/>
        <v>-1</v>
      </c>
      <c r="E16" s="392">
        <v>0</v>
      </c>
      <c r="F16" s="393" t="str">
        <f t="shared" si="1"/>
        <v xml:space="preserve">  -</v>
      </c>
      <c r="G16" s="392">
        <v>0</v>
      </c>
      <c r="H16" s="393" t="str">
        <f t="shared" si="2"/>
        <v xml:space="preserve">  -</v>
      </c>
      <c r="I16" s="394">
        <v>0</v>
      </c>
    </row>
    <row r="17" spans="1:9">
      <c r="A17" s="391" t="s">
        <v>542</v>
      </c>
      <c r="B17" s="382" t="s">
        <v>543</v>
      </c>
      <c r="C17" s="392">
        <v>10475</v>
      </c>
      <c r="D17" s="393">
        <f>CHOOSE((C17&lt;&gt;0)+1,"  -",(E17-C17)/C17)</f>
        <v>-0.89737470167064437</v>
      </c>
      <c r="E17" s="392">
        <v>1075</v>
      </c>
      <c r="F17" s="393">
        <f t="shared" si="1"/>
        <v>3.7367441860465118</v>
      </c>
      <c r="G17" s="392">
        <v>5092</v>
      </c>
      <c r="H17" s="393">
        <f>CHOOSE((G17&lt;&gt;0)+1,"  -",(I17-G17)/G17)</f>
        <v>-0.2945797329143755</v>
      </c>
      <c r="I17" s="394">
        <v>3592</v>
      </c>
    </row>
    <row r="18" spans="1:9">
      <c r="A18" s="391">
        <v>389</v>
      </c>
      <c r="B18" s="382" t="s">
        <v>7</v>
      </c>
      <c r="C18" s="392"/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231882</v>
      </c>
      <c r="D19" s="393">
        <f t="shared" ref="D19:D27" si="3">CHOOSE((C19&lt;&gt;0)+1,"  -",(E19-C19)/C19)</f>
        <v>-0.33447184343761049</v>
      </c>
      <c r="E19" s="397">
        <v>154324</v>
      </c>
      <c r="F19" s="393">
        <f t="shared" si="1"/>
        <v>-8.7219097483217135E-3</v>
      </c>
      <c r="G19" s="397">
        <v>152978</v>
      </c>
      <c r="H19" s="393">
        <f t="shared" ref="H19:H27" si="4">CHOOSE((G19&lt;&gt;0)+1,"  -",(I19-G19)/G19)</f>
        <v>1.2943037560956478E-3</v>
      </c>
      <c r="I19" s="398">
        <v>153176</v>
      </c>
    </row>
    <row r="20" spans="1:9">
      <c r="A20" s="399" t="s">
        <v>546</v>
      </c>
      <c r="B20" s="400" t="s">
        <v>547</v>
      </c>
      <c r="C20" s="401">
        <f>C19+C18+C17+C10+C9+C8+C7+C5+C4</f>
        <v>2480852</v>
      </c>
      <c r="D20" s="402">
        <f t="shared" si="3"/>
        <v>-1.7443200964829826E-2</v>
      </c>
      <c r="E20" s="401">
        <f>E19+E18+E17+E10+E9+E8+E7+E5+E4</f>
        <v>2437578</v>
      </c>
      <c r="F20" s="402">
        <f t="shared" si="1"/>
        <v>2.1134092939795159E-2</v>
      </c>
      <c r="G20" s="401">
        <f>G19+G18+G17+G10+G9+G8+G7+G5+G4</f>
        <v>2489094</v>
      </c>
      <c r="H20" s="402">
        <f t="shared" si="4"/>
        <v>-1.0421462588395616E-2</v>
      </c>
      <c r="I20" s="434">
        <f>I19+I18+I17+I10+I9+I8+I7+I5+I4</f>
        <v>2463154</v>
      </c>
    </row>
    <row r="21" spans="1:9">
      <c r="A21" s="403" t="s">
        <v>548</v>
      </c>
      <c r="B21" s="404" t="s">
        <v>549</v>
      </c>
      <c r="C21" s="388">
        <v>602345</v>
      </c>
      <c r="D21" s="393">
        <f t="shared" si="3"/>
        <v>-7.8352107181100528E-2</v>
      </c>
      <c r="E21" s="388">
        <v>555150</v>
      </c>
      <c r="F21" s="393">
        <f t="shared" si="1"/>
        <v>3.2398450869134468E-2</v>
      </c>
      <c r="G21" s="388">
        <v>573136</v>
      </c>
      <c r="H21" s="393">
        <f t="shared" si="4"/>
        <v>1.7692135897936965E-3</v>
      </c>
      <c r="I21" s="390">
        <v>574150</v>
      </c>
    </row>
    <row r="22" spans="1:9">
      <c r="A22" s="405" t="s">
        <v>550</v>
      </c>
      <c r="B22" s="378" t="s">
        <v>551</v>
      </c>
      <c r="C22" s="392">
        <v>85944</v>
      </c>
      <c r="D22" s="393">
        <f t="shared" si="3"/>
        <v>0.447163269105464</v>
      </c>
      <c r="E22" s="392">
        <v>124375</v>
      </c>
      <c r="F22" s="393">
        <f t="shared" si="1"/>
        <v>5.6168844221105525E-2</v>
      </c>
      <c r="G22" s="392">
        <v>131361</v>
      </c>
      <c r="H22" s="393">
        <f t="shared" si="4"/>
        <v>-7.6963482312101764E-3</v>
      </c>
      <c r="I22" s="394">
        <v>130350</v>
      </c>
    </row>
    <row r="23" spans="1:9">
      <c r="A23" s="405" t="s">
        <v>552</v>
      </c>
      <c r="B23" s="378" t="s">
        <v>553</v>
      </c>
      <c r="C23" s="392">
        <v>121410</v>
      </c>
      <c r="D23" s="393">
        <f t="shared" si="3"/>
        <v>-0.17080141668725804</v>
      </c>
      <c r="E23" s="392">
        <v>100673</v>
      </c>
      <c r="F23" s="393">
        <f t="shared" si="1"/>
        <v>0.3734169042345018</v>
      </c>
      <c r="G23" s="392">
        <v>138266</v>
      </c>
      <c r="H23" s="393">
        <f t="shared" si="4"/>
        <v>-0.27221442726339085</v>
      </c>
      <c r="I23" s="394">
        <v>100628</v>
      </c>
    </row>
    <row r="24" spans="1:9">
      <c r="A24" s="405" t="s">
        <v>554</v>
      </c>
      <c r="B24" s="378" t="s">
        <v>555</v>
      </c>
      <c r="C24" s="392">
        <v>261176</v>
      </c>
      <c r="D24" s="393">
        <f t="shared" si="3"/>
        <v>-0.135402946671976</v>
      </c>
      <c r="E24" s="392">
        <v>225812</v>
      </c>
      <c r="F24" s="393">
        <f t="shared" si="1"/>
        <v>0.1633128443129683</v>
      </c>
      <c r="G24" s="392">
        <v>262690</v>
      </c>
      <c r="H24" s="393">
        <f t="shared" si="4"/>
        <v>-8.8145723095664097E-2</v>
      </c>
      <c r="I24" s="394">
        <v>239535</v>
      </c>
    </row>
    <row r="25" spans="1:9">
      <c r="A25" s="405" t="s">
        <v>556</v>
      </c>
      <c r="B25" s="378" t="s">
        <v>557</v>
      </c>
      <c r="C25" s="392">
        <v>1191849</v>
      </c>
      <c r="D25" s="393">
        <f t="shared" si="3"/>
        <v>-1.9537709894458105E-2</v>
      </c>
      <c r="E25" s="392">
        <v>1168563</v>
      </c>
      <c r="F25" s="393">
        <f t="shared" si="1"/>
        <v>5.745518213395427E-3</v>
      </c>
      <c r="G25" s="392">
        <v>1175277</v>
      </c>
      <c r="H25" s="393">
        <f t="shared" si="4"/>
        <v>-1.7286988514197077E-2</v>
      </c>
      <c r="I25" s="394">
        <v>1154960</v>
      </c>
    </row>
    <row r="26" spans="1:9">
      <c r="A26" s="406" t="s">
        <v>558</v>
      </c>
      <c r="B26" s="378" t="s">
        <v>559</v>
      </c>
      <c r="C26" s="392">
        <v>29994</v>
      </c>
      <c r="D26" s="393">
        <f t="shared" si="3"/>
        <v>0.87260785490431425</v>
      </c>
      <c r="E26" s="392">
        <v>56167</v>
      </c>
      <c r="F26" s="393">
        <f t="shared" si="1"/>
        <v>-0.61119518578524756</v>
      </c>
      <c r="G26" s="392">
        <v>21838</v>
      </c>
      <c r="H26" s="393">
        <f t="shared" si="4"/>
        <v>1.378697682937998</v>
      </c>
      <c r="I26" s="394">
        <v>51946</v>
      </c>
    </row>
    <row r="27" spans="1:9">
      <c r="A27" s="407">
        <v>489</v>
      </c>
      <c r="B27" s="378" t="s">
        <v>18</v>
      </c>
      <c r="C27" s="392"/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231882</v>
      </c>
      <c r="D28" s="393">
        <f>CHOOSE((C28&lt;&gt;0)+1,"  -",(E28-C28)/C28)</f>
        <v>-0.33447184343761049</v>
      </c>
      <c r="E28" s="397">
        <v>154324</v>
      </c>
      <c r="F28" s="393">
        <f>CHOOSE((E28&lt;&gt;0)+1,"  -",(G28-E28)/E28)</f>
        <v>-8.7219097483217135E-3</v>
      </c>
      <c r="G28" s="397">
        <v>152978</v>
      </c>
      <c r="H28" s="393">
        <f>CHOOSE((G28&lt;&gt;0)+1,"  -",(I28-G28)/G28)</f>
        <v>1.2943037560956478E-3</v>
      </c>
      <c r="I28" s="398">
        <v>153176</v>
      </c>
    </row>
    <row r="29" spans="1:9">
      <c r="A29" s="410" t="s">
        <v>562</v>
      </c>
      <c r="B29" s="411" t="s">
        <v>563</v>
      </c>
      <c r="C29" s="401">
        <f t="shared" ref="C29" si="5">SUM(C21:C28)</f>
        <v>2524600</v>
      </c>
      <c r="D29" s="412">
        <f>CHOOSE((C29&lt;&gt;0)+1,"  -",(E29-C29)/C29)</f>
        <v>-5.5270537906995168E-2</v>
      </c>
      <c r="E29" s="401">
        <f t="shared" ref="E29" si="6">SUM(E21:E28)</f>
        <v>2385064</v>
      </c>
      <c r="F29" s="413">
        <f>CHOOSE((E29&lt;&gt;0)+1,"  -",(G29-E29)/E29)</f>
        <v>2.9551408264096895E-2</v>
      </c>
      <c r="G29" s="401">
        <f t="shared" ref="G29" si="7">SUM(G21:G28)</f>
        <v>2455546</v>
      </c>
      <c r="H29" s="412">
        <f>CHOOSE((G29&lt;&gt;0)+1,"  -",(I29-G29)/G29)</f>
        <v>-2.0688270551641061E-2</v>
      </c>
      <c r="I29" s="434">
        <f t="shared" ref="I29" si="8">SUM(I21:I28)</f>
        <v>2404745</v>
      </c>
    </row>
    <row r="30" spans="1:9">
      <c r="A30" s="414" t="s">
        <v>564</v>
      </c>
      <c r="B30" s="415" t="s">
        <v>565</v>
      </c>
      <c r="C30" s="416">
        <f t="shared" ref="C30" si="9">C29-C20</f>
        <v>43748</v>
      </c>
      <c r="D30" s="417"/>
      <c r="E30" s="416">
        <f t="shared" ref="E30" si="10">E29-E20</f>
        <v>-52514</v>
      </c>
      <c r="F30" s="418"/>
      <c r="G30" s="416">
        <f t="shared" ref="G30" si="11">G29-G20</f>
        <v>-33548</v>
      </c>
      <c r="H30" s="417"/>
      <c r="I30" s="435">
        <f t="shared" ref="I30" si="12">I29-I20</f>
        <v>-58409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160518</v>
      </c>
      <c r="D32" s="393">
        <f t="shared" ref="D32:D42" si="13">CHOOSE((C32&lt;&gt;0)+1,"  -",(E32-C32)/C32)</f>
        <v>0.18183007513176092</v>
      </c>
      <c r="E32" s="392">
        <v>189705</v>
      </c>
      <c r="F32" s="393">
        <f t="shared" ref="F32:F42" si="14">CHOOSE((E32&lt;&gt;0)+1,"  -",(G32-E32)/E32)</f>
        <v>-0.16256292664927124</v>
      </c>
      <c r="G32" s="392">
        <v>158866</v>
      </c>
      <c r="H32" s="393">
        <f t="shared" ref="H32:H42" si="15">CHOOSE((G32&lt;&gt;0)+1,"  -",(I32-G32)/G32)</f>
        <v>0.13926201956365741</v>
      </c>
      <c r="I32" s="394">
        <v>180990</v>
      </c>
    </row>
    <row r="33" spans="1:9">
      <c r="A33" s="406" t="s">
        <v>569</v>
      </c>
      <c r="B33" s="378" t="s">
        <v>570</v>
      </c>
      <c r="C33" s="392">
        <v>3674</v>
      </c>
      <c r="D33" s="393">
        <f t="shared" si="13"/>
        <v>3.7223734349482851</v>
      </c>
      <c r="E33" s="392">
        <v>17350</v>
      </c>
      <c r="F33" s="393">
        <f t="shared" si="14"/>
        <v>-0.41319884726224781</v>
      </c>
      <c r="G33" s="392">
        <v>10181</v>
      </c>
      <c r="H33" s="393">
        <f t="shared" si="15"/>
        <v>0.77762498772222766</v>
      </c>
      <c r="I33" s="394">
        <v>18098</v>
      </c>
    </row>
    <row r="34" spans="1:9">
      <c r="A34" s="405" t="s">
        <v>571</v>
      </c>
      <c r="B34" s="378" t="s">
        <v>572</v>
      </c>
      <c r="C34" s="392">
        <v>200616</v>
      </c>
      <c r="D34" s="393">
        <f t="shared" si="13"/>
        <v>-5.5194999401842325E-2</v>
      </c>
      <c r="E34" s="392">
        <v>189543</v>
      </c>
      <c r="F34" s="393">
        <f t="shared" si="14"/>
        <v>7.7148720870725898E-2</v>
      </c>
      <c r="G34" s="392">
        <v>204166</v>
      </c>
      <c r="H34" s="393">
        <f t="shared" si="15"/>
        <v>2.0831088428043848E-2</v>
      </c>
      <c r="I34" s="394">
        <v>208419</v>
      </c>
    </row>
    <row r="35" spans="1:9">
      <c r="A35" s="410" t="s">
        <v>573</v>
      </c>
      <c r="B35" s="411" t="s">
        <v>574</v>
      </c>
      <c r="C35" s="401">
        <f t="shared" ref="C35" si="16">SUM(C32:C34)</f>
        <v>364808</v>
      </c>
      <c r="D35" s="412">
        <f t="shared" si="13"/>
        <v>8.7141729348040611E-2</v>
      </c>
      <c r="E35" s="401">
        <f t="shared" ref="E35" si="17">SUM(E32:E34)</f>
        <v>396598</v>
      </c>
      <c r="F35" s="412">
        <f t="shared" si="14"/>
        <v>-5.8963988724098457E-2</v>
      </c>
      <c r="G35" s="401">
        <f t="shared" ref="G35" si="18">SUM(G32:G34)</f>
        <v>373213</v>
      </c>
      <c r="H35" s="412">
        <f t="shared" si="15"/>
        <v>9.1888546218915207E-2</v>
      </c>
      <c r="I35" s="434">
        <f t="shared" ref="I35" si="19">SUM(I32:I34)</f>
        <v>407507</v>
      </c>
    </row>
    <row r="36" spans="1:9">
      <c r="A36" s="405" t="s">
        <v>575</v>
      </c>
      <c r="B36" s="378" t="s">
        <v>576</v>
      </c>
      <c r="C36" s="392">
        <v>0</v>
      </c>
      <c r="D36" s="393" t="str">
        <f t="shared" si="13"/>
        <v xml:space="preserve">  -</v>
      </c>
      <c r="E36" s="392">
        <v>0</v>
      </c>
      <c r="F36" s="393" t="str">
        <f t="shared" si="14"/>
        <v xml:space="preserve">  -</v>
      </c>
      <c r="G36" s="392">
        <v>1361</v>
      </c>
      <c r="H36" s="393">
        <f t="shared" si="15"/>
        <v>-1</v>
      </c>
      <c r="I36" s="394">
        <v>0</v>
      </c>
    </row>
    <row r="37" spans="1:9">
      <c r="A37" s="405" t="s">
        <v>577</v>
      </c>
      <c r="B37" s="378" t="s">
        <v>578</v>
      </c>
      <c r="C37" s="392">
        <v>190245</v>
      </c>
      <c r="D37" s="393">
        <f t="shared" si="13"/>
        <v>-7.2064968855948906E-3</v>
      </c>
      <c r="E37" s="392">
        <v>188874</v>
      </c>
      <c r="F37" s="393">
        <f t="shared" si="14"/>
        <v>0.11743808041339729</v>
      </c>
      <c r="G37" s="392">
        <v>211055</v>
      </c>
      <c r="H37" s="393">
        <f t="shared" si="15"/>
        <v>2.3301982895453793E-2</v>
      </c>
      <c r="I37" s="394">
        <v>215973</v>
      </c>
    </row>
    <row r="38" spans="1:9">
      <c r="A38" s="410" t="s">
        <v>579</v>
      </c>
      <c r="B38" s="411" t="s">
        <v>580</v>
      </c>
      <c r="C38" s="401">
        <f t="shared" ref="C38" si="20">SUM(C36:C37)</f>
        <v>190245</v>
      </c>
      <c r="D38" s="412">
        <f t="shared" si="13"/>
        <v>-7.2064968855948906E-3</v>
      </c>
      <c r="E38" s="401">
        <f t="shared" ref="E38" si="21">SUM(E36:E37)</f>
        <v>188874</v>
      </c>
      <c r="F38" s="412">
        <f t="shared" si="14"/>
        <v>0.12464394252252825</v>
      </c>
      <c r="G38" s="401">
        <f t="shared" ref="G38" si="22">SUM(G36:G37)</f>
        <v>212416</v>
      </c>
      <c r="H38" s="412">
        <f t="shared" si="15"/>
        <v>1.6745442904489306E-2</v>
      </c>
      <c r="I38" s="434">
        <f t="shared" ref="I38" si="23">SUM(I36:I37)</f>
        <v>215973</v>
      </c>
    </row>
    <row r="39" spans="1:9">
      <c r="A39" s="423" t="s">
        <v>581</v>
      </c>
      <c r="B39" s="424" t="s">
        <v>145</v>
      </c>
      <c r="C39" s="425">
        <f t="shared" ref="C39" si="24">C35-C38</f>
        <v>174563</v>
      </c>
      <c r="D39" s="426">
        <f t="shared" si="13"/>
        <v>0.18996580031278107</v>
      </c>
      <c r="E39" s="425">
        <f t="shared" ref="E39" si="25">E35-E38</f>
        <v>207724</v>
      </c>
      <c r="F39" s="426">
        <f t="shared" si="14"/>
        <v>-0.22591034256994857</v>
      </c>
      <c r="G39" s="425">
        <f t="shared" ref="G39" si="26">G35-G38</f>
        <v>160797</v>
      </c>
      <c r="H39" s="426">
        <f t="shared" si="15"/>
        <v>0.19115406381959862</v>
      </c>
      <c r="I39" s="436">
        <f t="shared" ref="I39" si="27">I35-I38</f>
        <v>191534</v>
      </c>
    </row>
    <row r="40" spans="1:9">
      <c r="A40" s="377" t="s">
        <v>582</v>
      </c>
      <c r="B40" s="378" t="s">
        <v>153</v>
      </c>
      <c r="C40" s="392">
        <f>C9+C30+C18-C27</f>
        <v>208670</v>
      </c>
      <c r="D40" s="393">
        <f t="shared" si="13"/>
        <v>-0.45847989648727655</v>
      </c>
      <c r="E40" s="392">
        <f>E9+E30+E18-E27</f>
        <v>112999</v>
      </c>
      <c r="F40" s="393">
        <f t="shared" si="14"/>
        <v>8.0381242311878862E-2</v>
      </c>
      <c r="G40" s="392">
        <f>G9+G30+G18-G27</f>
        <v>122082</v>
      </c>
      <c r="H40" s="393">
        <f t="shared" si="15"/>
        <v>-1.7930571255385726E-2</v>
      </c>
      <c r="I40" s="394">
        <f>I9+I30+I18-I27</f>
        <v>119893</v>
      </c>
    </row>
    <row r="41" spans="1:9">
      <c r="A41" s="377" t="s">
        <v>582</v>
      </c>
      <c r="B41" s="378" t="s">
        <v>583</v>
      </c>
      <c r="C41" s="392">
        <f t="shared" ref="C41" si="28">C40-C39</f>
        <v>34107</v>
      </c>
      <c r="D41" s="393">
        <f t="shared" si="13"/>
        <v>-3.7772891195355793</v>
      </c>
      <c r="E41" s="392">
        <f t="shared" ref="E41" si="29">E40-E39</f>
        <v>-94725</v>
      </c>
      <c r="F41" s="393">
        <f t="shared" si="14"/>
        <v>-0.59129057798891527</v>
      </c>
      <c r="G41" s="392">
        <f t="shared" ref="G41" si="30">G40-G39</f>
        <v>-38715</v>
      </c>
      <c r="H41" s="393">
        <f t="shared" si="15"/>
        <v>0.85047139351672474</v>
      </c>
      <c r="I41" s="394">
        <f t="shared" ref="I41" si="31">I40-I39</f>
        <v>-71641</v>
      </c>
    </row>
    <row r="42" spans="1:9">
      <c r="A42" s="427" t="s">
        <v>582</v>
      </c>
      <c r="B42" s="409" t="s">
        <v>584</v>
      </c>
      <c r="C42" s="397">
        <f>C35+C20-C8-C9-C17-C18-C19</f>
        <v>2429270</v>
      </c>
      <c r="D42" s="428">
        <f t="shared" si="13"/>
        <v>3.4573760841734351E-2</v>
      </c>
      <c r="E42" s="397">
        <f>E35+E20-E8-E9-E17-E18-E19</f>
        <v>2513259</v>
      </c>
      <c r="F42" s="428">
        <f t="shared" si="14"/>
        <v>-2.6908090252536647E-2</v>
      </c>
      <c r="G42" s="397">
        <f>G35+G20-G8-G9-G17-G18-G19</f>
        <v>2445632</v>
      </c>
      <c r="H42" s="428">
        <f t="shared" si="15"/>
        <v>3.6742649752701959E-2</v>
      </c>
      <c r="I42" s="398">
        <f>I35+I20-I8-I9-I17-I18-I19</f>
        <v>2535491</v>
      </c>
    </row>
    <row r="43" spans="1:9">
      <c r="A43" s="427"/>
      <c r="B43" s="409" t="s">
        <v>585</v>
      </c>
      <c r="C43" s="429">
        <f t="shared" ref="C43" si="32">C40/C39</f>
        <v>1.1953850472322314</v>
      </c>
      <c r="D43" s="430"/>
      <c r="E43" s="429">
        <f t="shared" ref="E43" si="33">E40/E39</f>
        <v>0.54398625098688647</v>
      </c>
      <c r="F43" s="430"/>
      <c r="G43" s="429">
        <f t="shared" ref="G43" si="34">G40/G39</f>
        <v>0.75923058266012422</v>
      </c>
      <c r="H43" s="430"/>
      <c r="I43" s="437">
        <f t="shared" ref="I43" si="35">I40/I39</f>
        <v>0.62596197019850264</v>
      </c>
    </row>
    <row r="44" spans="1:9">
      <c r="A44" s="378"/>
      <c r="B44" s="378"/>
      <c r="C44" s="378"/>
      <c r="D44" s="431"/>
      <c r="E44" s="432"/>
      <c r="F44" s="380"/>
      <c r="G44" s="378"/>
      <c r="H44" s="380"/>
      <c r="I44" s="378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AY186"/>
  <sheetViews>
    <sheetView view="pageLayout" zoomScaleNormal="115" workbookViewId="0"/>
  </sheetViews>
  <sheetFormatPr baseColWidth="10" defaultColWidth="11.5" defaultRowHeight="13"/>
  <cols>
    <col min="1" max="1" width="14.6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1" s="2" customFormat="1" ht="18" customHeight="1">
      <c r="A1" s="43" t="s">
        <v>3</v>
      </c>
      <c r="B1" s="44" t="s">
        <v>222</v>
      </c>
      <c r="C1" s="44" t="s">
        <v>223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1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1" s="62" customFormat="1" ht="12.75" customHeight="1">
      <c r="A4" s="148">
        <v>30</v>
      </c>
      <c r="B4" s="96"/>
      <c r="C4" s="97" t="s">
        <v>1</v>
      </c>
      <c r="D4" s="98"/>
      <c r="E4" s="100">
        <v>358527</v>
      </c>
      <c r="F4" s="98">
        <v>349404</v>
      </c>
      <c r="G4" s="100">
        <v>360182</v>
      </c>
    </row>
    <row r="5" spans="1:51" s="62" customFormat="1" ht="12.75" customHeight="1">
      <c r="A5" s="101">
        <v>31</v>
      </c>
      <c r="B5" s="102"/>
      <c r="C5" s="103" t="s">
        <v>4</v>
      </c>
      <c r="D5" s="105"/>
      <c r="E5" s="106">
        <v>316093</v>
      </c>
      <c r="F5" s="105">
        <v>297473</v>
      </c>
      <c r="G5" s="106">
        <v>307956</v>
      </c>
    </row>
    <row r="6" spans="1:51" s="62" customFormat="1" ht="12.75" customHeight="1">
      <c r="A6" s="107" t="s">
        <v>229</v>
      </c>
      <c r="B6" s="108"/>
      <c r="C6" s="109" t="s">
        <v>230</v>
      </c>
      <c r="D6" s="150"/>
      <c r="E6" s="155">
        <v>126406</v>
      </c>
      <c r="F6" s="150">
        <v>125638</v>
      </c>
      <c r="G6" s="155">
        <v>117956</v>
      </c>
    </row>
    <row r="7" spans="1:51" s="62" customFormat="1" ht="12.75" customHeight="1">
      <c r="A7" s="107" t="s">
        <v>371</v>
      </c>
      <c r="B7" s="108"/>
      <c r="C7" s="109" t="s">
        <v>372</v>
      </c>
      <c r="D7" s="150"/>
      <c r="E7" s="155">
        <v>8229</v>
      </c>
      <c r="F7" s="150">
        <v>347</v>
      </c>
      <c r="G7" s="155">
        <v>0</v>
      </c>
    </row>
    <row r="8" spans="1:51" s="62" customFormat="1" ht="12.75" customHeight="1">
      <c r="A8" s="145">
        <v>330</v>
      </c>
      <c r="B8" s="102"/>
      <c r="C8" s="103" t="s">
        <v>231</v>
      </c>
      <c r="D8" s="105"/>
      <c r="E8" s="113">
        <v>81952</v>
      </c>
      <c r="F8" s="105">
        <v>69700</v>
      </c>
      <c r="G8" s="113">
        <v>77981</v>
      </c>
    </row>
    <row r="9" spans="1:51" s="62" customFormat="1" ht="12.75" customHeight="1">
      <c r="A9" s="145">
        <v>332</v>
      </c>
      <c r="B9" s="102"/>
      <c r="C9" s="103" t="s">
        <v>232</v>
      </c>
      <c r="D9" s="105"/>
      <c r="E9" s="113">
        <v>3286</v>
      </c>
      <c r="F9" s="105">
        <v>4102</v>
      </c>
      <c r="G9" s="113">
        <v>5707</v>
      </c>
    </row>
    <row r="10" spans="1:51" s="62" customFormat="1" ht="12.75" customHeight="1">
      <c r="A10" s="145">
        <v>339</v>
      </c>
      <c r="B10" s="102"/>
      <c r="C10" s="103" t="s">
        <v>233</v>
      </c>
      <c r="D10" s="105">
        <v>0</v>
      </c>
      <c r="E10" s="113"/>
      <c r="F10" s="105">
        <v>0</v>
      </c>
      <c r="G10" s="113">
        <v>0</v>
      </c>
    </row>
    <row r="11" spans="1:51" s="62" customFormat="1" ht="12.75" customHeight="1">
      <c r="A11" s="101">
        <v>350</v>
      </c>
      <c r="B11" s="102"/>
      <c r="C11" s="103" t="s">
        <v>234</v>
      </c>
      <c r="D11" s="105"/>
      <c r="E11" s="113">
        <v>591</v>
      </c>
      <c r="F11" s="105">
        <v>3380</v>
      </c>
      <c r="G11" s="113">
        <v>287</v>
      </c>
    </row>
    <row r="12" spans="1:51" s="63" customFormat="1" ht="14">
      <c r="A12" s="114">
        <v>351</v>
      </c>
      <c r="B12" s="115"/>
      <c r="C12" s="116" t="s">
        <v>272</v>
      </c>
      <c r="D12" s="119"/>
      <c r="E12" s="296">
        <v>484</v>
      </c>
      <c r="F12" s="119">
        <v>1712</v>
      </c>
      <c r="G12" s="296">
        <v>3305</v>
      </c>
    </row>
    <row r="13" spans="1:51" s="62" customFormat="1" ht="12.75" customHeight="1">
      <c r="A13" s="101">
        <v>36</v>
      </c>
      <c r="B13" s="102"/>
      <c r="C13" s="103" t="s">
        <v>5</v>
      </c>
      <c r="D13" s="150"/>
      <c r="E13" s="113">
        <v>1130122</v>
      </c>
      <c r="F13" s="113">
        <v>1110513</v>
      </c>
      <c r="G13" s="113">
        <v>1161182</v>
      </c>
    </row>
    <row r="14" spans="1:51" s="62" customFormat="1" ht="12.75" customHeight="1">
      <c r="A14" s="121" t="s">
        <v>173</v>
      </c>
      <c r="B14" s="102"/>
      <c r="C14" s="122" t="s">
        <v>174</v>
      </c>
      <c r="D14" s="150"/>
      <c r="E14" s="113">
        <v>253275</v>
      </c>
      <c r="F14" s="150">
        <v>275274</v>
      </c>
      <c r="G14" s="113">
        <v>269895</v>
      </c>
    </row>
    <row r="15" spans="1:51" s="62" customFormat="1" ht="12.75" customHeight="1">
      <c r="A15" s="121" t="s">
        <v>175</v>
      </c>
      <c r="B15" s="102"/>
      <c r="C15" s="122" t="s">
        <v>176</v>
      </c>
      <c r="D15" s="150"/>
      <c r="E15" s="113">
        <v>19909</v>
      </c>
      <c r="F15" s="150">
        <v>13442</v>
      </c>
      <c r="G15" s="113">
        <v>15195</v>
      </c>
    </row>
    <row r="16" spans="1:51" s="64" customFormat="1" ht="26.25" customHeight="1">
      <c r="A16" s="121" t="s">
        <v>146</v>
      </c>
      <c r="B16" s="123"/>
      <c r="C16" s="122" t="s">
        <v>148</v>
      </c>
      <c r="D16" s="125"/>
      <c r="E16" s="127">
        <v>80275</v>
      </c>
      <c r="F16" s="125">
        <v>81828</v>
      </c>
      <c r="G16" s="127">
        <v>94614</v>
      </c>
    </row>
    <row r="17" spans="1:7" s="65" customFormat="1">
      <c r="A17" s="101">
        <v>37</v>
      </c>
      <c r="B17" s="102"/>
      <c r="C17" s="103" t="s">
        <v>6</v>
      </c>
      <c r="D17" s="128"/>
      <c r="E17" s="157">
        <v>388137</v>
      </c>
      <c r="F17" s="128">
        <v>394104</v>
      </c>
      <c r="G17" s="157">
        <v>390927</v>
      </c>
    </row>
    <row r="18" spans="1:7" s="65" customFormat="1">
      <c r="A18" s="112" t="s">
        <v>196</v>
      </c>
      <c r="B18" s="108"/>
      <c r="C18" s="109" t="s">
        <v>197</v>
      </c>
      <c r="D18" s="129"/>
      <c r="E18" s="157">
        <v>163000</v>
      </c>
      <c r="F18" s="129">
        <v>174670</v>
      </c>
      <c r="G18" s="157">
        <v>159000</v>
      </c>
    </row>
    <row r="19" spans="1:7" s="65" customFormat="1">
      <c r="A19" s="112" t="s">
        <v>198</v>
      </c>
      <c r="B19" s="108"/>
      <c r="C19" s="109" t="s">
        <v>199</v>
      </c>
      <c r="D19" s="129"/>
      <c r="E19" s="157">
        <v>200396</v>
      </c>
      <c r="F19" s="129">
        <v>195898</v>
      </c>
      <c r="G19" s="157">
        <v>206810</v>
      </c>
    </row>
    <row r="20" spans="1:7" s="62" customFormat="1" ht="12.75" customHeight="1">
      <c r="A20" s="131">
        <v>39</v>
      </c>
      <c r="B20" s="132"/>
      <c r="C20" s="133" t="s">
        <v>8</v>
      </c>
      <c r="D20" s="135">
        <v>0</v>
      </c>
      <c r="E20" s="159">
        <v>154324</v>
      </c>
      <c r="F20" s="135">
        <v>152978</v>
      </c>
      <c r="G20" s="159">
        <v>153176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0</v>
      </c>
      <c r="E21" s="15">
        <f t="shared" si="0"/>
        <v>2279192</v>
      </c>
      <c r="F21" s="15">
        <f t="shared" ref="F21:G21" si="1">F4+F5+SUM(F8:F13)+F17</f>
        <v>2230388</v>
      </c>
      <c r="G21" s="15">
        <f t="shared" si="1"/>
        <v>2307527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05"/>
      <c r="E22" s="141">
        <v>555150</v>
      </c>
      <c r="F22" s="105">
        <v>573136</v>
      </c>
      <c r="G22" s="113">
        <v>574150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05"/>
      <c r="E23" s="141">
        <v>124375</v>
      </c>
      <c r="F23" s="105">
        <v>131361</v>
      </c>
      <c r="G23" s="113">
        <v>130350</v>
      </c>
    </row>
    <row r="24" spans="1:7" s="67" customFormat="1" ht="12.75" customHeight="1">
      <c r="A24" s="101">
        <v>41</v>
      </c>
      <c r="B24" s="102"/>
      <c r="C24" s="103" t="s">
        <v>9</v>
      </c>
      <c r="D24" s="105"/>
      <c r="E24" s="141">
        <v>67960</v>
      </c>
      <c r="F24" s="105">
        <v>84428</v>
      </c>
      <c r="G24" s="113">
        <v>80022</v>
      </c>
    </row>
    <row r="25" spans="1:7" s="62" customFormat="1" ht="12.75" customHeight="1">
      <c r="A25" s="161">
        <v>42</v>
      </c>
      <c r="B25" s="162"/>
      <c r="C25" s="103" t="s">
        <v>10</v>
      </c>
      <c r="D25" s="105"/>
      <c r="E25" s="141">
        <v>153350</v>
      </c>
      <c r="F25" s="105">
        <v>173139</v>
      </c>
      <c r="G25" s="113">
        <v>154779</v>
      </c>
    </row>
    <row r="26" spans="1:7" s="68" customFormat="1" ht="12.75" customHeight="1">
      <c r="A26" s="114">
        <v>430</v>
      </c>
      <c r="B26" s="102"/>
      <c r="C26" s="103" t="s">
        <v>11</v>
      </c>
      <c r="D26" s="128"/>
      <c r="E26" s="144">
        <v>1952</v>
      </c>
      <c r="F26" s="128">
        <v>2799</v>
      </c>
      <c r="G26" s="157">
        <v>2360</v>
      </c>
    </row>
    <row r="27" spans="1:7" s="68" customFormat="1" ht="12.75" customHeight="1">
      <c r="A27" s="114">
        <v>431</v>
      </c>
      <c r="B27" s="102"/>
      <c r="C27" s="103" t="s">
        <v>377</v>
      </c>
      <c r="D27" s="128"/>
      <c r="E27" s="144">
        <v>1696</v>
      </c>
      <c r="F27" s="128">
        <v>1296</v>
      </c>
      <c r="G27" s="157">
        <v>1500</v>
      </c>
    </row>
    <row r="28" spans="1:7" s="68" customFormat="1" ht="12.75" customHeight="1">
      <c r="A28" s="114">
        <v>432</v>
      </c>
      <c r="B28" s="102"/>
      <c r="C28" s="103" t="s">
        <v>378</v>
      </c>
      <c r="D28" s="128"/>
      <c r="E28" s="144">
        <v>0</v>
      </c>
      <c r="F28" s="128"/>
      <c r="G28" s="157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128"/>
      <c r="E29" s="144">
        <v>854</v>
      </c>
      <c r="F29" s="128">
        <v>1028</v>
      </c>
      <c r="G29" s="157">
        <v>874</v>
      </c>
    </row>
    <row r="30" spans="1:7" s="62" customFormat="1" ht="14">
      <c r="A30" s="114">
        <v>450</v>
      </c>
      <c r="B30" s="115"/>
      <c r="C30" s="116" t="s">
        <v>271</v>
      </c>
      <c r="D30" s="104">
        <v>0</v>
      </c>
      <c r="E30" s="106">
        <v>2209</v>
      </c>
      <c r="F30" s="104">
        <v>708</v>
      </c>
      <c r="G30" s="106">
        <v>1691</v>
      </c>
    </row>
    <row r="31" spans="1:7" s="63" customFormat="1" ht="14">
      <c r="A31" s="114">
        <v>451</v>
      </c>
      <c r="B31" s="115"/>
      <c r="C31" s="116" t="s">
        <v>14</v>
      </c>
      <c r="D31" s="117"/>
      <c r="E31" s="141">
        <v>53958</v>
      </c>
      <c r="F31" s="113">
        <v>21130</v>
      </c>
      <c r="G31" s="113">
        <v>50255</v>
      </c>
    </row>
    <row r="32" spans="1:7" s="69" customFormat="1" ht="12.75" customHeight="1">
      <c r="A32" s="101">
        <v>46</v>
      </c>
      <c r="B32" s="102"/>
      <c r="C32" s="103" t="s">
        <v>15</v>
      </c>
      <c r="D32" s="163"/>
      <c r="E32" s="141">
        <v>780426</v>
      </c>
      <c r="F32" s="105">
        <v>781173</v>
      </c>
      <c r="G32" s="113">
        <v>764033</v>
      </c>
    </row>
    <row r="33" spans="1:7" s="63" customFormat="1" ht="12.75" customHeight="1">
      <c r="A33" s="112" t="s">
        <v>16</v>
      </c>
      <c r="B33" s="108"/>
      <c r="C33" s="109" t="s">
        <v>17</v>
      </c>
      <c r="D33" s="150"/>
      <c r="E33" s="143">
        <v>0</v>
      </c>
      <c r="F33" s="150">
        <v>0</v>
      </c>
      <c r="G33" s="155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05"/>
      <c r="E34" s="141">
        <v>388137</v>
      </c>
      <c r="F34" s="105">
        <v>394104</v>
      </c>
      <c r="G34" s="113">
        <v>390927</v>
      </c>
    </row>
    <row r="35" spans="1:7" s="62" customFormat="1" ht="15" customHeight="1">
      <c r="A35" s="131">
        <v>49</v>
      </c>
      <c r="B35" s="132"/>
      <c r="C35" s="133" t="s">
        <v>26</v>
      </c>
      <c r="D35" s="135"/>
      <c r="E35" s="147">
        <v>154324</v>
      </c>
      <c r="F35" s="135">
        <v>152978</v>
      </c>
      <c r="G35" s="159">
        <v>153176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0</v>
      </c>
      <c r="E36" s="15">
        <f t="shared" si="2"/>
        <v>2130067</v>
      </c>
      <c r="F36" s="15">
        <f t="shared" ref="F36:G36" si="3">F22+F23+F24+F25+F26+F27+F28+F29+F30+F31+F32+F34</f>
        <v>2164302</v>
      </c>
      <c r="G36" s="15">
        <f t="shared" si="3"/>
        <v>2150941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0</v>
      </c>
      <c r="E37" s="16">
        <f t="shared" si="4"/>
        <v>-149125</v>
      </c>
      <c r="F37" s="16">
        <f t="shared" ref="F37:G37" si="5">F36-F21</f>
        <v>-66086</v>
      </c>
      <c r="G37" s="16">
        <f t="shared" si="5"/>
        <v>-156586</v>
      </c>
    </row>
    <row r="38" spans="1:7" s="63" customFormat="1" ht="15" customHeight="1">
      <c r="A38" s="145">
        <v>340</v>
      </c>
      <c r="B38" s="102"/>
      <c r="C38" s="103" t="s">
        <v>78</v>
      </c>
      <c r="D38" s="105"/>
      <c r="E38" s="141">
        <v>2482</v>
      </c>
      <c r="F38" s="105">
        <v>2402</v>
      </c>
      <c r="G38" s="113">
        <v>1491</v>
      </c>
    </row>
    <row r="39" spans="1:7" s="63" customFormat="1" ht="15" customHeight="1">
      <c r="A39" s="145">
        <v>341</v>
      </c>
      <c r="B39" s="102"/>
      <c r="C39" s="103" t="s">
        <v>237</v>
      </c>
      <c r="D39" s="105"/>
      <c r="E39" s="141">
        <v>5</v>
      </c>
      <c r="F39" s="105">
        <v>177</v>
      </c>
      <c r="G39" s="113">
        <v>100</v>
      </c>
    </row>
    <row r="40" spans="1:7" s="63" customFormat="1" ht="15" customHeight="1">
      <c r="A40" s="145">
        <v>342</v>
      </c>
      <c r="B40" s="102"/>
      <c r="C40" s="103" t="s">
        <v>238</v>
      </c>
      <c r="D40" s="105"/>
      <c r="E40" s="141">
        <v>1007</v>
      </c>
      <c r="F40" s="105">
        <v>219</v>
      </c>
      <c r="G40" s="113">
        <v>365</v>
      </c>
    </row>
    <row r="41" spans="1:7" s="63" customFormat="1" ht="15" customHeight="1">
      <c r="A41" s="145">
        <v>343</v>
      </c>
      <c r="B41" s="102"/>
      <c r="C41" s="103" t="s">
        <v>239</v>
      </c>
      <c r="D41" s="105"/>
      <c r="E41" s="141">
        <v>568</v>
      </c>
      <c r="F41" s="105">
        <v>132</v>
      </c>
      <c r="G41" s="113">
        <v>495</v>
      </c>
    </row>
    <row r="42" spans="1:7" s="63" customFormat="1" ht="15" customHeight="1">
      <c r="A42" s="145">
        <v>344</v>
      </c>
      <c r="B42" s="102"/>
      <c r="C42" s="103" t="s">
        <v>83</v>
      </c>
      <c r="D42" s="105"/>
      <c r="E42" s="141">
        <v>0</v>
      </c>
      <c r="F42" s="105">
        <v>0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05"/>
      <c r="E43" s="141">
        <v>0</v>
      </c>
      <c r="F43" s="105">
        <v>0</v>
      </c>
      <c r="G43" s="113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05"/>
      <c r="E44" s="141">
        <v>8574</v>
      </c>
      <c r="F44" s="105">
        <v>7601</v>
      </c>
      <c r="G44" s="113">
        <v>6002</v>
      </c>
    </row>
    <row r="45" spans="1:7" s="62" customFormat="1" ht="15" customHeight="1">
      <c r="A45" s="101">
        <v>441</v>
      </c>
      <c r="B45" s="102"/>
      <c r="C45" s="103" t="s">
        <v>80</v>
      </c>
      <c r="D45" s="105"/>
      <c r="E45" s="141">
        <v>0</v>
      </c>
      <c r="F45" s="105">
        <v>265</v>
      </c>
      <c r="G45" s="113">
        <v>90</v>
      </c>
    </row>
    <row r="46" spans="1:7" s="62" customFormat="1" ht="15" customHeight="1">
      <c r="A46" s="101">
        <v>442</v>
      </c>
      <c r="B46" s="102"/>
      <c r="C46" s="103" t="s">
        <v>81</v>
      </c>
      <c r="D46" s="105"/>
      <c r="E46" s="141">
        <v>16795</v>
      </c>
      <c r="F46" s="105">
        <v>22349</v>
      </c>
      <c r="G46" s="113">
        <v>19495</v>
      </c>
    </row>
    <row r="47" spans="1:7" s="62" customFormat="1" ht="15" customHeight="1">
      <c r="A47" s="101">
        <v>443</v>
      </c>
      <c r="B47" s="102"/>
      <c r="C47" s="103" t="s">
        <v>82</v>
      </c>
      <c r="D47" s="105"/>
      <c r="E47" s="141">
        <v>1892</v>
      </c>
      <c r="F47" s="105">
        <v>1441</v>
      </c>
      <c r="G47" s="113">
        <v>1571</v>
      </c>
    </row>
    <row r="48" spans="1:7" s="62" customFormat="1" ht="15" customHeight="1">
      <c r="A48" s="101">
        <v>444</v>
      </c>
      <c r="B48" s="102"/>
      <c r="C48" s="103" t="s">
        <v>83</v>
      </c>
      <c r="D48" s="105"/>
      <c r="E48" s="141">
        <v>0</v>
      </c>
      <c r="F48" s="105">
        <v>0</v>
      </c>
      <c r="G48" s="113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05"/>
      <c r="E49" s="141">
        <v>308</v>
      </c>
      <c r="F49" s="105">
        <v>3052</v>
      </c>
      <c r="G49" s="113">
        <v>281</v>
      </c>
    </row>
    <row r="50" spans="1:7" s="62" customFormat="1" ht="15" customHeight="1">
      <c r="A50" s="101">
        <v>446</v>
      </c>
      <c r="B50" s="102"/>
      <c r="C50" s="103" t="s">
        <v>85</v>
      </c>
      <c r="D50" s="105"/>
      <c r="E50" s="141">
        <v>69000</v>
      </c>
      <c r="F50" s="105">
        <v>69194</v>
      </c>
      <c r="G50" s="113">
        <v>69172</v>
      </c>
    </row>
    <row r="51" spans="1:7" s="62" customFormat="1" ht="15" customHeight="1">
      <c r="A51" s="101">
        <v>447</v>
      </c>
      <c r="B51" s="102"/>
      <c r="C51" s="103" t="s">
        <v>86</v>
      </c>
      <c r="D51" s="105"/>
      <c r="E51" s="141">
        <v>4104</v>
      </c>
      <c r="F51" s="105">
        <v>4647</v>
      </c>
      <c r="G51" s="113">
        <v>4017</v>
      </c>
    </row>
    <row r="52" spans="1:7" s="62" customFormat="1" ht="15" customHeight="1">
      <c r="A52" s="101">
        <v>448</v>
      </c>
      <c r="B52" s="102"/>
      <c r="C52" s="103" t="s">
        <v>87</v>
      </c>
      <c r="D52" s="105"/>
      <c r="E52" s="141">
        <v>0</v>
      </c>
      <c r="F52" s="105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05"/>
      <c r="E53" s="141">
        <v>0</v>
      </c>
      <c r="F53" s="105">
        <v>0</v>
      </c>
      <c r="G53" s="113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69"/>
      <c r="E54" s="171">
        <v>0</v>
      </c>
      <c r="F54" s="169">
        <v>0</v>
      </c>
      <c r="G54" s="174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0</v>
      </c>
      <c r="E55" s="15">
        <f t="shared" si="6"/>
        <v>96611</v>
      </c>
      <c r="F55" s="15">
        <f t="shared" ref="F55:G55" si="7">SUM(F44:F53)-SUM(F38:F43)</f>
        <v>105619</v>
      </c>
      <c r="G55" s="15">
        <f t="shared" si="7"/>
        <v>98177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0</v>
      </c>
      <c r="E56" s="15">
        <f t="shared" si="8"/>
        <v>-52514</v>
      </c>
      <c r="F56" s="15">
        <f t="shared" ref="F56:G56" si="9">F55+F37</f>
        <v>39533</v>
      </c>
      <c r="G56" s="15">
        <f t="shared" si="9"/>
        <v>-58409</v>
      </c>
    </row>
    <row r="57" spans="1:7" s="62" customFormat="1" ht="15.75" customHeight="1">
      <c r="A57" s="285">
        <v>380</v>
      </c>
      <c r="B57" s="286"/>
      <c r="C57" s="287" t="s">
        <v>484</v>
      </c>
      <c r="D57" s="288"/>
      <c r="E57" s="289">
        <v>0</v>
      </c>
      <c r="F57" s="288"/>
      <c r="G57" s="289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88"/>
      <c r="E58" s="289">
        <v>0</v>
      </c>
      <c r="F58" s="288"/>
      <c r="G58" s="289">
        <v>0</v>
      </c>
    </row>
    <row r="59" spans="1:7" s="63" customFormat="1" ht="14">
      <c r="A59" s="114">
        <v>383</v>
      </c>
      <c r="B59" s="115"/>
      <c r="C59" s="116" t="s">
        <v>57</v>
      </c>
      <c r="D59" s="270"/>
      <c r="E59" s="295">
        <v>0</v>
      </c>
      <c r="F59" s="270"/>
      <c r="G59" s="295">
        <v>0</v>
      </c>
    </row>
    <row r="60" spans="1:7" s="63" customFormat="1" ht="14">
      <c r="A60" s="114">
        <v>3840</v>
      </c>
      <c r="B60" s="115"/>
      <c r="C60" s="116" t="s">
        <v>241</v>
      </c>
      <c r="D60" s="118"/>
      <c r="E60" s="296">
        <v>0</v>
      </c>
      <c r="F60" s="118"/>
      <c r="G60" s="296">
        <v>0</v>
      </c>
    </row>
    <row r="61" spans="1:7" s="63" customFormat="1" ht="14">
      <c r="A61" s="114">
        <v>3841</v>
      </c>
      <c r="B61" s="115"/>
      <c r="C61" s="116" t="s">
        <v>242</v>
      </c>
      <c r="D61" s="118"/>
      <c r="E61" s="296">
        <v>0</v>
      </c>
      <c r="F61" s="118">
        <v>102798</v>
      </c>
      <c r="G61" s="296">
        <v>0</v>
      </c>
    </row>
    <row r="62" spans="1:7" s="63" customFormat="1" ht="14">
      <c r="A62" s="177">
        <v>386</v>
      </c>
      <c r="B62" s="178"/>
      <c r="C62" s="179" t="s">
        <v>243</v>
      </c>
      <c r="D62" s="118"/>
      <c r="E62" s="296">
        <v>0</v>
      </c>
      <c r="F62" s="118"/>
      <c r="G62" s="296">
        <v>0</v>
      </c>
    </row>
    <row r="63" spans="1:7" s="63" customFormat="1" ht="28">
      <c r="A63" s="114">
        <v>387</v>
      </c>
      <c r="B63" s="115"/>
      <c r="C63" s="116" t="s">
        <v>58</v>
      </c>
      <c r="D63" s="118"/>
      <c r="E63" s="296">
        <v>0</v>
      </c>
      <c r="F63" s="118"/>
      <c r="G63" s="296">
        <v>0</v>
      </c>
    </row>
    <row r="64" spans="1:7" s="63" customFormat="1">
      <c r="A64" s="112">
        <v>389</v>
      </c>
      <c r="B64" s="180"/>
      <c r="C64" s="109" t="s">
        <v>7</v>
      </c>
      <c r="D64" s="150"/>
      <c r="E64" s="155">
        <v>0</v>
      </c>
      <c r="F64" s="150"/>
      <c r="G64" s="155">
        <v>0</v>
      </c>
    </row>
    <row r="65" spans="1:7" s="62" customFormat="1">
      <c r="A65" s="145" t="s">
        <v>471</v>
      </c>
      <c r="B65" s="102"/>
      <c r="C65" s="103" t="s">
        <v>244</v>
      </c>
      <c r="D65" s="105"/>
      <c r="E65" s="113">
        <v>0</v>
      </c>
      <c r="F65" s="105"/>
      <c r="G65" s="113">
        <v>0</v>
      </c>
    </row>
    <row r="66" spans="1:7" s="95" customFormat="1" ht="14">
      <c r="A66" s="221" t="s">
        <v>472</v>
      </c>
      <c r="B66" s="111"/>
      <c r="C66" s="116" t="s">
        <v>245</v>
      </c>
      <c r="D66" s="270"/>
      <c r="E66" s="271">
        <v>0</v>
      </c>
      <c r="F66" s="270"/>
      <c r="G66" s="271">
        <v>0</v>
      </c>
    </row>
    <row r="67" spans="1:7" s="62" customFormat="1">
      <c r="A67" s="110">
        <v>481</v>
      </c>
      <c r="B67" s="102"/>
      <c r="C67" s="103" t="s">
        <v>246</v>
      </c>
      <c r="D67" s="105"/>
      <c r="E67" s="113">
        <v>0</v>
      </c>
      <c r="F67" s="105"/>
      <c r="G67" s="113">
        <v>0</v>
      </c>
    </row>
    <row r="68" spans="1:7" s="62" customFormat="1">
      <c r="A68" s="110">
        <v>482</v>
      </c>
      <c r="B68" s="102"/>
      <c r="C68" s="103" t="s">
        <v>247</v>
      </c>
      <c r="D68" s="105"/>
      <c r="E68" s="113">
        <v>0</v>
      </c>
      <c r="F68" s="105"/>
      <c r="G68" s="113">
        <v>0</v>
      </c>
    </row>
    <row r="69" spans="1:7" s="62" customFormat="1">
      <c r="A69" s="110">
        <v>483</v>
      </c>
      <c r="B69" s="102"/>
      <c r="C69" s="103" t="s">
        <v>248</v>
      </c>
      <c r="D69" s="105"/>
      <c r="E69" s="113">
        <v>0</v>
      </c>
      <c r="F69" s="105"/>
      <c r="G69" s="113">
        <v>0</v>
      </c>
    </row>
    <row r="70" spans="1:7" s="62" customFormat="1">
      <c r="A70" s="110">
        <v>484</v>
      </c>
      <c r="B70" s="102"/>
      <c r="C70" s="103" t="s">
        <v>249</v>
      </c>
      <c r="D70" s="105"/>
      <c r="E70" s="113">
        <v>0</v>
      </c>
      <c r="F70" s="105">
        <v>29717</v>
      </c>
      <c r="G70" s="113">
        <v>0</v>
      </c>
    </row>
    <row r="71" spans="1:7" s="62" customFormat="1">
      <c r="A71" s="110">
        <v>485</v>
      </c>
      <c r="B71" s="102"/>
      <c r="C71" s="103" t="s">
        <v>250</v>
      </c>
      <c r="D71" s="105"/>
      <c r="E71" s="113">
        <v>0</v>
      </c>
      <c r="F71" s="105"/>
      <c r="G71" s="113">
        <v>0</v>
      </c>
    </row>
    <row r="72" spans="1:7" s="62" customFormat="1">
      <c r="A72" s="110">
        <v>486</v>
      </c>
      <c r="B72" s="102"/>
      <c r="C72" s="103" t="s">
        <v>251</v>
      </c>
      <c r="D72" s="105"/>
      <c r="E72" s="113">
        <v>0</v>
      </c>
      <c r="F72" s="105"/>
      <c r="G72" s="113">
        <v>0</v>
      </c>
    </row>
    <row r="73" spans="1:7" s="63" customFormat="1">
      <c r="A73" s="110">
        <v>487</v>
      </c>
      <c r="B73" s="108"/>
      <c r="C73" s="103" t="s">
        <v>64</v>
      </c>
      <c r="D73" s="105"/>
      <c r="E73" s="106">
        <v>0</v>
      </c>
      <c r="F73" s="105"/>
      <c r="G73" s="106">
        <v>0</v>
      </c>
    </row>
    <row r="74" spans="1:7" s="63" customFormat="1">
      <c r="A74" s="110">
        <v>489</v>
      </c>
      <c r="B74" s="182"/>
      <c r="C74" s="133" t="s">
        <v>18</v>
      </c>
      <c r="D74" s="105"/>
      <c r="E74" s="106">
        <v>0</v>
      </c>
      <c r="F74" s="105"/>
      <c r="G74" s="106">
        <v>0</v>
      </c>
    </row>
    <row r="75" spans="1:7" s="63" customFormat="1">
      <c r="A75" s="181" t="s">
        <v>381</v>
      </c>
      <c r="B75" s="182"/>
      <c r="C75" s="167" t="s">
        <v>382</v>
      </c>
      <c r="D75" s="105"/>
      <c r="E75" s="113">
        <v>0</v>
      </c>
      <c r="F75" s="105"/>
      <c r="G75" s="113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-73081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0</v>
      </c>
      <c r="E77" s="15">
        <f t="shared" si="12"/>
        <v>-52514</v>
      </c>
      <c r="F77" s="15">
        <f t="shared" ref="F77:G77" si="13">F56+F76</f>
        <v>-33548</v>
      </c>
      <c r="G77" s="15">
        <f t="shared" si="13"/>
        <v>-58409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0</v>
      </c>
      <c r="E78" s="37">
        <f t="shared" si="14"/>
        <v>2437578</v>
      </c>
      <c r="F78" s="37">
        <f t="shared" ref="F78:G78" si="15">F20+F21+SUM(F38:F43)+SUM(F57:F64)</f>
        <v>2489094</v>
      </c>
      <c r="G78" s="37">
        <f t="shared" si="15"/>
        <v>2463154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0</v>
      </c>
      <c r="E79" s="37">
        <f t="shared" si="16"/>
        <v>2385064</v>
      </c>
      <c r="F79" s="37">
        <f t="shared" ref="F79:G79" si="17">F35+F36+SUM(F44:F53)+SUM(F65:F74)</f>
        <v>2455546</v>
      </c>
      <c r="G79" s="37">
        <f t="shared" si="17"/>
        <v>2404745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05"/>
      <c r="E82" s="141">
        <v>180339</v>
      </c>
      <c r="F82" s="105">
        <v>153059</v>
      </c>
      <c r="G82" s="113">
        <v>171010</v>
      </c>
    </row>
    <row r="83" spans="1:7" s="62" customFormat="1">
      <c r="A83" s="186">
        <v>51</v>
      </c>
      <c r="B83" s="187"/>
      <c r="C83" s="187" t="s">
        <v>253</v>
      </c>
      <c r="D83" s="105"/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05"/>
      <c r="E84" s="141">
        <v>9366</v>
      </c>
      <c r="F84" s="105">
        <v>5807</v>
      </c>
      <c r="G84" s="113">
        <v>9980</v>
      </c>
    </row>
    <row r="85" spans="1:7" s="62" customFormat="1">
      <c r="A85" s="188">
        <v>54</v>
      </c>
      <c r="B85" s="189"/>
      <c r="C85" s="189" t="s">
        <v>89</v>
      </c>
      <c r="D85" s="150"/>
      <c r="E85" s="141">
        <v>17350</v>
      </c>
      <c r="F85" s="150">
        <v>6081</v>
      </c>
      <c r="G85" s="113">
        <v>18098</v>
      </c>
    </row>
    <row r="86" spans="1:7" s="62" customFormat="1">
      <c r="A86" s="188">
        <v>55</v>
      </c>
      <c r="B86" s="189"/>
      <c r="C86" s="189" t="s">
        <v>181</v>
      </c>
      <c r="D86" s="150"/>
      <c r="E86" s="141">
        <v>0</v>
      </c>
      <c r="F86" s="150">
        <v>4100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0"/>
      <c r="E87" s="141">
        <v>118057</v>
      </c>
      <c r="F87" s="150">
        <v>110109</v>
      </c>
      <c r="G87" s="113">
        <v>120498</v>
      </c>
    </row>
    <row r="88" spans="1:7" s="62" customFormat="1">
      <c r="A88" s="186">
        <v>57</v>
      </c>
      <c r="B88" s="187"/>
      <c r="C88" s="187" t="s">
        <v>150</v>
      </c>
      <c r="D88" s="105"/>
      <c r="E88" s="141">
        <v>71486</v>
      </c>
      <c r="F88" s="105">
        <v>94057</v>
      </c>
      <c r="G88" s="113">
        <v>87921</v>
      </c>
    </row>
    <row r="89" spans="1:7" s="62" customFormat="1">
      <c r="A89" s="186">
        <v>580</v>
      </c>
      <c r="B89" s="187"/>
      <c r="C89" s="187" t="s">
        <v>256</v>
      </c>
      <c r="D89" s="105"/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05"/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05"/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05"/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05"/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135"/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0</v>
      </c>
      <c r="E95" s="33">
        <f t="shared" si="18"/>
        <v>396598</v>
      </c>
      <c r="F95" s="33">
        <f t="shared" ref="F95:G95" si="19">SUM(F82:F94)</f>
        <v>373213</v>
      </c>
      <c r="G95" s="33">
        <f t="shared" si="19"/>
        <v>407507</v>
      </c>
    </row>
    <row r="96" spans="1:7" s="62" customFormat="1">
      <c r="A96" s="186">
        <v>60</v>
      </c>
      <c r="B96" s="187"/>
      <c r="C96" s="187" t="s">
        <v>262</v>
      </c>
      <c r="D96" s="105"/>
      <c r="E96" s="141">
        <v>0</v>
      </c>
      <c r="F96" s="105">
        <v>653</v>
      </c>
      <c r="G96" s="113">
        <v>0</v>
      </c>
    </row>
    <row r="97" spans="1:7" s="62" customFormat="1">
      <c r="A97" s="186">
        <v>61</v>
      </c>
      <c r="B97" s="187"/>
      <c r="C97" s="187" t="s">
        <v>263</v>
      </c>
      <c r="D97" s="105"/>
      <c r="E97" s="141">
        <v>3815</v>
      </c>
      <c r="F97" s="105">
        <v>3488</v>
      </c>
      <c r="G97" s="113">
        <v>7622</v>
      </c>
    </row>
    <row r="98" spans="1:7" s="62" customFormat="1">
      <c r="A98" s="186">
        <v>62</v>
      </c>
      <c r="B98" s="187"/>
      <c r="C98" s="187" t="s">
        <v>264</v>
      </c>
      <c r="D98" s="105"/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265</v>
      </c>
      <c r="D99" s="105"/>
      <c r="E99" s="141">
        <v>107508</v>
      </c>
      <c r="F99" s="105">
        <v>109648</v>
      </c>
      <c r="G99" s="113">
        <v>114064</v>
      </c>
    </row>
    <row r="100" spans="1:7" s="62" customFormat="1">
      <c r="A100" s="188">
        <v>64</v>
      </c>
      <c r="B100" s="189"/>
      <c r="C100" s="189" t="s">
        <v>185</v>
      </c>
      <c r="D100" s="150"/>
      <c r="E100" s="141">
        <v>5815</v>
      </c>
      <c r="F100" s="150">
        <v>3734</v>
      </c>
      <c r="G100" s="113">
        <v>6002</v>
      </c>
    </row>
    <row r="101" spans="1:7" s="62" customFormat="1">
      <c r="A101" s="188">
        <v>65</v>
      </c>
      <c r="B101" s="189"/>
      <c r="C101" s="189" t="s">
        <v>186</v>
      </c>
      <c r="D101" s="150"/>
      <c r="E101" s="141">
        <v>0</v>
      </c>
      <c r="F101" s="150">
        <v>0</v>
      </c>
      <c r="G101" s="113">
        <v>0</v>
      </c>
    </row>
    <row r="102" spans="1:7" s="62" customFormat="1">
      <c r="A102" s="188">
        <v>66</v>
      </c>
      <c r="B102" s="189"/>
      <c r="C102" s="189" t="s">
        <v>266</v>
      </c>
      <c r="D102" s="150"/>
      <c r="E102" s="141">
        <v>250</v>
      </c>
      <c r="F102" s="150">
        <v>128</v>
      </c>
      <c r="G102" s="113">
        <v>364</v>
      </c>
    </row>
    <row r="103" spans="1:7" s="62" customFormat="1">
      <c r="A103" s="186">
        <v>67</v>
      </c>
      <c r="B103" s="187"/>
      <c r="C103" s="187" t="s">
        <v>150</v>
      </c>
      <c r="D103" s="105"/>
      <c r="E103" s="138">
        <v>71486</v>
      </c>
      <c r="F103" s="105">
        <v>94057</v>
      </c>
      <c r="G103" s="106">
        <v>87921</v>
      </c>
    </row>
    <row r="104" spans="1:7" s="62" customFormat="1" ht="28">
      <c r="A104" s="192" t="s">
        <v>268</v>
      </c>
      <c r="B104" s="187"/>
      <c r="C104" s="193" t="s">
        <v>267</v>
      </c>
      <c r="D104" s="104"/>
      <c r="E104" s="138">
        <v>0</v>
      </c>
      <c r="F104" s="104">
        <v>708</v>
      </c>
      <c r="G104" s="106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34"/>
      <c r="E105" s="151">
        <v>0</v>
      </c>
      <c r="F105" s="134"/>
      <c r="G105" s="136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0</v>
      </c>
      <c r="E106" s="33">
        <f t="shared" si="20"/>
        <v>188874</v>
      </c>
      <c r="F106" s="33">
        <f t="shared" ref="F106:G106" si="21">SUM(F96:F105)</f>
        <v>212416</v>
      </c>
      <c r="G106" s="33">
        <f t="shared" si="21"/>
        <v>215973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0</v>
      </c>
      <c r="E107" s="33">
        <f t="shared" si="22"/>
        <v>207724</v>
      </c>
      <c r="F107" s="33">
        <f t="shared" ref="F107:G107" si="23">(F95-F88)-(F106-F103)</f>
        <v>160797</v>
      </c>
      <c r="G107" s="33">
        <f t="shared" si="23"/>
        <v>191534</v>
      </c>
    </row>
    <row r="108" spans="1:7">
      <c r="A108" s="30" t="s">
        <v>407</v>
      </c>
      <c r="B108" s="30"/>
      <c r="C108" s="49" t="s">
        <v>151</v>
      </c>
      <c r="D108" s="33">
        <f t="shared" ref="D108:E108" si="24">D107-D85-D86+D100+D101</f>
        <v>0</v>
      </c>
      <c r="E108" s="33">
        <f t="shared" si="24"/>
        <v>196189</v>
      </c>
      <c r="F108" s="33">
        <f t="shared" ref="F108:G108" si="25">F107-F85-F86+F100+F101</f>
        <v>154350</v>
      </c>
      <c r="G108" s="33">
        <f t="shared" si="25"/>
        <v>179438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0</v>
      </c>
      <c r="E111" s="337">
        <f t="shared" si="26"/>
        <v>0</v>
      </c>
      <c r="F111" s="336">
        <f t="shared" ref="F111:G111" si="27">F112+F117</f>
        <v>2639115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0</v>
      </c>
      <c r="E112" s="337">
        <f t="shared" si="28"/>
        <v>0</v>
      </c>
      <c r="F112" s="336">
        <f t="shared" ref="F112:G112" si="29">F113+F114+F115+F116</f>
        <v>1628535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/>
      <c r="E113" s="113"/>
      <c r="F113" s="105">
        <v>423686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/>
      <c r="E114" s="271"/>
      <c r="F114" s="270">
        <v>665504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/>
      <c r="E115" s="113"/>
      <c r="F115" s="105">
        <v>533695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>
        <v>5650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0</v>
      </c>
      <c r="E117" s="337">
        <f t="shared" si="30"/>
        <v>0</v>
      </c>
      <c r="F117" s="336">
        <f t="shared" ref="F117:G117" si="31">F118+F119+F120</f>
        <v>1010580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/>
      <c r="E118" s="113"/>
      <c r="F118" s="105">
        <v>951956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/>
      <c r="E119" s="113"/>
      <c r="F119" s="105">
        <v>58624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/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0</v>
      </c>
      <c r="E121" s="336">
        <f t="shared" si="32"/>
        <v>0</v>
      </c>
      <c r="F121" s="336">
        <f t="shared" ref="F121:G121" si="33">SUM(F122:F130)</f>
        <v>1033342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/>
      <c r="E122" s="113"/>
      <c r="F122" s="105">
        <v>533290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/>
      <c r="E123" s="113"/>
      <c r="F123" s="105">
        <v>199192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/>
      <c r="E124" s="210"/>
      <c r="F124" s="105">
        <v>300860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/>
      <c r="E125" s="210"/>
      <c r="F125" s="105">
        <v>0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0</v>
      </c>
      <c r="E131" s="18">
        <f>E111+E121</f>
        <v>0</v>
      </c>
      <c r="F131" s="18">
        <f>F111+F121</f>
        <v>3672457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G133" si="34">D134+D140</f>
        <v>0</v>
      </c>
      <c r="E133" s="339">
        <f t="shared" si="34"/>
        <v>0</v>
      </c>
      <c r="F133" s="339">
        <f t="shared" si="34"/>
        <v>983602</v>
      </c>
      <c r="G133" s="339">
        <f t="shared" si="34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5">D135+D136+D138+D139</f>
        <v>0</v>
      </c>
      <c r="E134" s="337">
        <f t="shared" si="35"/>
        <v>0</v>
      </c>
      <c r="F134" s="336">
        <f t="shared" ref="F134:G134" si="36">F135+F136+F138+F139</f>
        <v>581869</v>
      </c>
      <c r="G134" s="337">
        <f t="shared" si="36"/>
        <v>0</v>
      </c>
    </row>
    <row r="135" spans="1:7" s="63" customFormat="1">
      <c r="A135" s="208">
        <v>200</v>
      </c>
      <c r="B135" s="206"/>
      <c r="C135" s="206" t="s">
        <v>31</v>
      </c>
      <c r="D135" s="105"/>
      <c r="E135" s="113"/>
      <c r="F135" s="105">
        <v>228318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/>
      <c r="E136" s="113"/>
      <c r="F136" s="105">
        <v>150000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282</v>
      </c>
      <c r="D138" s="105"/>
      <c r="E138" s="210"/>
      <c r="F138" s="105">
        <v>178199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/>
      <c r="E139" s="210"/>
      <c r="F139" s="105">
        <v>25352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7">D141+D143+D144</f>
        <v>0</v>
      </c>
      <c r="E140" s="337">
        <f t="shared" si="37"/>
        <v>0</v>
      </c>
      <c r="F140" s="336">
        <f t="shared" ref="F140:G140" si="38">F141+F143+F144</f>
        <v>401733</v>
      </c>
      <c r="G140" s="337">
        <f t="shared" si="38"/>
        <v>0</v>
      </c>
    </row>
    <row r="141" spans="1:7" s="63" customFormat="1">
      <c r="A141" s="208">
        <v>206</v>
      </c>
      <c r="B141" s="206"/>
      <c r="C141" s="206" t="s">
        <v>33</v>
      </c>
      <c r="D141" s="105"/>
      <c r="E141" s="210"/>
      <c r="F141" s="105">
        <v>228708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/>
      <c r="E143" s="210"/>
      <c r="F143" s="105">
        <v>112403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/>
      <c r="E144" s="276"/>
      <c r="F144" s="117">
        <v>60622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/>
      <c r="E145" s="210"/>
      <c r="F145" s="209">
        <v>2688855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>
        <v>2345208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0</v>
      </c>
      <c r="E147" s="18">
        <f>E133+E145</f>
        <v>0</v>
      </c>
      <c r="F147" s="18">
        <f>F133+F145</f>
        <v>3672457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39">D77+SUM(D8:D12)-D30-D31+D16-D33+D59+D63-D73+D64-D74-D54+D20-D35</f>
        <v>0</v>
      </c>
      <c r="E150" s="55">
        <f t="shared" si="39"/>
        <v>57907</v>
      </c>
      <c r="F150" s="55">
        <f t="shared" ref="F150:G150" si="40">F77+SUM(F8:F12)-F30-F31+F16-F33+F59+F63-F73+F64-F74-F54+F20-F35</f>
        <v>105336</v>
      </c>
      <c r="G150" s="55">
        <f t="shared" si="40"/>
        <v>71539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1">IF(D177=0,0,D150/D177)</f>
        <v>0</v>
      </c>
      <c r="E151" s="258">
        <f t="shared" si="41"/>
        <v>3.1426737067073052E-2</v>
      </c>
      <c r="F151" s="258">
        <f t="shared" ref="F151:G151" si="42">IF(F177=0,0,F150/F177)</f>
        <v>5.519412469923457E-2</v>
      </c>
      <c r="G151" s="258">
        <f t="shared" si="42"/>
        <v>3.84485570034429E-2</v>
      </c>
    </row>
    <row r="152" spans="1:7" s="91" customFormat="1" ht="28">
      <c r="A152" s="57" t="s">
        <v>404</v>
      </c>
      <c r="B152" s="310"/>
      <c r="C152" s="310" t="s">
        <v>161</v>
      </c>
      <c r="D152" s="244">
        <f t="shared" ref="D152:E152" si="43">IF(D107=0,0,D150/D107)</f>
        <v>0</v>
      </c>
      <c r="E152" s="244">
        <f t="shared" si="43"/>
        <v>0.27876894340567293</v>
      </c>
      <c r="F152" s="244">
        <f t="shared" ref="F152:G152" si="44">IF(F107=0,0,F150/F107)</f>
        <v>0.6550868486352357</v>
      </c>
      <c r="G152" s="244">
        <f t="shared" si="44"/>
        <v>0.37350548727641047</v>
      </c>
    </row>
    <row r="153" spans="1:7" s="251" customFormat="1" ht="28">
      <c r="A153" s="60" t="s">
        <v>404</v>
      </c>
      <c r="B153" s="311"/>
      <c r="C153" s="311" t="s">
        <v>162</v>
      </c>
      <c r="D153" s="322">
        <f t="shared" ref="D153:E153" si="45">IF(0=D108,0,D150/D108)</f>
        <v>0</v>
      </c>
      <c r="E153" s="322">
        <f t="shared" si="45"/>
        <v>0.29515925969345885</v>
      </c>
      <c r="F153" s="322">
        <f t="shared" ref="F153:G153" si="46">IF(0=F108,0,F150/F108)</f>
        <v>0.6824489795918367</v>
      </c>
      <c r="G153" s="322">
        <f t="shared" si="46"/>
        <v>0.39868366789643217</v>
      </c>
    </row>
    <row r="154" spans="1:7" s="251" customFormat="1" ht="28">
      <c r="A154" s="58" t="s">
        <v>412</v>
      </c>
      <c r="B154" s="309"/>
      <c r="C154" s="309" t="s">
        <v>163</v>
      </c>
      <c r="D154" s="59">
        <f t="shared" ref="D154:E154" si="47">D150-D107</f>
        <v>0</v>
      </c>
      <c r="E154" s="59">
        <f t="shared" si="47"/>
        <v>-149817</v>
      </c>
      <c r="F154" s="59">
        <f t="shared" ref="F154:G154" si="48">F150-F107</f>
        <v>-55461</v>
      </c>
      <c r="G154" s="59">
        <f t="shared" si="48"/>
        <v>-119995</v>
      </c>
    </row>
    <row r="155" spans="1:7" ht="28">
      <c r="A155" s="329" t="s">
        <v>413</v>
      </c>
      <c r="B155" s="321"/>
      <c r="C155" s="321" t="s">
        <v>164</v>
      </c>
      <c r="D155" s="56">
        <f t="shared" ref="D155:E155" si="49">D150-D108</f>
        <v>0</v>
      </c>
      <c r="E155" s="56">
        <f t="shared" si="49"/>
        <v>-138282</v>
      </c>
      <c r="F155" s="56">
        <f t="shared" ref="F155:G155" si="50">F150-F108</f>
        <v>-49014</v>
      </c>
      <c r="G155" s="56">
        <f t="shared" si="50"/>
        <v>-107899</v>
      </c>
    </row>
    <row r="156" spans="1:7">
      <c r="A156" s="325" t="s">
        <v>391</v>
      </c>
      <c r="B156" s="307"/>
      <c r="C156" s="307" t="s">
        <v>35</v>
      </c>
      <c r="D156" s="47">
        <f t="shared" ref="D156:E156" si="51">D135+D136-D137+D141-D142</f>
        <v>0</v>
      </c>
      <c r="E156" s="47">
        <f t="shared" si="51"/>
        <v>0</v>
      </c>
      <c r="F156" s="47">
        <f t="shared" ref="F156:G156" si="52">F135+F136-F137+F141-F142</f>
        <v>607026</v>
      </c>
      <c r="G156" s="47">
        <f t="shared" si="52"/>
        <v>0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3">IF(D177=0,0,D156/D177)</f>
        <v>0</v>
      </c>
      <c r="E157" s="241">
        <f t="shared" si="53"/>
        <v>0</v>
      </c>
      <c r="F157" s="241">
        <f t="shared" ref="F157:G157" si="54">IF(F177=0,0,F156/F177)</f>
        <v>0.31807044827672937</v>
      </c>
      <c r="G157" s="241">
        <f t="shared" si="54"/>
        <v>0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5">D133-D142-D111</f>
        <v>0</v>
      </c>
      <c r="E158" s="47">
        <f t="shared" si="55"/>
        <v>0</v>
      </c>
      <c r="F158" s="47">
        <f t="shared" ref="F158:G158" si="56">F133-F142-F111</f>
        <v>-1655513</v>
      </c>
      <c r="G158" s="47">
        <f t="shared" si="56"/>
        <v>0</v>
      </c>
    </row>
    <row r="159" spans="1:7">
      <c r="A159" s="326" t="s">
        <v>395</v>
      </c>
      <c r="B159" s="308"/>
      <c r="C159" s="308" t="s">
        <v>394</v>
      </c>
      <c r="D159" s="40">
        <f t="shared" ref="D159:E159" si="57">D121-D123-D124-D142-D145</f>
        <v>0</v>
      </c>
      <c r="E159" s="40">
        <f t="shared" si="57"/>
        <v>0</v>
      </c>
      <c r="F159" s="40">
        <f t="shared" ref="F159:G159" si="58">F121-F123-F124-F142-F145</f>
        <v>-2155565</v>
      </c>
      <c r="G159" s="40">
        <f t="shared" si="58"/>
        <v>0</v>
      </c>
    </row>
    <row r="160" spans="1:7">
      <c r="A160" s="326" t="s">
        <v>400</v>
      </c>
      <c r="B160" s="308"/>
      <c r="C160" s="308" t="s">
        <v>115</v>
      </c>
      <c r="D160" s="240" t="str">
        <f t="shared" ref="D160:E160" si="59">IF(D175=0,"-",1000*D158/D175)</f>
        <v>-</v>
      </c>
      <c r="E160" s="240">
        <f t="shared" si="59"/>
        <v>0</v>
      </c>
      <c r="F160" s="240">
        <f t="shared" ref="F160:G160" si="60">IF(F175=0,"-",1000*F158/F175)</f>
        <v>-8492.6411367891869</v>
      </c>
      <c r="G160" s="240">
        <f t="shared" si="60"/>
        <v>0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1">IF(D175=0,0,1000*(D159/D175))</f>
        <v>0</v>
      </c>
      <c r="E161" s="40">
        <f t="shared" si="61"/>
        <v>0</v>
      </c>
      <c r="F161" s="40">
        <f t="shared" ref="F161:G161" si="62">IF(F175=0,0,1000*(F159/F175))</f>
        <v>-11057.865442326931</v>
      </c>
      <c r="G161" s="40">
        <f t="shared" si="62"/>
        <v>0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3">IF((D22+D23+D65+D66)=0,0,D158/(D22+D23+D65+D66))</f>
        <v>0</v>
      </c>
      <c r="E162" s="241">
        <f t="shared" si="63"/>
        <v>0</v>
      </c>
      <c r="F162" s="241">
        <f t="shared" ref="F162:G162" si="64">IF((F22+F23+F65+F66)=0,0,F158/(F22+F23+F65+F66))</f>
        <v>-2.3499220010873008</v>
      </c>
      <c r="G162" s="241">
        <f t="shared" si="64"/>
        <v>0</v>
      </c>
    </row>
    <row r="163" spans="1:7">
      <c r="A163" s="326" t="s">
        <v>409</v>
      </c>
      <c r="B163" s="308"/>
      <c r="C163" s="308" t="s">
        <v>36</v>
      </c>
      <c r="D163" s="55">
        <f t="shared" ref="D163:E163" si="65">D145</f>
        <v>0</v>
      </c>
      <c r="E163" s="55">
        <f t="shared" si="65"/>
        <v>0</v>
      </c>
      <c r="F163" s="55">
        <f t="shared" ref="F163:G163" si="66">F145</f>
        <v>2688855</v>
      </c>
      <c r="G163" s="55">
        <f t="shared" si="66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1.2076176666261589</v>
      </c>
      <c r="G164" s="245">
        <f>IF(G178=0,0,G146/G178)</f>
        <v>0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67">IF(D177=0,0,D180/D177)</f>
        <v>0</v>
      </c>
      <c r="E165" s="259">
        <f t="shared" si="67"/>
        <v>8.6519451015764109E-2</v>
      </c>
      <c r="F165" s="259">
        <f t="shared" ref="F165:G165" si="68">IF(F177=0,0,F180/F177)</f>
        <v>7.8823074472455332E-2</v>
      </c>
      <c r="G165" s="259">
        <f t="shared" si="68"/>
        <v>9.3403782135413477E-2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69">D55</f>
        <v>0</v>
      </c>
      <c r="E166" s="55">
        <f t="shared" si="69"/>
        <v>96611</v>
      </c>
      <c r="F166" s="55">
        <f t="shared" ref="F166:G166" si="70">F55</f>
        <v>105619</v>
      </c>
      <c r="G166" s="55">
        <f t="shared" si="70"/>
        <v>98177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1">IF(0=D111,0,(D44+D45+D46+D47+D48)/D111)</f>
        <v>0</v>
      </c>
      <c r="E167" s="241">
        <f t="shared" si="71"/>
        <v>0</v>
      </c>
      <c r="F167" s="241">
        <f t="shared" ref="F167:G167" si="72">IF(0=F111,0,(F44+F45+F46+F47+F48)/F111)</f>
        <v>1.199493011861931E-2</v>
      </c>
      <c r="G167" s="241">
        <f t="shared" si="72"/>
        <v>0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3">D38-D44</f>
        <v>0</v>
      </c>
      <c r="E168" s="55">
        <f t="shared" si="73"/>
        <v>-6092</v>
      </c>
      <c r="F168" s="55">
        <f t="shared" ref="F168:G168" si="74">F38-F44</f>
        <v>-5199</v>
      </c>
      <c r="G168" s="55">
        <f t="shared" si="74"/>
        <v>-4511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75">IF(D177=0,0,D168/D177)</f>
        <v>0</v>
      </c>
      <c r="E169" s="258">
        <f t="shared" si="75"/>
        <v>-3.3061923811043398E-3</v>
      </c>
      <c r="F169" s="258">
        <f t="shared" ref="F169:G169" si="76">IF(F177=0,0,F168/F177)</f>
        <v>-2.7241802832015695E-3</v>
      </c>
      <c r="G169" s="258">
        <f t="shared" si="76"/>
        <v>-2.4244319971278732E-3</v>
      </c>
    </row>
    <row r="170" spans="1:7">
      <c r="A170" s="326" t="s">
        <v>366</v>
      </c>
      <c r="B170" s="308"/>
      <c r="C170" s="308" t="s">
        <v>364</v>
      </c>
      <c r="D170" s="55">
        <f t="shared" ref="D170:E170" si="77">SUM(D82:D87)+SUM(D89:D94)</f>
        <v>0</v>
      </c>
      <c r="E170" s="55">
        <f t="shared" si="77"/>
        <v>325112</v>
      </c>
      <c r="F170" s="55">
        <f t="shared" ref="F170:G170" si="78">SUM(F82:F87)+SUM(F89:F94)</f>
        <v>279156</v>
      </c>
      <c r="G170" s="55">
        <f t="shared" si="78"/>
        <v>319586</v>
      </c>
    </row>
    <row r="171" spans="1:7">
      <c r="A171" s="326" t="s">
        <v>367</v>
      </c>
      <c r="B171" s="308"/>
      <c r="C171" s="308" t="s">
        <v>365</v>
      </c>
      <c r="D171" s="40">
        <f t="shared" ref="D171:E171" si="79">SUM(D96:D102)+SUM(D104:D105)</f>
        <v>0</v>
      </c>
      <c r="E171" s="40">
        <f t="shared" si="79"/>
        <v>117388</v>
      </c>
      <c r="F171" s="40">
        <f t="shared" ref="F171:G171" si="80">SUM(F96:F102)+SUM(F104:F105)</f>
        <v>118359</v>
      </c>
      <c r="G171" s="40">
        <f t="shared" si="80"/>
        <v>128052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1">IF(D184=0,0,D170/D184)</f>
        <v>0</v>
      </c>
      <c r="E172" s="259">
        <f t="shared" si="81"/>
        <v>0.15894695054101571</v>
      </c>
      <c r="F172" s="259">
        <f t="shared" ref="F172:G172" si="82">IF(F184=0,0,F170/F184)</f>
        <v>0.14262292820572819</v>
      </c>
      <c r="G172" s="259">
        <f t="shared" si="82"/>
        <v>0.15538450841937956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188</v>
      </c>
      <c r="D175" s="70"/>
      <c r="E175" s="343">
        <v>193389</v>
      </c>
      <c r="F175" s="70">
        <v>194935</v>
      </c>
      <c r="G175" s="343">
        <v>193389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8">
      <c r="A177" s="236" t="s">
        <v>380</v>
      </c>
      <c r="B177" s="23"/>
      <c r="C177" s="23" t="s">
        <v>99</v>
      </c>
      <c r="D177" s="39">
        <f t="shared" ref="D177:E177" si="83">SUM(D22:D32)+SUM(D44:D53)+SUM(D65:D72)+D75</f>
        <v>0</v>
      </c>
      <c r="E177" s="39">
        <f t="shared" si="83"/>
        <v>1842603</v>
      </c>
      <c r="F177" s="39">
        <f t="shared" ref="F177:G177" si="84">SUM(F22:F32)+SUM(F44:F53)+SUM(F65:F72)+F75</f>
        <v>1908464</v>
      </c>
      <c r="G177" s="39">
        <f t="shared" si="84"/>
        <v>1860642</v>
      </c>
    </row>
    <row r="178" spans="1:8">
      <c r="A178" s="236" t="s">
        <v>385</v>
      </c>
      <c r="B178" s="23"/>
      <c r="C178" s="23" t="s">
        <v>100</v>
      </c>
      <c r="D178" s="39">
        <f t="shared" ref="D178:E178" si="85">D78-D17-D20-D59-D63-D64</f>
        <v>0</v>
      </c>
      <c r="E178" s="39">
        <f t="shared" si="85"/>
        <v>1895117</v>
      </c>
      <c r="F178" s="39">
        <f t="shared" ref="F178:G178" si="86">F78-F17-F20-F59-F63-F64</f>
        <v>1942012</v>
      </c>
      <c r="G178" s="39">
        <f t="shared" si="86"/>
        <v>1919051</v>
      </c>
    </row>
    <row r="179" spans="1:8">
      <c r="A179" s="236"/>
      <c r="B179" s="23"/>
      <c r="C179" s="23" t="s">
        <v>388</v>
      </c>
      <c r="D179" s="39">
        <f t="shared" ref="D179:E179" si="87">D178+D170</f>
        <v>0</v>
      </c>
      <c r="E179" s="39">
        <f t="shared" si="87"/>
        <v>2220229</v>
      </c>
      <c r="F179" s="39">
        <f t="shared" ref="F179:G179" si="88">F178+F170</f>
        <v>2221168</v>
      </c>
      <c r="G179" s="39">
        <f t="shared" si="88"/>
        <v>2238637</v>
      </c>
    </row>
    <row r="180" spans="1:8">
      <c r="A180" s="236" t="s">
        <v>389</v>
      </c>
      <c r="B180" s="23"/>
      <c r="C180" s="23" t="s">
        <v>390</v>
      </c>
      <c r="D180" s="39">
        <f t="shared" ref="D180:E180" si="89">D38-D44+D8+D9+D10+D16-D33</f>
        <v>0</v>
      </c>
      <c r="E180" s="39">
        <f t="shared" si="89"/>
        <v>159421</v>
      </c>
      <c r="F180" s="39">
        <f t="shared" ref="F180:G180" si="90">F38-F44+F8+F9+F10+F16-F33</f>
        <v>150431</v>
      </c>
      <c r="G180" s="39">
        <f t="shared" si="90"/>
        <v>173791</v>
      </c>
    </row>
    <row r="181" spans="1:8" ht="27.5" customHeight="1">
      <c r="A181" s="239" t="s">
        <v>376</v>
      </c>
      <c r="B181" s="71"/>
      <c r="C181" s="71" t="s">
        <v>374</v>
      </c>
      <c r="D181" s="73">
        <f t="shared" ref="D181:E181" si="91">D22+D23+D24+D25+D26+D29+SUM(D44:D47)+SUM(D49:D53)-D54+D32-D33+SUM(D65:D70)+D72</f>
        <v>0</v>
      </c>
      <c r="E181" s="73">
        <f t="shared" si="91"/>
        <v>1784740</v>
      </c>
      <c r="F181" s="73">
        <f t="shared" ref="F181:G181" si="92">F22+F23+F24+F25+F26+F29+SUM(F44:F47)+SUM(F49:F53)-F54+F32-F33+SUM(F65:F70)+F72</f>
        <v>1885330</v>
      </c>
      <c r="G181" s="73">
        <f t="shared" si="92"/>
        <v>1807196</v>
      </c>
    </row>
    <row r="182" spans="1:8">
      <c r="A182" s="237" t="s">
        <v>375</v>
      </c>
      <c r="B182" s="71"/>
      <c r="C182" s="71" t="s">
        <v>170</v>
      </c>
      <c r="D182" s="73">
        <f t="shared" ref="D182:E182" si="93">D181+D171</f>
        <v>0</v>
      </c>
      <c r="E182" s="73">
        <f t="shared" si="93"/>
        <v>1902128</v>
      </c>
      <c r="F182" s="73">
        <f t="shared" ref="F182:G182" si="94">F181+F171</f>
        <v>2003689</v>
      </c>
      <c r="G182" s="73">
        <f t="shared" si="94"/>
        <v>1935248</v>
      </c>
    </row>
    <row r="183" spans="1:8">
      <c r="A183" s="237" t="s">
        <v>369</v>
      </c>
      <c r="B183" s="71"/>
      <c r="C183" s="71" t="s">
        <v>370</v>
      </c>
      <c r="D183" s="73">
        <f>D4+D5-D7+D38+D39+D40+D41+D43+D13-D16+D57+D58+D60+D62</f>
        <v>0</v>
      </c>
      <c r="E183" s="73">
        <f t="shared" ref="E183:G183" si="95">E4+E5-E7+E38+E39+E40+E41+E43+E13-E16+E57+E58+E60+E62</f>
        <v>1720300</v>
      </c>
      <c r="F183" s="73">
        <f t="shared" si="95"/>
        <v>1678145</v>
      </c>
      <c r="G183" s="73">
        <f t="shared" si="95"/>
        <v>1737157</v>
      </c>
      <c r="H183" s="358"/>
    </row>
    <row r="184" spans="1:8">
      <c r="A184" s="237" t="s">
        <v>373</v>
      </c>
      <c r="B184" s="71"/>
      <c r="C184" s="71" t="s">
        <v>171</v>
      </c>
      <c r="D184" s="73">
        <f t="shared" ref="D184:E184" si="96">D183+D170</f>
        <v>0</v>
      </c>
      <c r="E184" s="73">
        <f t="shared" si="96"/>
        <v>2045412</v>
      </c>
      <c r="F184" s="73">
        <f t="shared" ref="F184:G184" si="97">F183+F170</f>
        <v>1957301</v>
      </c>
      <c r="G184" s="73">
        <f t="shared" si="97"/>
        <v>2056743</v>
      </c>
    </row>
    <row r="185" spans="1:8">
      <c r="A185" s="237"/>
      <c r="B185" s="71"/>
      <c r="C185" s="71" t="s">
        <v>405</v>
      </c>
      <c r="D185" s="73">
        <f t="shared" ref="D185:E185" si="98">D181-D183</f>
        <v>0</v>
      </c>
      <c r="E185" s="73">
        <f t="shared" si="98"/>
        <v>64440</v>
      </c>
      <c r="F185" s="73">
        <f t="shared" ref="F185:G185" si="99">F181-F183</f>
        <v>207185</v>
      </c>
      <c r="G185" s="73">
        <f t="shared" si="99"/>
        <v>70039</v>
      </c>
    </row>
    <row r="186" spans="1:8">
      <c r="A186" s="237"/>
      <c r="B186" s="71"/>
      <c r="C186" s="71" t="s">
        <v>406</v>
      </c>
      <c r="D186" s="73">
        <f t="shared" ref="D186:E186" si="100">D182-D184</f>
        <v>0</v>
      </c>
      <c r="E186" s="73">
        <f t="shared" si="100"/>
        <v>-143284</v>
      </c>
      <c r="F186" s="73">
        <f t="shared" ref="F186:G186" si="101">F182-F184</f>
        <v>46388</v>
      </c>
      <c r="G186" s="73">
        <f t="shared" si="101"/>
        <v>-121495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I43"/>
  <sheetViews>
    <sheetView zoomScale="115" zoomScaleNormal="115" workbookViewId="0">
      <selection activeCell="K5" sqref="K5"/>
    </sheetView>
  </sheetViews>
  <sheetFormatPr baseColWidth="10" defaultColWidth="11.5" defaultRowHeight="13"/>
  <cols>
    <col min="1" max="16384" width="11.5" style="1"/>
  </cols>
  <sheetData>
    <row r="1" spans="1:9">
      <c r="A1" s="372" t="s">
        <v>506</v>
      </c>
      <c r="B1" s="373" t="s">
        <v>497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>
        <v>0</v>
      </c>
      <c r="B2" s="598">
        <v>0</v>
      </c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>
        <v>0</v>
      </c>
      <c r="B3" s="382" t="s">
        <v>517</v>
      </c>
      <c r="C3" s="385">
        <v>0</v>
      </c>
      <c r="D3" s="384">
        <v>0</v>
      </c>
      <c r="E3" s="385" t="s">
        <v>470</v>
      </c>
      <c r="F3" s="598">
        <v>0</v>
      </c>
      <c r="G3" s="385">
        <v>0</v>
      </c>
      <c r="H3" s="598">
        <v>0</v>
      </c>
      <c r="I3" s="386" t="s">
        <v>588</v>
      </c>
    </row>
    <row r="4" spans="1:9">
      <c r="A4" s="372" t="s">
        <v>518</v>
      </c>
      <c r="B4" s="387" t="s">
        <v>1</v>
      </c>
      <c r="C4" s="388">
        <v>1561508.628</v>
      </c>
      <c r="D4" s="604">
        <v>2.0325870399225152E-2</v>
      </c>
      <c r="E4" s="388">
        <v>1593247.65</v>
      </c>
      <c r="F4" s="604">
        <v>1.8956280902093312E-2</v>
      </c>
      <c r="G4" s="388">
        <v>1623449.7</v>
      </c>
      <c r="H4" s="604">
        <v>3.9257760804046141E-3</v>
      </c>
      <c r="I4" s="390">
        <v>1629823</v>
      </c>
    </row>
    <row r="5" spans="1:9">
      <c r="A5" s="391" t="s">
        <v>519</v>
      </c>
      <c r="B5" s="382" t="s">
        <v>520</v>
      </c>
      <c r="C5" s="392">
        <v>328018.32900000003</v>
      </c>
      <c r="D5" s="601">
        <v>2.9391287460646728E-2</v>
      </c>
      <c r="E5" s="392">
        <v>337659.21</v>
      </c>
      <c r="F5" s="601">
        <v>-8.1046241860247226E-2</v>
      </c>
      <c r="G5" s="392">
        <v>310293.2</v>
      </c>
      <c r="H5" s="601">
        <v>0.18592028442776054</v>
      </c>
      <c r="I5" s="394">
        <v>367983</v>
      </c>
    </row>
    <row r="6" spans="1:9">
      <c r="A6" s="391" t="s">
        <v>229</v>
      </c>
      <c r="B6" s="382" t="s">
        <v>521</v>
      </c>
      <c r="C6" s="392">
        <v>25805.589</v>
      </c>
      <c r="D6" s="601">
        <v>0.26063001313397649</v>
      </c>
      <c r="E6" s="392">
        <v>32531.3</v>
      </c>
      <c r="F6" s="601">
        <v>-6.7464257499700309E-2</v>
      </c>
      <c r="G6" s="392">
        <v>30336.6</v>
      </c>
      <c r="H6" s="601">
        <v>-0.17170678322554275</v>
      </c>
      <c r="I6" s="394">
        <v>25127.599999999999</v>
      </c>
    </row>
    <row r="7" spans="1:9">
      <c r="A7" s="391" t="s">
        <v>522</v>
      </c>
      <c r="B7" s="382" t="s">
        <v>523</v>
      </c>
      <c r="C7" s="392">
        <v>59164.110999999997</v>
      </c>
      <c r="D7" s="601">
        <v>-0.16121447341615591</v>
      </c>
      <c r="E7" s="392">
        <v>49626</v>
      </c>
      <c r="F7" s="601">
        <v>-1.9056542941200117E-2</v>
      </c>
      <c r="G7" s="392">
        <v>48680.3</v>
      </c>
      <c r="H7" s="601">
        <v>-0.12757316614729167</v>
      </c>
      <c r="I7" s="394">
        <v>42470</v>
      </c>
    </row>
    <row r="8" spans="1:9">
      <c r="A8" s="391" t="s">
        <v>524</v>
      </c>
      <c r="B8" s="382" t="s">
        <v>525</v>
      </c>
      <c r="C8" s="392">
        <v>24337.248</v>
      </c>
      <c r="D8" s="601">
        <v>0.23609292225645229</v>
      </c>
      <c r="E8" s="392">
        <v>30083.1</v>
      </c>
      <c r="F8" s="601">
        <v>-0.4279246487230372</v>
      </c>
      <c r="G8" s="392">
        <v>17209.8</v>
      </c>
      <c r="H8" s="601">
        <v>-1</v>
      </c>
      <c r="I8" s="394">
        <v>0</v>
      </c>
    </row>
    <row r="9" spans="1:9">
      <c r="A9" s="391" t="s">
        <v>526</v>
      </c>
      <c r="B9" s="382" t="s">
        <v>527</v>
      </c>
      <c r="C9" s="392">
        <v>250991.12599999999</v>
      </c>
      <c r="D9" s="601">
        <v>-1.0253816702667003E-2</v>
      </c>
      <c r="E9" s="392">
        <v>248417.50899999999</v>
      </c>
      <c r="F9" s="601">
        <v>-0.12630594810448725</v>
      </c>
      <c r="G9" s="392">
        <v>217040.9</v>
      </c>
      <c r="H9" s="601">
        <v>-0.19927672618386666</v>
      </c>
      <c r="I9" s="394">
        <v>173789.7</v>
      </c>
    </row>
    <row r="10" spans="1:9">
      <c r="A10" s="391" t="s">
        <v>528</v>
      </c>
      <c r="B10" s="382" t="s">
        <v>529</v>
      </c>
      <c r="C10" s="392">
        <v>2249355.7429999998</v>
      </c>
      <c r="D10" s="601">
        <v>4.0741317724059173E-2</v>
      </c>
      <c r="E10" s="392">
        <v>2340997.46</v>
      </c>
      <c r="F10" s="601">
        <v>2.2480690773581714E-2</v>
      </c>
      <c r="G10" s="392">
        <v>2393624.7000000002</v>
      </c>
      <c r="H10" s="601">
        <v>6.5513444943979759E-2</v>
      </c>
      <c r="I10" s="394">
        <v>2550439.3000000003</v>
      </c>
    </row>
    <row r="11" spans="1:9">
      <c r="A11" s="391" t="s">
        <v>530</v>
      </c>
      <c r="B11" s="382" t="s">
        <v>531</v>
      </c>
      <c r="C11" s="392">
        <v>252398.42</v>
      </c>
      <c r="D11" s="393">
        <v>0.12187716547512445</v>
      </c>
      <c r="E11" s="392">
        <v>283160.02399999998</v>
      </c>
      <c r="F11" s="601">
        <v>-0.10244145197557959</v>
      </c>
      <c r="G11" s="392">
        <v>254152.7</v>
      </c>
      <c r="H11" s="601">
        <v>2.0937920391953337</v>
      </c>
      <c r="I11" s="394">
        <v>786295.6</v>
      </c>
    </row>
    <row r="12" spans="1:9">
      <c r="A12" s="391" t="s">
        <v>532</v>
      </c>
      <c r="B12" s="382" t="s">
        <v>533</v>
      </c>
      <c r="C12" s="392">
        <v>320753.47700000001</v>
      </c>
      <c r="D12" s="393">
        <v>0.24194289560265611</v>
      </c>
      <c r="E12" s="392">
        <v>398357.50199999998</v>
      </c>
      <c r="F12" s="601">
        <v>-0.18197423579586552</v>
      </c>
      <c r="G12" s="392">
        <v>325866.7</v>
      </c>
      <c r="H12" s="601">
        <v>-0.99871112942807594</v>
      </c>
      <c r="I12" s="394">
        <v>420</v>
      </c>
    </row>
    <row r="13" spans="1:9">
      <c r="A13" s="391" t="s">
        <v>534</v>
      </c>
      <c r="B13" s="382" t="s">
        <v>535</v>
      </c>
      <c r="C13" s="392">
        <v>540129.07499999995</v>
      </c>
      <c r="D13" s="393">
        <v>-6.0275112944067968E-2</v>
      </c>
      <c r="E13" s="392">
        <v>507572.734</v>
      </c>
      <c r="F13" s="393">
        <v>0.18568031670511287</v>
      </c>
      <c r="G13" s="392">
        <v>601819</v>
      </c>
      <c r="H13" s="393">
        <v>-1</v>
      </c>
      <c r="I13" s="394">
        <v>0</v>
      </c>
    </row>
    <row r="14" spans="1:9">
      <c r="A14" s="391" t="s">
        <v>536</v>
      </c>
      <c r="B14" s="382" t="s">
        <v>537</v>
      </c>
      <c r="C14" s="392">
        <v>50118.758999999998</v>
      </c>
      <c r="D14" s="393">
        <v>9.7393492923478056E-2</v>
      </c>
      <c r="E14" s="392">
        <v>55000</v>
      </c>
      <c r="F14" s="601">
        <v>2.4874545454545427E-2</v>
      </c>
      <c r="G14" s="392">
        <v>56368.1</v>
      </c>
      <c r="H14" s="601">
        <v>6.4431832898394686E-2</v>
      </c>
      <c r="I14" s="394">
        <v>60000</v>
      </c>
    </row>
    <row r="15" spans="1:9">
      <c r="A15" s="391" t="s">
        <v>538</v>
      </c>
      <c r="B15" s="382" t="s">
        <v>539</v>
      </c>
      <c r="C15" s="392">
        <v>0</v>
      </c>
      <c r="D15" s="393" t="s">
        <v>586</v>
      </c>
      <c r="E15" s="392">
        <v>0</v>
      </c>
      <c r="F15" s="601" t="s">
        <v>586</v>
      </c>
      <c r="G15" s="392">
        <v>0</v>
      </c>
      <c r="H15" s="601" t="s">
        <v>586</v>
      </c>
      <c r="I15" s="394">
        <v>209309.9</v>
      </c>
    </row>
    <row r="16" spans="1:9">
      <c r="A16" s="391" t="s">
        <v>540</v>
      </c>
      <c r="B16" s="382" t="s">
        <v>541</v>
      </c>
      <c r="C16" s="392">
        <v>0</v>
      </c>
      <c r="D16" s="393" t="s">
        <v>586</v>
      </c>
      <c r="E16" s="392">
        <v>0</v>
      </c>
      <c r="F16" s="393" t="s">
        <v>586</v>
      </c>
      <c r="G16" s="392">
        <v>0</v>
      </c>
      <c r="H16" s="393" t="s">
        <v>586</v>
      </c>
      <c r="I16" s="394">
        <v>0</v>
      </c>
    </row>
    <row r="17" spans="1:9">
      <c r="A17" s="391" t="s">
        <v>542</v>
      </c>
      <c r="B17" s="382" t="s">
        <v>543</v>
      </c>
      <c r="C17" s="392">
        <v>52728.32</v>
      </c>
      <c r="D17" s="601">
        <v>-0.648392552616886</v>
      </c>
      <c r="E17" s="392">
        <v>18539.669999999998</v>
      </c>
      <c r="F17" s="601">
        <v>2.273693652583892</v>
      </c>
      <c r="G17" s="392">
        <v>60693.2</v>
      </c>
      <c r="H17" s="601">
        <v>-0.54362926983583004</v>
      </c>
      <c r="I17" s="394">
        <v>27698.6</v>
      </c>
    </row>
    <row r="18" spans="1:9">
      <c r="A18" s="391">
        <v>389</v>
      </c>
      <c r="B18" s="382" t="s">
        <v>7</v>
      </c>
      <c r="C18" s="392">
        <v>0</v>
      </c>
      <c r="D18" s="393" t="s">
        <v>586</v>
      </c>
      <c r="E18" s="392">
        <v>0</v>
      </c>
      <c r="F18" s="393" t="s">
        <v>586</v>
      </c>
      <c r="G18" s="392">
        <v>0</v>
      </c>
      <c r="H18" s="393" t="s">
        <v>586</v>
      </c>
      <c r="I18" s="394">
        <v>0</v>
      </c>
    </row>
    <row r="19" spans="1:9">
      <c r="A19" s="395" t="s">
        <v>544</v>
      </c>
      <c r="B19" s="396" t="s">
        <v>545</v>
      </c>
      <c r="C19" s="397">
        <v>227324.201</v>
      </c>
      <c r="D19" s="393">
        <v>-2.3675882182029512E-2</v>
      </c>
      <c r="E19" s="397">
        <v>221942.1</v>
      </c>
      <c r="F19" s="393">
        <v>-6.2218930072302642E-2</v>
      </c>
      <c r="G19" s="397">
        <v>208133.1</v>
      </c>
      <c r="H19" s="393">
        <v>6.8240467277910166E-2</v>
      </c>
      <c r="I19" s="398">
        <v>222336.2</v>
      </c>
    </row>
    <row r="20" spans="1:9">
      <c r="A20" s="399" t="s">
        <v>546</v>
      </c>
      <c r="B20" s="400" t="s">
        <v>547</v>
      </c>
      <c r="C20" s="401">
        <v>4753427.7060000002</v>
      </c>
      <c r="D20" s="605">
        <v>1.8320462282423483E-2</v>
      </c>
      <c r="E20" s="401">
        <v>4840512.699</v>
      </c>
      <c r="F20" s="605">
        <v>7.9768824918022216E-3</v>
      </c>
      <c r="G20" s="401">
        <v>4879124.8999999994</v>
      </c>
      <c r="H20" s="605">
        <v>2.775393185773976E-2</v>
      </c>
      <c r="I20" s="434">
        <v>5014539.8000000007</v>
      </c>
    </row>
    <row r="21" spans="1:9">
      <c r="A21" s="403" t="s">
        <v>548</v>
      </c>
      <c r="B21" s="404" t="s">
        <v>549</v>
      </c>
      <c r="C21" s="388">
        <v>2064248.821</v>
      </c>
      <c r="D21" s="601">
        <v>1.6157053675265248E-2</v>
      </c>
      <c r="E21" s="388">
        <v>2097601</v>
      </c>
      <c r="F21" s="601">
        <v>3.4352577063034456E-3</v>
      </c>
      <c r="G21" s="388">
        <v>2104806.7999999998</v>
      </c>
      <c r="H21" s="601">
        <v>-1.5111505721095075E-2</v>
      </c>
      <c r="I21" s="390">
        <v>2073000</v>
      </c>
    </row>
    <row r="22" spans="1:9">
      <c r="A22" s="405" t="s">
        <v>550</v>
      </c>
      <c r="B22" s="378" t="s">
        <v>551</v>
      </c>
      <c r="C22" s="392">
        <v>153631.76199999999</v>
      </c>
      <c r="D22" s="601">
        <v>1.1620240351080608E-2</v>
      </c>
      <c r="E22" s="392">
        <v>155417</v>
      </c>
      <c r="F22" s="601">
        <v>-4.8720538937182655E-3</v>
      </c>
      <c r="G22" s="392">
        <v>154659.79999999999</v>
      </c>
      <c r="H22" s="601">
        <v>0.46554890152450745</v>
      </c>
      <c r="I22" s="394">
        <v>226661.5</v>
      </c>
    </row>
    <row r="23" spans="1:9">
      <c r="A23" s="405" t="s">
        <v>552</v>
      </c>
      <c r="B23" s="378" t="s">
        <v>553</v>
      </c>
      <c r="C23" s="392">
        <v>230221.49799999999</v>
      </c>
      <c r="D23" s="601">
        <v>1.9973382329394784E-2</v>
      </c>
      <c r="E23" s="392">
        <v>234819.8</v>
      </c>
      <c r="F23" s="601">
        <v>-9.4348943317386358E-3</v>
      </c>
      <c r="G23" s="392">
        <v>232604.3</v>
      </c>
      <c r="H23" s="601">
        <v>-0.17441895958071274</v>
      </c>
      <c r="I23" s="394">
        <v>192033.7</v>
      </c>
    </row>
    <row r="24" spans="1:9">
      <c r="A24" s="405" t="s">
        <v>554</v>
      </c>
      <c r="B24" s="378" t="s">
        <v>555</v>
      </c>
      <c r="C24" s="392">
        <v>355868.20600000001</v>
      </c>
      <c r="D24" s="601">
        <v>-3.1503730344485954E-2</v>
      </c>
      <c r="E24" s="392">
        <v>344657.03</v>
      </c>
      <c r="F24" s="601">
        <v>4.6981110467991888E-2</v>
      </c>
      <c r="G24" s="392">
        <v>360849.4</v>
      </c>
      <c r="H24" s="601">
        <v>6.4744738386706413E-2</v>
      </c>
      <c r="I24" s="394">
        <v>384212.5</v>
      </c>
    </row>
    <row r="25" spans="1:9">
      <c r="A25" s="405" t="s">
        <v>556</v>
      </c>
      <c r="B25" s="378" t="s">
        <v>557</v>
      </c>
      <c r="C25" s="392">
        <v>1651775.084</v>
      </c>
      <c r="D25" s="601">
        <v>3.3895919330866997E-2</v>
      </c>
      <c r="E25" s="392">
        <v>1707763.5190000001</v>
      </c>
      <c r="F25" s="601">
        <v>1.7736402413453829E-2</v>
      </c>
      <c r="G25" s="392">
        <v>1738053.1</v>
      </c>
      <c r="H25" s="601">
        <v>4.1906314599939383E-2</v>
      </c>
      <c r="I25" s="394">
        <v>1810888.5</v>
      </c>
    </row>
    <row r="26" spans="1:9">
      <c r="A26" s="406" t="s">
        <v>558</v>
      </c>
      <c r="B26" s="378" t="s">
        <v>559</v>
      </c>
      <c r="C26" s="392">
        <v>71257.834000000003</v>
      </c>
      <c r="D26" s="601">
        <v>0.12802220454806404</v>
      </c>
      <c r="E26" s="392">
        <v>80380.418999999994</v>
      </c>
      <c r="F26" s="601">
        <v>1.6740159067844689E-2</v>
      </c>
      <c r="G26" s="392">
        <v>81726</v>
      </c>
      <c r="H26" s="601">
        <v>0.65208134498201309</v>
      </c>
      <c r="I26" s="394">
        <v>135018</v>
      </c>
    </row>
    <row r="27" spans="1:9">
      <c r="A27" s="407">
        <v>489</v>
      </c>
      <c r="B27" s="378" t="s">
        <v>18</v>
      </c>
      <c r="C27" s="392">
        <v>0</v>
      </c>
      <c r="D27" s="601" t="s">
        <v>586</v>
      </c>
      <c r="E27" s="392">
        <v>0</v>
      </c>
      <c r="F27" s="601" t="s">
        <v>586</v>
      </c>
      <c r="G27" s="392">
        <v>0</v>
      </c>
      <c r="H27" s="601" t="s">
        <v>586</v>
      </c>
      <c r="I27" s="394">
        <v>0</v>
      </c>
    </row>
    <row r="28" spans="1:9">
      <c r="A28" s="408" t="s">
        <v>560</v>
      </c>
      <c r="B28" s="409" t="s">
        <v>561</v>
      </c>
      <c r="C28" s="397">
        <v>227324.201</v>
      </c>
      <c r="D28" s="601">
        <v>-2.3675882182029512E-2</v>
      </c>
      <c r="E28" s="397">
        <v>221942.1</v>
      </c>
      <c r="F28" s="601">
        <v>-6.2218930072302642E-2</v>
      </c>
      <c r="G28" s="397">
        <v>208133.1</v>
      </c>
      <c r="H28" s="601">
        <v>6.8240467277910166E-2</v>
      </c>
      <c r="I28" s="398">
        <v>222336.2</v>
      </c>
    </row>
    <row r="29" spans="1:9">
      <c r="A29" s="410" t="s">
        <v>562</v>
      </c>
      <c r="B29" s="411" t="s">
        <v>563</v>
      </c>
      <c r="C29" s="401">
        <v>4754327.4060000004</v>
      </c>
      <c r="D29" s="606">
        <v>1.8562764922041921E-2</v>
      </c>
      <c r="E29" s="401">
        <v>4842580.8679999998</v>
      </c>
      <c r="F29" s="606">
        <v>7.8990177020621076E-3</v>
      </c>
      <c r="G29" s="401">
        <v>4880832.4999999991</v>
      </c>
      <c r="H29" s="607">
        <v>3.3461074519562255E-2</v>
      </c>
      <c r="I29" s="434">
        <v>5044150.4000000004</v>
      </c>
    </row>
    <row r="30" spans="1:9">
      <c r="A30" s="414" t="s">
        <v>564</v>
      </c>
      <c r="B30" s="415" t="s">
        <v>565</v>
      </c>
      <c r="C30" s="416">
        <v>899.70000000018626</v>
      </c>
      <c r="D30" s="418">
        <v>0</v>
      </c>
      <c r="E30" s="416">
        <v>2068.1689999997616</v>
      </c>
      <c r="F30" s="418">
        <v>0</v>
      </c>
      <c r="G30" s="416">
        <v>1707.5999999996275</v>
      </c>
      <c r="H30" s="608">
        <v>0</v>
      </c>
      <c r="I30" s="435">
        <v>29610.599999999627</v>
      </c>
    </row>
    <row r="31" spans="1:9">
      <c r="A31" s="419">
        <v>0</v>
      </c>
      <c r="B31" s="404" t="s">
        <v>566</v>
      </c>
      <c r="C31" s="420">
        <v>0</v>
      </c>
      <c r="D31" s="598">
        <v>0</v>
      </c>
      <c r="E31" s="420">
        <v>0</v>
      </c>
      <c r="F31" s="598">
        <v>0</v>
      </c>
      <c r="G31" s="420">
        <v>0</v>
      </c>
      <c r="H31" s="420">
        <v>0</v>
      </c>
      <c r="I31" s="422">
        <v>0</v>
      </c>
    </row>
    <row r="32" spans="1:9">
      <c r="A32" s="406" t="s">
        <v>567</v>
      </c>
      <c r="B32" s="378" t="s">
        <v>568</v>
      </c>
      <c r="C32" s="392">
        <v>248796.23499999999</v>
      </c>
      <c r="D32" s="601">
        <v>5.9674130518896411E-2</v>
      </c>
      <c r="E32" s="392">
        <v>263642.93400000001</v>
      </c>
      <c r="F32" s="601">
        <v>-0.18695640065968919</v>
      </c>
      <c r="G32" s="392">
        <v>214353.2</v>
      </c>
      <c r="H32" s="601">
        <v>0.16764573610284331</v>
      </c>
      <c r="I32" s="394">
        <v>250288.6</v>
      </c>
    </row>
    <row r="33" spans="1:9">
      <c r="A33" s="406" t="s">
        <v>569</v>
      </c>
      <c r="B33" s="378" t="s">
        <v>570</v>
      </c>
      <c r="C33" s="392">
        <v>0</v>
      </c>
      <c r="D33" s="601" t="s">
        <v>586</v>
      </c>
      <c r="E33" s="392">
        <v>0</v>
      </c>
      <c r="F33" s="601" t="s">
        <v>586</v>
      </c>
      <c r="G33" s="392">
        <v>0</v>
      </c>
      <c r="H33" s="601" t="s">
        <v>586</v>
      </c>
      <c r="I33" s="394">
        <v>0</v>
      </c>
    </row>
    <row r="34" spans="1:9">
      <c r="A34" s="405" t="s">
        <v>571</v>
      </c>
      <c r="B34" s="378" t="s">
        <v>572</v>
      </c>
      <c r="C34" s="392">
        <v>81839.625</v>
      </c>
      <c r="D34" s="601">
        <v>-0.14155887200118525</v>
      </c>
      <c r="E34" s="392">
        <v>70254.5</v>
      </c>
      <c r="F34" s="601">
        <v>2.1755190058999698E-2</v>
      </c>
      <c r="G34" s="392">
        <v>71782.899999999994</v>
      </c>
      <c r="H34" s="601">
        <v>-0.63647331049595379</v>
      </c>
      <c r="I34" s="394">
        <v>26095</v>
      </c>
    </row>
    <row r="35" spans="1:9">
      <c r="A35" s="410" t="s">
        <v>573</v>
      </c>
      <c r="B35" s="411" t="s">
        <v>574</v>
      </c>
      <c r="C35" s="401">
        <v>330635.86</v>
      </c>
      <c r="D35" s="607">
        <v>9.8645500823777016E-3</v>
      </c>
      <c r="E35" s="401">
        <v>333897.43400000001</v>
      </c>
      <c r="F35" s="607">
        <v>-0.143041931852642</v>
      </c>
      <c r="G35" s="401">
        <v>286136.09999999998</v>
      </c>
      <c r="H35" s="607">
        <v>-3.4083430926751292E-2</v>
      </c>
      <c r="I35" s="434">
        <v>276383.59999999998</v>
      </c>
    </row>
    <row r="36" spans="1:9">
      <c r="A36" s="405" t="s">
        <v>575</v>
      </c>
      <c r="B36" s="378" t="s">
        <v>576</v>
      </c>
      <c r="C36" s="392">
        <v>4198.7690000000002</v>
      </c>
      <c r="D36" s="601">
        <v>1.2297011338323207</v>
      </c>
      <c r="E36" s="392">
        <v>9362</v>
      </c>
      <c r="F36" s="601">
        <v>0.4167165135654774</v>
      </c>
      <c r="G36" s="392">
        <v>13263.3</v>
      </c>
      <c r="H36" s="601">
        <v>-0.67956692527500695</v>
      </c>
      <c r="I36" s="394">
        <v>4250</v>
      </c>
    </row>
    <row r="37" spans="1:9">
      <c r="A37" s="405" t="s">
        <v>577</v>
      </c>
      <c r="B37" s="378" t="s">
        <v>578</v>
      </c>
      <c r="C37" s="392">
        <v>87766.399000000005</v>
      </c>
      <c r="D37" s="601">
        <v>5.4180871656816865E-3</v>
      </c>
      <c r="E37" s="392">
        <v>88241.925000000003</v>
      </c>
      <c r="F37" s="601">
        <v>-0.23436167105375375</v>
      </c>
      <c r="G37" s="392">
        <v>67561.399999999994</v>
      </c>
      <c r="H37" s="601">
        <v>0.31584307015544388</v>
      </c>
      <c r="I37" s="394">
        <v>88900.2</v>
      </c>
    </row>
    <row r="38" spans="1:9">
      <c r="A38" s="410" t="s">
        <v>579</v>
      </c>
      <c r="B38" s="411" t="s">
        <v>580</v>
      </c>
      <c r="C38" s="401">
        <v>91965.168000000005</v>
      </c>
      <c r="D38" s="607">
        <v>6.1314050989391959E-2</v>
      </c>
      <c r="E38" s="401">
        <v>97603.925000000003</v>
      </c>
      <c r="F38" s="607">
        <v>-0.17191137549027874</v>
      </c>
      <c r="G38" s="401">
        <v>80824.7</v>
      </c>
      <c r="H38" s="607">
        <v>0.15249669964750875</v>
      </c>
      <c r="I38" s="434">
        <v>93150.2</v>
      </c>
    </row>
    <row r="39" spans="1:9">
      <c r="A39" s="423" t="s">
        <v>581</v>
      </c>
      <c r="B39" s="424" t="s">
        <v>145</v>
      </c>
      <c r="C39" s="425">
        <v>238670.69199999998</v>
      </c>
      <c r="D39" s="609">
        <v>-9.9600959802804822E-3</v>
      </c>
      <c r="E39" s="425">
        <v>236293.50900000002</v>
      </c>
      <c r="F39" s="609">
        <v>-0.13111705493357437</v>
      </c>
      <c r="G39" s="425">
        <v>205311.39999999997</v>
      </c>
      <c r="H39" s="609">
        <v>-0.1075342138819374</v>
      </c>
      <c r="I39" s="436">
        <v>183233.39999999997</v>
      </c>
    </row>
    <row r="40" spans="1:9">
      <c r="A40" s="377" t="s">
        <v>582</v>
      </c>
      <c r="B40" s="378" t="s">
        <v>153</v>
      </c>
      <c r="C40" s="392">
        <v>251890.82600000018</v>
      </c>
      <c r="D40" s="601">
        <v>-5.5784008584751797E-3</v>
      </c>
      <c r="E40" s="392">
        <v>250485.67799999975</v>
      </c>
      <c r="F40" s="601">
        <v>-0.12670256540575611</v>
      </c>
      <c r="G40" s="392">
        <v>218748.49999999962</v>
      </c>
      <c r="H40" s="601">
        <v>-7.0163681122384886E-2</v>
      </c>
      <c r="I40" s="394">
        <v>203400.29999999964</v>
      </c>
    </row>
    <row r="41" spans="1:9">
      <c r="A41" s="377" t="s">
        <v>582</v>
      </c>
      <c r="B41" s="378" t="s">
        <v>583</v>
      </c>
      <c r="C41" s="392">
        <v>13220.134000000195</v>
      </c>
      <c r="D41" s="601">
        <v>7.3526864402397404E-2</v>
      </c>
      <c r="E41" s="392">
        <v>14192.168999999732</v>
      </c>
      <c r="F41" s="601">
        <v>-5.3203213687780221E-2</v>
      </c>
      <c r="G41" s="392">
        <v>13437.099999999657</v>
      </c>
      <c r="H41" s="601">
        <v>0.50083723422466075</v>
      </c>
      <c r="I41" s="394">
        <v>20166.899999999674</v>
      </c>
    </row>
    <row r="42" spans="1:9">
      <c r="A42" s="427" t="s">
        <v>582</v>
      </c>
      <c r="B42" s="409" t="s">
        <v>584</v>
      </c>
      <c r="C42" s="397">
        <v>4528682.6710000001</v>
      </c>
      <c r="D42" s="429">
        <v>2.798718572436746E-2</v>
      </c>
      <c r="E42" s="397">
        <v>4655427.7540000016</v>
      </c>
      <c r="F42" s="429">
        <v>1.4512621303579313E-3</v>
      </c>
      <c r="G42" s="397">
        <v>4662183.9999999991</v>
      </c>
      <c r="H42" s="429">
        <v>4.3952555283103656E-2</v>
      </c>
      <c r="I42" s="398">
        <v>4867098.9000000004</v>
      </c>
    </row>
    <row r="43" spans="1:9">
      <c r="A43" s="427">
        <v>0</v>
      </c>
      <c r="B43" s="409" t="s">
        <v>585</v>
      </c>
      <c r="C43" s="428">
        <v>1.0553906886900055</v>
      </c>
      <c r="D43" s="610">
        <v>0</v>
      </c>
      <c r="E43" s="428">
        <v>1.0600616117643744</v>
      </c>
      <c r="F43" s="430">
        <v>0</v>
      </c>
      <c r="G43" s="428">
        <v>1.0654474130515872</v>
      </c>
      <c r="H43" s="430">
        <v>0</v>
      </c>
      <c r="I43" s="441">
        <v>1.1100612661228775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AZ186"/>
  <sheetViews>
    <sheetView view="pageLayout" topLeftCell="A151" zoomScaleNormal="115" workbookViewId="0">
      <selection activeCell="H183" sqref="H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2" s="2" customFormat="1" ht="18" customHeight="1">
      <c r="A1" s="43" t="s">
        <v>3</v>
      </c>
      <c r="B1" s="44" t="s">
        <v>496</v>
      </c>
      <c r="C1" s="44" t="s">
        <v>497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2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2" s="62" customFormat="1" ht="12.75" customHeight="1">
      <c r="A4" s="148">
        <v>30</v>
      </c>
      <c r="B4" s="96"/>
      <c r="C4" s="97" t="s">
        <v>1</v>
      </c>
      <c r="D4" s="98"/>
      <c r="E4" s="100"/>
      <c r="F4" s="98"/>
      <c r="G4" s="345">
        <v>1629823</v>
      </c>
    </row>
    <row r="5" spans="1:52" s="62" customFormat="1" ht="12.75" customHeight="1">
      <c r="A5" s="101">
        <v>31</v>
      </c>
      <c r="B5" s="102"/>
      <c r="C5" s="103" t="s">
        <v>4</v>
      </c>
      <c r="D5" s="105"/>
      <c r="E5" s="106"/>
      <c r="F5" s="105"/>
      <c r="G5" s="346">
        <v>367201</v>
      </c>
    </row>
    <row r="6" spans="1:52" s="62" customFormat="1" ht="12.75" customHeight="1">
      <c r="A6" s="107" t="s">
        <v>229</v>
      </c>
      <c r="B6" s="108"/>
      <c r="C6" s="109" t="s">
        <v>230</v>
      </c>
      <c r="D6" s="150"/>
      <c r="E6" s="155"/>
      <c r="F6" s="150"/>
      <c r="G6" s="347">
        <v>25127.599999999999</v>
      </c>
    </row>
    <row r="7" spans="1:52" s="62" customFormat="1" ht="12.75" customHeight="1">
      <c r="A7" s="107" t="s">
        <v>371</v>
      </c>
      <c r="B7" s="108"/>
      <c r="C7" s="109" t="s">
        <v>372</v>
      </c>
      <c r="D7" s="150"/>
      <c r="E7" s="155"/>
      <c r="F7" s="150"/>
      <c r="G7" s="347">
        <v>1200</v>
      </c>
    </row>
    <row r="8" spans="1:52" s="62" customFormat="1" ht="12.75" customHeight="1">
      <c r="A8" s="145">
        <v>330</v>
      </c>
      <c r="B8" s="102"/>
      <c r="C8" s="103" t="s">
        <v>231</v>
      </c>
      <c r="D8" s="105"/>
      <c r="E8" s="113"/>
      <c r="F8" s="105"/>
      <c r="G8" s="348">
        <v>141453.20000000001</v>
      </c>
    </row>
    <row r="9" spans="1:52" s="62" customFormat="1" ht="12.75" customHeight="1">
      <c r="A9" s="145">
        <v>332</v>
      </c>
      <c r="B9" s="102"/>
      <c r="C9" s="103" t="s">
        <v>232</v>
      </c>
      <c r="D9" s="105"/>
      <c r="E9" s="113"/>
      <c r="F9" s="105"/>
      <c r="G9" s="348">
        <v>0</v>
      </c>
    </row>
    <row r="10" spans="1:52" s="62" customFormat="1" ht="12.75" customHeight="1">
      <c r="A10" s="145">
        <v>339</v>
      </c>
      <c r="B10" s="102"/>
      <c r="C10" s="103" t="s">
        <v>233</v>
      </c>
      <c r="D10" s="105"/>
      <c r="E10" s="113"/>
      <c r="F10" s="105"/>
      <c r="G10" s="348">
        <v>11000</v>
      </c>
    </row>
    <row r="11" spans="1:52" s="62" customFormat="1" ht="12.75" customHeight="1">
      <c r="A11" s="101">
        <v>350</v>
      </c>
      <c r="B11" s="102"/>
      <c r="C11" s="103" t="s">
        <v>234</v>
      </c>
      <c r="D11" s="105"/>
      <c r="E11" s="113"/>
      <c r="F11" s="105"/>
      <c r="G11" s="348">
        <v>0</v>
      </c>
    </row>
    <row r="12" spans="1:52" s="63" customFormat="1" ht="14">
      <c r="A12" s="114">
        <v>351</v>
      </c>
      <c r="B12" s="115"/>
      <c r="C12" s="116" t="s">
        <v>272</v>
      </c>
      <c r="D12" s="119"/>
      <c r="E12" s="296"/>
      <c r="F12" s="119"/>
      <c r="G12" s="349">
        <v>27698.6</v>
      </c>
    </row>
    <row r="13" spans="1:52" s="62" customFormat="1" ht="12.75" customHeight="1">
      <c r="A13" s="101">
        <v>36</v>
      </c>
      <c r="B13" s="102"/>
      <c r="C13" s="103" t="s">
        <v>5</v>
      </c>
      <c r="D13" s="150"/>
      <c r="E13" s="113"/>
      <c r="F13" s="150"/>
      <c r="G13" s="348">
        <v>2278579.2000000002</v>
      </c>
    </row>
    <row r="14" spans="1:52" s="62" customFormat="1" ht="12.75" customHeight="1">
      <c r="A14" s="121" t="s">
        <v>173</v>
      </c>
      <c r="B14" s="102"/>
      <c r="C14" s="122" t="s">
        <v>174</v>
      </c>
      <c r="D14" s="150"/>
      <c r="E14" s="113"/>
      <c r="F14" s="150"/>
      <c r="G14" s="348">
        <v>786295.6</v>
      </c>
    </row>
    <row r="15" spans="1:52" s="62" customFormat="1" ht="12.75" customHeight="1">
      <c r="A15" s="121" t="s">
        <v>175</v>
      </c>
      <c r="B15" s="102"/>
      <c r="C15" s="122" t="s">
        <v>176</v>
      </c>
      <c r="D15" s="150"/>
      <c r="E15" s="113"/>
      <c r="F15" s="150"/>
      <c r="G15" s="348">
        <v>420</v>
      </c>
    </row>
    <row r="16" spans="1:52" s="64" customFormat="1" ht="26.25" customHeight="1">
      <c r="A16" s="121" t="s">
        <v>146</v>
      </c>
      <c r="B16" s="123"/>
      <c r="C16" s="122" t="s">
        <v>148</v>
      </c>
      <c r="D16" s="125"/>
      <c r="E16" s="127"/>
      <c r="F16" s="125"/>
      <c r="G16" s="350">
        <v>21336.5</v>
      </c>
    </row>
    <row r="17" spans="1:7" s="65" customFormat="1">
      <c r="A17" s="101">
        <v>37</v>
      </c>
      <c r="B17" s="102"/>
      <c r="C17" s="103" t="s">
        <v>6</v>
      </c>
      <c r="D17" s="128"/>
      <c r="E17" s="157"/>
      <c r="F17" s="128"/>
      <c r="G17" s="351">
        <v>293196.59999999998</v>
      </c>
    </row>
    <row r="18" spans="1:7" s="65" customFormat="1">
      <c r="A18" s="112" t="s">
        <v>196</v>
      </c>
      <c r="B18" s="108"/>
      <c r="C18" s="109" t="s">
        <v>197</v>
      </c>
      <c r="D18" s="129"/>
      <c r="E18" s="157"/>
      <c r="F18" s="129"/>
      <c r="G18" s="351">
        <v>60000</v>
      </c>
    </row>
    <row r="19" spans="1:7" s="65" customFormat="1">
      <c r="A19" s="112" t="s">
        <v>198</v>
      </c>
      <c r="B19" s="108"/>
      <c r="C19" s="109" t="s">
        <v>199</v>
      </c>
      <c r="D19" s="129"/>
      <c r="E19" s="157"/>
      <c r="F19" s="129"/>
      <c r="G19" s="351">
        <v>209309.9</v>
      </c>
    </row>
    <row r="20" spans="1:7" s="62" customFormat="1" ht="12.75" customHeight="1">
      <c r="A20" s="131">
        <v>39</v>
      </c>
      <c r="B20" s="132"/>
      <c r="C20" s="133" t="s">
        <v>8</v>
      </c>
      <c r="D20" s="135"/>
      <c r="E20" s="159"/>
      <c r="F20" s="135"/>
      <c r="G20" s="352">
        <v>222336.2</v>
      </c>
    </row>
    <row r="21" spans="1:7" ht="12.75" customHeight="1">
      <c r="A21" s="7"/>
      <c r="B21" s="7"/>
      <c r="C21" s="267" t="s">
        <v>475</v>
      </c>
      <c r="D21" s="15">
        <f t="shared" ref="D21:E21" si="0">D4+D5+SUM(D8:D13)+D17</f>
        <v>0</v>
      </c>
      <c r="E21" s="15">
        <f t="shared" si="0"/>
        <v>0</v>
      </c>
      <c r="F21" s="15">
        <f t="shared" ref="F21" si="1">F4+F5+SUM(F8:F13)+F17</f>
        <v>0</v>
      </c>
      <c r="G21" s="15">
        <f>G4+G5+SUM(G8:G13)+G17</f>
        <v>4748951.5999999996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05"/>
      <c r="E22" s="141"/>
      <c r="F22" s="105"/>
      <c r="G22" s="348">
        <v>2073000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05"/>
      <c r="E23" s="141"/>
      <c r="F23" s="105"/>
      <c r="G23" s="348">
        <v>226661.5</v>
      </c>
    </row>
    <row r="24" spans="1:7" s="67" customFormat="1" ht="12.75" customHeight="1">
      <c r="A24" s="101">
        <v>41</v>
      </c>
      <c r="B24" s="102"/>
      <c r="C24" s="103" t="s">
        <v>9</v>
      </c>
      <c r="D24" s="105"/>
      <c r="E24" s="141"/>
      <c r="F24" s="105"/>
      <c r="G24" s="348">
        <v>118232</v>
      </c>
    </row>
    <row r="25" spans="1:7" s="62" customFormat="1" ht="12.75" customHeight="1">
      <c r="A25" s="161">
        <v>42</v>
      </c>
      <c r="B25" s="162"/>
      <c r="C25" s="103" t="s">
        <v>10</v>
      </c>
      <c r="D25" s="105"/>
      <c r="E25" s="141"/>
      <c r="F25" s="105"/>
      <c r="G25" s="348">
        <v>265900</v>
      </c>
    </row>
    <row r="26" spans="1:7" s="68" customFormat="1" ht="12.75" customHeight="1">
      <c r="A26" s="114">
        <v>430</v>
      </c>
      <c r="B26" s="102"/>
      <c r="C26" s="103" t="s">
        <v>11</v>
      </c>
      <c r="D26" s="128"/>
      <c r="E26" s="144"/>
      <c r="F26" s="128"/>
      <c r="G26" s="351">
        <v>80</v>
      </c>
    </row>
    <row r="27" spans="1:7" s="68" customFormat="1" ht="12.75" customHeight="1">
      <c r="A27" s="114">
        <v>431</v>
      </c>
      <c r="B27" s="102"/>
      <c r="C27" s="103" t="s">
        <v>377</v>
      </c>
      <c r="D27" s="128"/>
      <c r="E27" s="144"/>
      <c r="F27" s="128"/>
      <c r="G27" s="351">
        <v>0</v>
      </c>
    </row>
    <row r="28" spans="1:7" s="68" customFormat="1" ht="12.75" customHeight="1">
      <c r="A28" s="114">
        <v>432</v>
      </c>
      <c r="B28" s="102"/>
      <c r="C28" s="103" t="s">
        <v>378</v>
      </c>
      <c r="D28" s="128"/>
      <c r="E28" s="144"/>
      <c r="F28" s="128"/>
      <c r="G28" s="351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128"/>
      <c r="E29" s="144"/>
      <c r="F29" s="128"/>
      <c r="G29" s="351">
        <v>0.5</v>
      </c>
    </row>
    <row r="30" spans="1:7" s="62" customFormat="1" ht="14">
      <c r="A30" s="114">
        <v>450</v>
      </c>
      <c r="B30" s="115"/>
      <c r="C30" s="116" t="s">
        <v>271</v>
      </c>
      <c r="D30" s="104"/>
      <c r="E30" s="106"/>
      <c r="F30" s="104"/>
      <c r="G30" s="346">
        <v>13622</v>
      </c>
    </row>
    <row r="31" spans="1:7" s="63" customFormat="1" ht="14">
      <c r="A31" s="114">
        <v>451</v>
      </c>
      <c r="B31" s="115"/>
      <c r="C31" s="116" t="s">
        <v>14</v>
      </c>
      <c r="D31" s="117"/>
      <c r="E31" s="141"/>
      <c r="F31" s="117"/>
      <c r="G31" s="348">
        <v>121396</v>
      </c>
    </row>
    <row r="32" spans="1:7" s="69" customFormat="1" ht="12.75" customHeight="1">
      <c r="A32" s="101">
        <v>46</v>
      </c>
      <c r="B32" s="102"/>
      <c r="C32" s="103" t="s">
        <v>15</v>
      </c>
      <c r="D32" s="163"/>
      <c r="E32" s="141"/>
      <c r="F32" s="163"/>
      <c r="G32" s="348">
        <v>1517691.9</v>
      </c>
    </row>
    <row r="33" spans="1:7" s="63" customFormat="1" ht="12.75" customHeight="1">
      <c r="A33" s="112" t="s">
        <v>16</v>
      </c>
      <c r="B33" s="108"/>
      <c r="C33" s="109" t="s">
        <v>17</v>
      </c>
      <c r="D33" s="150"/>
      <c r="E33" s="143"/>
      <c r="F33" s="150"/>
      <c r="G33" s="347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05"/>
      <c r="E34" s="141"/>
      <c r="F34" s="105"/>
      <c r="G34" s="348">
        <v>293196.59999999998</v>
      </c>
    </row>
    <row r="35" spans="1:7" s="62" customFormat="1" ht="15" customHeight="1">
      <c r="A35" s="131">
        <v>49</v>
      </c>
      <c r="B35" s="132"/>
      <c r="C35" s="133" t="s">
        <v>26</v>
      </c>
      <c r="D35" s="135"/>
      <c r="E35" s="147"/>
      <c r="F35" s="135"/>
      <c r="G35" s="352">
        <v>222336.2</v>
      </c>
    </row>
    <row r="36" spans="1:7" s="4" customFormat="1" ht="13.5" customHeight="1">
      <c r="A36" s="7"/>
      <c r="B36" s="10"/>
      <c r="C36" s="267" t="s">
        <v>476</v>
      </c>
      <c r="D36" s="15">
        <f t="shared" ref="D36:E36" si="2">D22+D23+D24+D25+D26+D27+D28+D29+D30+D31+D32+D34</f>
        <v>0</v>
      </c>
      <c r="E36" s="15">
        <f t="shared" si="2"/>
        <v>0</v>
      </c>
      <c r="F36" s="15">
        <f t="shared" ref="F36:G36" si="3">F22+F23+F24+F25+F26+F27+F28+F29+F30+F31+F32+F34</f>
        <v>0</v>
      </c>
      <c r="G36" s="15">
        <f t="shared" si="3"/>
        <v>4629780.5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0</v>
      </c>
      <c r="E37" s="16">
        <f t="shared" si="4"/>
        <v>0</v>
      </c>
      <c r="F37" s="16">
        <f t="shared" ref="F37:G37" si="5">F36-F21</f>
        <v>0</v>
      </c>
      <c r="G37" s="16">
        <f t="shared" si="5"/>
        <v>-119171.09999999963</v>
      </c>
    </row>
    <row r="38" spans="1:7" s="63" customFormat="1" ht="15" customHeight="1">
      <c r="A38" s="145">
        <v>340</v>
      </c>
      <c r="B38" s="102"/>
      <c r="C38" s="103" t="s">
        <v>78</v>
      </c>
      <c r="D38" s="105"/>
      <c r="E38" s="141"/>
      <c r="F38" s="105"/>
      <c r="G38" s="348">
        <v>42470</v>
      </c>
    </row>
    <row r="39" spans="1:7" s="63" customFormat="1" ht="15" customHeight="1">
      <c r="A39" s="145">
        <v>341</v>
      </c>
      <c r="B39" s="102"/>
      <c r="C39" s="103" t="s">
        <v>237</v>
      </c>
      <c r="D39" s="105"/>
      <c r="E39" s="141"/>
      <c r="F39" s="105"/>
      <c r="G39" s="348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05"/>
      <c r="E40" s="141"/>
      <c r="F40" s="105"/>
      <c r="G40" s="348">
        <v>782</v>
      </c>
    </row>
    <row r="41" spans="1:7" s="63" customFormat="1" ht="15" customHeight="1">
      <c r="A41" s="145">
        <v>343</v>
      </c>
      <c r="B41" s="102"/>
      <c r="C41" s="103" t="s">
        <v>239</v>
      </c>
      <c r="D41" s="105"/>
      <c r="E41" s="141"/>
      <c r="F41" s="105"/>
      <c r="G41" s="348">
        <v>0</v>
      </c>
    </row>
    <row r="42" spans="1:7" s="63" customFormat="1" ht="15" customHeight="1">
      <c r="A42" s="145">
        <v>344</v>
      </c>
      <c r="B42" s="102"/>
      <c r="C42" s="103" t="s">
        <v>83</v>
      </c>
      <c r="D42" s="105"/>
      <c r="E42" s="141"/>
      <c r="F42" s="105"/>
      <c r="G42" s="348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05"/>
      <c r="E43" s="141"/>
      <c r="F43" s="105"/>
      <c r="G43" s="348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05"/>
      <c r="E44" s="141"/>
      <c r="F44" s="105"/>
      <c r="G44" s="348">
        <v>8501.6</v>
      </c>
    </row>
    <row r="45" spans="1:7" s="62" customFormat="1" ht="15" customHeight="1">
      <c r="A45" s="101">
        <v>441</v>
      </c>
      <c r="B45" s="102"/>
      <c r="C45" s="103" t="s">
        <v>80</v>
      </c>
      <c r="D45" s="105"/>
      <c r="E45" s="141"/>
      <c r="F45" s="105"/>
      <c r="G45" s="348">
        <v>90</v>
      </c>
    </row>
    <row r="46" spans="1:7" s="62" customFormat="1" ht="15" customHeight="1">
      <c r="A46" s="101">
        <v>442</v>
      </c>
      <c r="B46" s="102"/>
      <c r="C46" s="103" t="s">
        <v>81</v>
      </c>
      <c r="D46" s="105"/>
      <c r="E46" s="141"/>
      <c r="F46" s="105"/>
      <c r="G46" s="348">
        <v>414</v>
      </c>
    </row>
    <row r="47" spans="1:7" s="62" customFormat="1" ht="15" customHeight="1">
      <c r="A47" s="101">
        <v>443</v>
      </c>
      <c r="B47" s="102"/>
      <c r="C47" s="103" t="s">
        <v>82</v>
      </c>
      <c r="D47" s="105"/>
      <c r="E47" s="141"/>
      <c r="F47" s="105"/>
      <c r="G47" s="348">
        <v>2427</v>
      </c>
    </row>
    <row r="48" spans="1:7" s="62" customFormat="1" ht="15" customHeight="1">
      <c r="A48" s="101">
        <v>444</v>
      </c>
      <c r="B48" s="102"/>
      <c r="C48" s="103" t="s">
        <v>83</v>
      </c>
      <c r="D48" s="105"/>
      <c r="E48" s="141"/>
      <c r="F48" s="105"/>
      <c r="G48" s="348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05"/>
      <c r="E49" s="141"/>
      <c r="F49" s="105"/>
      <c r="G49" s="348">
        <v>8234</v>
      </c>
    </row>
    <row r="50" spans="1:7" s="62" customFormat="1" ht="15" customHeight="1">
      <c r="A50" s="101">
        <v>446</v>
      </c>
      <c r="B50" s="102"/>
      <c r="C50" s="103" t="s">
        <v>85</v>
      </c>
      <c r="D50" s="105"/>
      <c r="E50" s="141"/>
      <c r="F50" s="105"/>
      <c r="G50" s="348">
        <v>148751.1</v>
      </c>
    </row>
    <row r="51" spans="1:7" s="62" customFormat="1" ht="15" customHeight="1">
      <c r="A51" s="101">
        <v>447</v>
      </c>
      <c r="B51" s="102"/>
      <c r="C51" s="103" t="s">
        <v>86</v>
      </c>
      <c r="D51" s="105"/>
      <c r="E51" s="141"/>
      <c r="F51" s="105"/>
      <c r="G51" s="348">
        <v>23616</v>
      </c>
    </row>
    <row r="52" spans="1:7" s="62" customFormat="1" ht="15" customHeight="1">
      <c r="A52" s="101">
        <v>448</v>
      </c>
      <c r="B52" s="102"/>
      <c r="C52" s="103" t="s">
        <v>87</v>
      </c>
      <c r="D52" s="105"/>
      <c r="E52" s="141"/>
      <c r="F52" s="105"/>
      <c r="G52" s="348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05"/>
      <c r="E53" s="141"/>
      <c r="F53" s="105"/>
      <c r="G53" s="348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69"/>
      <c r="E54" s="171"/>
      <c r="F54" s="169"/>
      <c r="G54" s="353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0</v>
      </c>
      <c r="E55" s="15">
        <f t="shared" si="6"/>
        <v>0</v>
      </c>
      <c r="F55" s="15">
        <f t="shared" ref="F55:G55" si="7">SUM(F44:F53)-SUM(F38:F43)</f>
        <v>0</v>
      </c>
      <c r="G55" s="15">
        <f t="shared" si="7"/>
        <v>148781.70000000001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0</v>
      </c>
      <c r="E56" s="15">
        <f t="shared" si="8"/>
        <v>0</v>
      </c>
      <c r="F56" s="15">
        <f t="shared" ref="F56:G56" si="9">F55+F37</f>
        <v>0</v>
      </c>
      <c r="G56" s="15">
        <f t="shared" si="9"/>
        <v>29610.600000000384</v>
      </c>
    </row>
    <row r="57" spans="1:7" s="62" customFormat="1" ht="15.75" customHeight="1">
      <c r="A57" s="285">
        <v>380</v>
      </c>
      <c r="B57" s="286"/>
      <c r="C57" s="287" t="s">
        <v>484</v>
      </c>
      <c r="D57" s="98"/>
      <c r="E57" s="98"/>
      <c r="F57" s="98"/>
      <c r="G57" s="354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98"/>
      <c r="E58" s="98"/>
      <c r="F58" s="98"/>
      <c r="G58" s="354">
        <v>0</v>
      </c>
    </row>
    <row r="59" spans="1:7" s="63" customFormat="1" ht="14">
      <c r="A59" s="114">
        <v>383</v>
      </c>
      <c r="B59" s="115"/>
      <c r="C59" s="116" t="s">
        <v>57</v>
      </c>
      <c r="D59" s="270"/>
      <c r="E59" s="165"/>
      <c r="F59" s="270"/>
      <c r="G59" s="355">
        <v>0</v>
      </c>
    </row>
    <row r="60" spans="1:7" s="63" customFormat="1" ht="14">
      <c r="A60" s="114">
        <v>3840</v>
      </c>
      <c r="B60" s="115"/>
      <c r="C60" s="116" t="s">
        <v>241</v>
      </c>
      <c r="D60" s="118"/>
      <c r="E60" s="149"/>
      <c r="F60" s="118"/>
      <c r="G60" s="349">
        <v>0</v>
      </c>
    </row>
    <row r="61" spans="1:7" s="63" customFormat="1" ht="14">
      <c r="A61" s="114">
        <v>3841</v>
      </c>
      <c r="B61" s="115"/>
      <c r="C61" s="116" t="s">
        <v>242</v>
      </c>
      <c r="D61" s="118"/>
      <c r="E61" s="149"/>
      <c r="F61" s="118"/>
      <c r="G61" s="349">
        <v>0</v>
      </c>
    </row>
    <row r="62" spans="1:7" s="63" customFormat="1" ht="14">
      <c r="A62" s="177">
        <v>386</v>
      </c>
      <c r="B62" s="178"/>
      <c r="C62" s="179" t="s">
        <v>243</v>
      </c>
      <c r="D62" s="118"/>
      <c r="E62" s="149"/>
      <c r="F62" s="118"/>
      <c r="G62" s="349">
        <v>0</v>
      </c>
    </row>
    <row r="63" spans="1:7" s="63" customFormat="1" ht="28">
      <c r="A63" s="114">
        <v>387</v>
      </c>
      <c r="B63" s="115"/>
      <c r="C63" s="116" t="s">
        <v>58</v>
      </c>
      <c r="D63" s="118"/>
      <c r="E63" s="149"/>
      <c r="F63" s="118"/>
      <c r="G63" s="349">
        <v>0</v>
      </c>
    </row>
    <row r="64" spans="1:7" s="63" customFormat="1">
      <c r="A64" s="145">
        <v>389</v>
      </c>
      <c r="B64" s="294"/>
      <c r="C64" s="103" t="s">
        <v>7</v>
      </c>
      <c r="D64" s="105"/>
      <c r="E64" s="141"/>
      <c r="F64" s="105"/>
      <c r="G64" s="348">
        <v>0</v>
      </c>
    </row>
    <row r="65" spans="1:7" s="62" customFormat="1">
      <c r="A65" s="145" t="s">
        <v>471</v>
      </c>
      <c r="B65" s="102"/>
      <c r="C65" s="103" t="s">
        <v>244</v>
      </c>
      <c r="D65" s="105"/>
      <c r="E65" s="141"/>
      <c r="F65" s="105"/>
      <c r="G65" s="348">
        <v>0</v>
      </c>
    </row>
    <row r="66" spans="1:7" s="95" customFormat="1" ht="14">
      <c r="A66" s="221" t="s">
        <v>472</v>
      </c>
      <c r="B66" s="111"/>
      <c r="C66" s="116" t="s">
        <v>245</v>
      </c>
      <c r="D66" s="270"/>
      <c r="E66" s="165"/>
      <c r="F66" s="270"/>
      <c r="G66" s="355">
        <v>0</v>
      </c>
    </row>
    <row r="67" spans="1:7" s="62" customFormat="1">
      <c r="A67" s="110">
        <v>481</v>
      </c>
      <c r="B67" s="102"/>
      <c r="C67" s="103" t="s">
        <v>246</v>
      </c>
      <c r="D67" s="105"/>
      <c r="E67" s="141"/>
      <c r="F67" s="105"/>
      <c r="G67" s="348">
        <v>0</v>
      </c>
    </row>
    <row r="68" spans="1:7" s="62" customFormat="1">
      <c r="A68" s="110">
        <v>482</v>
      </c>
      <c r="B68" s="102"/>
      <c r="C68" s="103" t="s">
        <v>247</v>
      </c>
      <c r="D68" s="105"/>
      <c r="E68" s="141"/>
      <c r="F68" s="105"/>
      <c r="G68" s="348">
        <v>0</v>
      </c>
    </row>
    <row r="69" spans="1:7" s="62" customFormat="1">
      <c r="A69" s="110">
        <v>483</v>
      </c>
      <c r="B69" s="102"/>
      <c r="C69" s="103" t="s">
        <v>248</v>
      </c>
      <c r="D69" s="105"/>
      <c r="E69" s="141"/>
      <c r="F69" s="105"/>
      <c r="G69" s="348">
        <v>0</v>
      </c>
    </row>
    <row r="70" spans="1:7" s="62" customFormat="1">
      <c r="A70" s="110">
        <v>484</v>
      </c>
      <c r="B70" s="102"/>
      <c r="C70" s="103" t="s">
        <v>249</v>
      </c>
      <c r="D70" s="105"/>
      <c r="E70" s="141"/>
      <c r="F70" s="105"/>
      <c r="G70" s="348">
        <v>0</v>
      </c>
    </row>
    <row r="71" spans="1:7" s="62" customFormat="1">
      <c r="A71" s="110">
        <v>485</v>
      </c>
      <c r="B71" s="102"/>
      <c r="C71" s="103" t="s">
        <v>250</v>
      </c>
      <c r="D71" s="105"/>
      <c r="E71" s="141"/>
      <c r="F71" s="105"/>
      <c r="G71" s="348">
        <v>0</v>
      </c>
    </row>
    <row r="72" spans="1:7" s="62" customFormat="1">
      <c r="A72" s="110">
        <v>486</v>
      </c>
      <c r="B72" s="102"/>
      <c r="C72" s="103" t="s">
        <v>251</v>
      </c>
      <c r="D72" s="105"/>
      <c r="E72" s="141"/>
      <c r="F72" s="105"/>
      <c r="G72" s="348">
        <v>0</v>
      </c>
    </row>
    <row r="73" spans="1:7" s="63" customFormat="1">
      <c r="A73" s="110">
        <v>487</v>
      </c>
      <c r="B73" s="108"/>
      <c r="C73" s="103" t="s">
        <v>64</v>
      </c>
      <c r="D73" s="105"/>
      <c r="E73" s="141"/>
      <c r="F73" s="105"/>
      <c r="G73" s="348">
        <v>0</v>
      </c>
    </row>
    <row r="74" spans="1:7" s="63" customFormat="1">
      <c r="A74" s="110">
        <v>489</v>
      </c>
      <c r="B74" s="182"/>
      <c r="C74" s="133" t="s">
        <v>18</v>
      </c>
      <c r="D74" s="105"/>
      <c r="E74" s="141"/>
      <c r="F74" s="105"/>
      <c r="G74" s="348">
        <v>0</v>
      </c>
    </row>
    <row r="75" spans="1:7" s="63" customFormat="1">
      <c r="A75" s="181" t="s">
        <v>381</v>
      </c>
      <c r="B75" s="182"/>
      <c r="C75" s="167" t="s">
        <v>382</v>
      </c>
      <c r="D75" s="105"/>
      <c r="E75" s="141"/>
      <c r="F75" s="105"/>
      <c r="G75" s="348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0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0</v>
      </c>
      <c r="E77" s="15">
        <f t="shared" si="12"/>
        <v>0</v>
      </c>
      <c r="F77" s="15">
        <f t="shared" ref="F77:G77" si="13">F56+F76</f>
        <v>0</v>
      </c>
      <c r="G77" s="15">
        <f t="shared" si="13"/>
        <v>29610.600000000384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0</v>
      </c>
      <c r="E78" s="37">
        <f t="shared" si="14"/>
        <v>0</v>
      </c>
      <c r="F78" s="37">
        <f t="shared" ref="F78" si="15">F20+F21+SUM(F38:F43)+SUM(F57:F64)</f>
        <v>0</v>
      </c>
      <c r="G78" s="37">
        <f>G20+G21+SUM(G38:G43)+SUM(G57:G64)</f>
        <v>5014539.8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0</v>
      </c>
      <c r="E79" s="37">
        <f t="shared" si="16"/>
        <v>0</v>
      </c>
      <c r="F79" s="37">
        <f t="shared" ref="F79:G79" si="17">F35+F36+SUM(F44:F53)+SUM(F65:F74)</f>
        <v>0</v>
      </c>
      <c r="G79" s="37">
        <f t="shared" si="17"/>
        <v>5044150.4000000004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05"/>
      <c r="E82" s="141"/>
      <c r="F82" s="105"/>
      <c r="G82" s="348">
        <v>250288.6</v>
      </c>
    </row>
    <row r="83" spans="1:7" s="62" customFormat="1">
      <c r="A83" s="186">
        <v>51</v>
      </c>
      <c r="B83" s="187"/>
      <c r="C83" s="187" t="s">
        <v>253</v>
      </c>
      <c r="D83" s="105"/>
      <c r="E83" s="141"/>
      <c r="F83" s="105"/>
      <c r="G83" s="348">
        <v>0</v>
      </c>
    </row>
    <row r="84" spans="1:7" s="62" customFormat="1">
      <c r="A84" s="186">
        <v>52</v>
      </c>
      <c r="B84" s="187"/>
      <c r="C84" s="187" t="s">
        <v>254</v>
      </c>
      <c r="D84" s="105"/>
      <c r="E84" s="141"/>
      <c r="F84" s="105"/>
      <c r="G84" s="348">
        <v>0</v>
      </c>
    </row>
    <row r="85" spans="1:7" s="62" customFormat="1">
      <c r="A85" s="188">
        <v>54</v>
      </c>
      <c r="B85" s="189"/>
      <c r="C85" s="189" t="s">
        <v>89</v>
      </c>
      <c r="D85" s="150"/>
      <c r="E85" s="141"/>
      <c r="F85" s="150"/>
      <c r="G85" s="348">
        <v>0</v>
      </c>
    </row>
    <row r="86" spans="1:7" s="62" customFormat="1">
      <c r="A86" s="188">
        <v>55</v>
      </c>
      <c r="B86" s="189"/>
      <c r="C86" s="189" t="s">
        <v>181</v>
      </c>
      <c r="D86" s="150"/>
      <c r="E86" s="141"/>
      <c r="F86" s="150"/>
      <c r="G86" s="348">
        <v>0</v>
      </c>
    </row>
    <row r="87" spans="1:7" s="62" customFormat="1">
      <c r="A87" s="188">
        <v>56</v>
      </c>
      <c r="B87" s="189"/>
      <c r="C87" s="189" t="s">
        <v>255</v>
      </c>
      <c r="D87" s="150"/>
      <c r="E87" s="141"/>
      <c r="F87" s="150"/>
      <c r="G87" s="348">
        <v>20336.5</v>
      </c>
    </row>
    <row r="88" spans="1:7" s="62" customFormat="1">
      <c r="A88" s="186">
        <v>57</v>
      </c>
      <c r="B88" s="187"/>
      <c r="C88" s="187" t="s">
        <v>150</v>
      </c>
      <c r="D88" s="105"/>
      <c r="E88" s="141"/>
      <c r="F88" s="105"/>
      <c r="G88" s="348">
        <v>5758.5</v>
      </c>
    </row>
    <row r="89" spans="1:7" s="62" customFormat="1">
      <c r="A89" s="186">
        <v>580</v>
      </c>
      <c r="B89" s="187"/>
      <c r="C89" s="187" t="s">
        <v>256</v>
      </c>
      <c r="D89" s="105"/>
      <c r="E89" s="141"/>
      <c r="F89" s="105"/>
      <c r="G89" s="348">
        <v>0</v>
      </c>
    </row>
    <row r="90" spans="1:7" s="62" customFormat="1">
      <c r="A90" s="186">
        <v>582</v>
      </c>
      <c r="B90" s="187"/>
      <c r="C90" s="187" t="s">
        <v>257</v>
      </c>
      <c r="D90" s="105"/>
      <c r="E90" s="141"/>
      <c r="F90" s="105"/>
      <c r="G90" s="348">
        <v>0</v>
      </c>
    </row>
    <row r="91" spans="1:7" s="62" customFormat="1">
      <c r="A91" s="186">
        <v>584</v>
      </c>
      <c r="B91" s="187"/>
      <c r="C91" s="187" t="s">
        <v>258</v>
      </c>
      <c r="D91" s="105"/>
      <c r="E91" s="141"/>
      <c r="F91" s="105"/>
      <c r="G91" s="348">
        <v>0</v>
      </c>
    </row>
    <row r="92" spans="1:7" s="62" customFormat="1">
      <c r="A92" s="186">
        <v>585</v>
      </c>
      <c r="B92" s="187"/>
      <c r="C92" s="187" t="s">
        <v>259</v>
      </c>
      <c r="D92" s="105"/>
      <c r="E92" s="141"/>
      <c r="F92" s="105"/>
      <c r="G92" s="348">
        <v>0</v>
      </c>
    </row>
    <row r="93" spans="1:7" s="62" customFormat="1">
      <c r="A93" s="186">
        <v>586</v>
      </c>
      <c r="B93" s="187"/>
      <c r="C93" s="187" t="s">
        <v>260</v>
      </c>
      <c r="D93" s="105"/>
      <c r="E93" s="141"/>
      <c r="F93" s="105"/>
      <c r="G93" s="348">
        <v>0</v>
      </c>
    </row>
    <row r="94" spans="1:7" s="62" customFormat="1">
      <c r="A94" s="190">
        <v>589</v>
      </c>
      <c r="B94" s="191"/>
      <c r="C94" s="191" t="s">
        <v>261</v>
      </c>
      <c r="D94" s="135"/>
      <c r="E94" s="147"/>
      <c r="F94" s="135"/>
      <c r="G94" s="352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0</v>
      </c>
      <c r="E95" s="33">
        <f t="shared" si="18"/>
        <v>0</v>
      </c>
      <c r="F95" s="33">
        <f t="shared" ref="F95:G95" si="19">SUM(F82:F94)</f>
        <v>0</v>
      </c>
      <c r="G95" s="33">
        <f t="shared" si="19"/>
        <v>276383.59999999998</v>
      </c>
    </row>
    <row r="96" spans="1:7" s="62" customFormat="1">
      <c r="A96" s="186">
        <v>60</v>
      </c>
      <c r="B96" s="187"/>
      <c r="C96" s="187" t="s">
        <v>262</v>
      </c>
      <c r="D96" s="105"/>
      <c r="E96" s="141"/>
      <c r="F96" s="105"/>
      <c r="G96" s="348">
        <v>4250</v>
      </c>
    </row>
    <row r="97" spans="1:7" s="62" customFormat="1">
      <c r="A97" s="186">
        <v>61</v>
      </c>
      <c r="B97" s="187"/>
      <c r="C97" s="187" t="s">
        <v>263</v>
      </c>
      <c r="D97" s="105"/>
      <c r="E97" s="141"/>
      <c r="F97" s="105"/>
      <c r="G97" s="348">
        <v>0</v>
      </c>
    </row>
    <row r="98" spans="1:7" s="62" customFormat="1">
      <c r="A98" s="186">
        <v>62</v>
      </c>
      <c r="B98" s="187"/>
      <c r="C98" s="187" t="s">
        <v>264</v>
      </c>
      <c r="D98" s="105"/>
      <c r="E98" s="141"/>
      <c r="F98" s="105"/>
      <c r="G98" s="348">
        <v>0</v>
      </c>
    </row>
    <row r="99" spans="1:7" s="62" customFormat="1">
      <c r="A99" s="186">
        <v>63</v>
      </c>
      <c r="B99" s="187"/>
      <c r="C99" s="187" t="s">
        <v>265</v>
      </c>
      <c r="D99" s="105"/>
      <c r="E99" s="141"/>
      <c r="F99" s="105"/>
      <c r="G99" s="348">
        <v>83121.7</v>
      </c>
    </row>
    <row r="100" spans="1:7" s="62" customFormat="1">
      <c r="A100" s="188">
        <v>64</v>
      </c>
      <c r="B100" s="189"/>
      <c r="C100" s="189" t="s">
        <v>185</v>
      </c>
      <c r="D100" s="150"/>
      <c r="E100" s="141"/>
      <c r="F100" s="150"/>
      <c r="G100" s="348">
        <v>0</v>
      </c>
    </row>
    <row r="101" spans="1:7" s="62" customFormat="1">
      <c r="A101" s="188">
        <v>65</v>
      </c>
      <c r="B101" s="189"/>
      <c r="C101" s="189" t="s">
        <v>186</v>
      </c>
      <c r="D101" s="150"/>
      <c r="E101" s="141"/>
      <c r="F101" s="150"/>
      <c r="G101" s="348">
        <v>0</v>
      </c>
    </row>
    <row r="102" spans="1:7" s="62" customFormat="1">
      <c r="A102" s="188">
        <v>66</v>
      </c>
      <c r="B102" s="189"/>
      <c r="C102" s="189" t="s">
        <v>266</v>
      </c>
      <c r="D102" s="150"/>
      <c r="E102" s="141"/>
      <c r="F102" s="150"/>
      <c r="G102" s="348">
        <v>20</v>
      </c>
    </row>
    <row r="103" spans="1:7" s="62" customFormat="1">
      <c r="A103" s="186">
        <v>67</v>
      </c>
      <c r="B103" s="187"/>
      <c r="C103" s="187" t="s">
        <v>150</v>
      </c>
      <c r="D103" s="105"/>
      <c r="E103" s="138"/>
      <c r="F103" s="105"/>
      <c r="G103" s="346">
        <v>5758.5</v>
      </c>
    </row>
    <row r="104" spans="1:7" s="62" customFormat="1" ht="28">
      <c r="A104" s="192" t="s">
        <v>268</v>
      </c>
      <c r="B104" s="187"/>
      <c r="C104" s="193" t="s">
        <v>267</v>
      </c>
      <c r="D104" s="104"/>
      <c r="E104" s="138"/>
      <c r="F104" s="104"/>
      <c r="G104" s="346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34"/>
      <c r="E105" s="151"/>
      <c r="F105" s="134"/>
      <c r="G105" s="356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0</v>
      </c>
      <c r="E106" s="33">
        <f t="shared" si="20"/>
        <v>0</v>
      </c>
      <c r="F106" s="33">
        <f t="shared" ref="F106:G106" si="21">SUM(F96:F105)</f>
        <v>0</v>
      </c>
      <c r="G106" s="33">
        <f t="shared" si="21"/>
        <v>93150.2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0</v>
      </c>
      <c r="E107" s="33">
        <f t="shared" si="22"/>
        <v>0</v>
      </c>
      <c r="F107" s="33">
        <f t="shared" ref="F107:G107" si="23">(F95-F88)-(F106-F103)</f>
        <v>0</v>
      </c>
      <c r="G107" s="33">
        <f t="shared" si="23"/>
        <v>183233.39999999997</v>
      </c>
    </row>
    <row r="108" spans="1:7">
      <c r="A108" s="30" t="s">
        <v>407</v>
      </c>
      <c r="B108" s="30"/>
      <c r="C108" s="49" t="s">
        <v>151</v>
      </c>
      <c r="D108" s="33">
        <f t="shared" ref="D108:E108" si="24">D107-D85-D86+D100+D101</f>
        <v>0</v>
      </c>
      <c r="E108" s="33">
        <f t="shared" si="24"/>
        <v>0</v>
      </c>
      <c r="F108" s="33">
        <f t="shared" ref="F108:G108" si="25">F107-F85-F86+F100+F101</f>
        <v>0</v>
      </c>
      <c r="G108" s="33">
        <f t="shared" si="25"/>
        <v>183233.39999999997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0</v>
      </c>
      <c r="E111" s="337">
        <f t="shared" si="26"/>
        <v>0</v>
      </c>
      <c r="F111" s="336">
        <f t="shared" ref="F111:G111" si="27">F112+F117</f>
        <v>0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0</v>
      </c>
      <c r="E112" s="337">
        <f t="shared" si="28"/>
        <v>0</v>
      </c>
      <c r="F112" s="336">
        <f t="shared" ref="F112:G112" si="29">F113+F114+F115+F116</f>
        <v>0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/>
      <c r="E113" s="113"/>
      <c r="F113" s="105"/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/>
      <c r="E114" s="271"/>
      <c r="F114" s="270"/>
      <c r="G114" s="271"/>
    </row>
    <row r="115" spans="1:7" s="62" customFormat="1">
      <c r="A115" s="212">
        <v>104</v>
      </c>
      <c r="B115" s="206"/>
      <c r="C115" s="206" t="s">
        <v>273</v>
      </c>
      <c r="D115" s="105"/>
      <c r="E115" s="113"/>
      <c r="F115" s="105"/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/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0</v>
      </c>
      <c r="E117" s="337">
        <f t="shared" si="30"/>
        <v>0</v>
      </c>
      <c r="F117" s="336">
        <f t="shared" ref="F117:G117" si="31">F118+F119+F120</f>
        <v>0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/>
      <c r="E118" s="113"/>
      <c r="F118" s="105"/>
      <c r="G118" s="113"/>
    </row>
    <row r="119" spans="1:7" s="62" customFormat="1">
      <c r="A119" s="212">
        <v>108</v>
      </c>
      <c r="B119" s="206"/>
      <c r="C119" s="206" t="s">
        <v>295</v>
      </c>
      <c r="D119" s="105"/>
      <c r="E119" s="113"/>
      <c r="F119" s="105"/>
      <c r="G119" s="113"/>
    </row>
    <row r="120" spans="1:7" s="203" customFormat="1" ht="14">
      <c r="A120" s="262">
        <v>109</v>
      </c>
      <c r="B120" s="263"/>
      <c r="C120" s="263" t="s">
        <v>281</v>
      </c>
      <c r="D120" s="117"/>
      <c r="E120" s="249"/>
      <c r="F120" s="117"/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0</v>
      </c>
      <c r="E121" s="336">
        <f t="shared" si="32"/>
        <v>0</v>
      </c>
      <c r="F121" s="336">
        <f t="shared" ref="F121:G121" si="33">SUM(F122:F130)</f>
        <v>0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/>
      <c r="E122" s="113"/>
      <c r="F122" s="105"/>
      <c r="G122" s="113"/>
    </row>
    <row r="123" spans="1:7" s="62" customFormat="1">
      <c r="A123" s="212">
        <v>144</v>
      </c>
      <c r="B123" s="206"/>
      <c r="C123" s="206" t="s">
        <v>89</v>
      </c>
      <c r="D123" s="105"/>
      <c r="E123" s="113"/>
      <c r="F123" s="105"/>
      <c r="G123" s="113"/>
    </row>
    <row r="124" spans="1:7" s="62" customFormat="1">
      <c r="A124" s="212">
        <v>145</v>
      </c>
      <c r="B124" s="206"/>
      <c r="C124" s="206" t="s">
        <v>90</v>
      </c>
      <c r="D124" s="105"/>
      <c r="E124" s="210"/>
      <c r="F124" s="105"/>
      <c r="G124" s="210"/>
    </row>
    <row r="125" spans="1:7" s="62" customFormat="1">
      <c r="A125" s="212">
        <v>146</v>
      </c>
      <c r="B125" s="206"/>
      <c r="C125" s="206" t="s">
        <v>275</v>
      </c>
      <c r="D125" s="105"/>
      <c r="E125" s="210"/>
      <c r="F125" s="105"/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/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/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/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/>
      <c r="G130" s="277"/>
    </row>
    <row r="131" spans="1:7">
      <c r="A131" s="13">
        <v>1</v>
      </c>
      <c r="B131" s="14"/>
      <c r="C131" s="13" t="s">
        <v>29</v>
      </c>
      <c r="D131" s="18">
        <f>D111+D121</f>
        <v>0</v>
      </c>
      <c r="E131" s="18">
        <f>E111+E121</f>
        <v>0</v>
      </c>
      <c r="F131" s="18">
        <f>F111+F121</f>
        <v>0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G133" si="34">D134+D139</f>
        <v>0</v>
      </c>
      <c r="E133" s="339">
        <f t="shared" si="34"/>
        <v>0</v>
      </c>
      <c r="F133" s="338">
        <f t="shared" si="34"/>
        <v>0</v>
      </c>
      <c r="G133" s="339">
        <f t="shared" si="34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5">D135+D136+D138+D139</f>
        <v>0</v>
      </c>
      <c r="E134" s="337">
        <f t="shared" si="35"/>
        <v>0</v>
      </c>
      <c r="F134" s="336">
        <f t="shared" ref="F134:G134" si="36">F135+F136+F138+F139</f>
        <v>0</v>
      </c>
      <c r="G134" s="337">
        <f t="shared" si="36"/>
        <v>0</v>
      </c>
    </row>
    <row r="135" spans="1:7" s="63" customFormat="1">
      <c r="A135" s="208">
        <v>200</v>
      </c>
      <c r="B135" s="206"/>
      <c r="C135" s="206" t="s">
        <v>31</v>
      </c>
      <c r="D135" s="105"/>
      <c r="E135" s="113"/>
      <c r="F135" s="105"/>
      <c r="G135" s="113"/>
    </row>
    <row r="136" spans="1:7" s="63" customFormat="1">
      <c r="A136" s="208">
        <v>201</v>
      </c>
      <c r="B136" s="206"/>
      <c r="C136" s="206" t="s">
        <v>32</v>
      </c>
      <c r="D136" s="105"/>
      <c r="E136" s="113"/>
      <c r="F136" s="105"/>
      <c r="G136" s="113"/>
    </row>
    <row r="137" spans="1:7" s="63" customFormat="1">
      <c r="A137" s="204" t="s">
        <v>91</v>
      </c>
      <c r="B137" s="205"/>
      <c r="C137" s="205" t="s">
        <v>92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282</v>
      </c>
      <c r="D138" s="105"/>
      <c r="E138" s="210"/>
      <c r="F138" s="105"/>
      <c r="G138" s="210"/>
    </row>
    <row r="139" spans="1:7" s="63" customFormat="1">
      <c r="A139" s="208">
        <v>205</v>
      </c>
      <c r="B139" s="206"/>
      <c r="C139" s="206" t="s">
        <v>296</v>
      </c>
      <c r="D139" s="105"/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7">D141+D143+D144</f>
        <v>0</v>
      </c>
      <c r="E140" s="337">
        <f t="shared" si="37"/>
        <v>0</v>
      </c>
      <c r="F140" s="336">
        <f t="shared" ref="F140:G140" si="38">F141+F143+F144</f>
        <v>0</v>
      </c>
      <c r="G140" s="337">
        <f t="shared" si="38"/>
        <v>0</v>
      </c>
    </row>
    <row r="141" spans="1:7" s="63" customFormat="1">
      <c r="A141" s="208">
        <v>206</v>
      </c>
      <c r="B141" s="206"/>
      <c r="C141" s="206" t="s">
        <v>33</v>
      </c>
      <c r="D141" s="105"/>
      <c r="E141" s="210"/>
      <c r="F141" s="105"/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155"/>
      <c r="F142" s="150"/>
      <c r="G142" s="155"/>
    </row>
    <row r="143" spans="1:7" s="63" customFormat="1">
      <c r="A143" s="208">
        <v>208</v>
      </c>
      <c r="B143" s="206"/>
      <c r="C143" s="206" t="s">
        <v>297</v>
      </c>
      <c r="D143" s="105"/>
      <c r="E143" s="113"/>
      <c r="F143" s="105"/>
      <c r="G143" s="113"/>
    </row>
    <row r="144" spans="1:7" s="64" customFormat="1" ht="28">
      <c r="A144" s="262">
        <v>209</v>
      </c>
      <c r="B144" s="263"/>
      <c r="C144" s="263" t="s">
        <v>285</v>
      </c>
      <c r="D144" s="117"/>
      <c r="E144" s="249"/>
      <c r="F144" s="117"/>
      <c r="G144" s="249"/>
    </row>
    <row r="145" spans="1:7" s="62" customFormat="1">
      <c r="A145" s="257">
        <v>29</v>
      </c>
      <c r="B145" s="255"/>
      <c r="C145" s="255" t="s">
        <v>36</v>
      </c>
      <c r="D145" s="209"/>
      <c r="E145" s="210"/>
      <c r="F145" s="209"/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/>
      <c r="G146" s="174"/>
    </row>
    <row r="147" spans="1:7">
      <c r="A147" s="13">
        <v>2</v>
      </c>
      <c r="B147" s="14"/>
      <c r="C147" s="13" t="s">
        <v>34</v>
      </c>
      <c r="D147" s="18">
        <f>D133+D145</f>
        <v>0</v>
      </c>
      <c r="E147" s="18">
        <f>E133+E145</f>
        <v>0</v>
      </c>
      <c r="F147" s="18">
        <f>F133+F145</f>
        <v>0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39">D77+SUM(D8:D12)-D30-D31+D16-D33+D59+D63-D73+D64-D74-D54+D20-D35</f>
        <v>0</v>
      </c>
      <c r="E150" s="55">
        <f t="shared" si="39"/>
        <v>0</v>
      </c>
      <c r="F150" s="55">
        <f t="shared" ref="F150" si="40">F77+SUM(F8:F12)-F30-F31+F16-F33+F59+F63-F73+F64-F74-F54+F20-F35</f>
        <v>0</v>
      </c>
      <c r="G150" s="55">
        <f>G77+SUM(G8:G12)-G30-G31+G16-G33+G59+G63-G73+G64-G74-G54+G20-G35</f>
        <v>96080.900000000431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1">IF(D177=0,0,D150/D177)</f>
        <v>0</v>
      </c>
      <c r="E151" s="258">
        <f t="shared" si="41"/>
        <v>0</v>
      </c>
      <c r="F151" s="258">
        <f t="shared" ref="F151:G151" si="42">IF(F177=0,0,F150/F177)</f>
        <v>0</v>
      </c>
      <c r="G151" s="258">
        <f t="shared" si="42"/>
        <v>2.1216386210220182E-2</v>
      </c>
    </row>
    <row r="152" spans="1:7" s="91" customFormat="1" ht="28">
      <c r="A152" s="57" t="s">
        <v>404</v>
      </c>
      <c r="B152" s="310"/>
      <c r="C152" s="310" t="s">
        <v>161</v>
      </c>
      <c r="D152" s="244">
        <f t="shared" ref="D152:E152" si="43">IF(D107=0,0,D150/D107)</f>
        <v>0</v>
      </c>
      <c r="E152" s="244">
        <f t="shared" si="43"/>
        <v>0</v>
      </c>
      <c r="F152" s="244">
        <f t="shared" ref="F152:G152" si="44">IF(F107=0,0,F150/F107)</f>
        <v>0</v>
      </c>
      <c r="G152" s="244">
        <f t="shared" si="44"/>
        <v>0.52436346211989981</v>
      </c>
    </row>
    <row r="153" spans="1:7" s="91" customFormat="1" ht="28">
      <c r="A153" s="60" t="s">
        <v>404</v>
      </c>
      <c r="B153" s="311"/>
      <c r="C153" s="311" t="s">
        <v>162</v>
      </c>
      <c r="D153" s="246">
        <f t="shared" ref="D153:E153" si="45">IF(0=D108,0,D150/D108)</f>
        <v>0</v>
      </c>
      <c r="E153" s="246">
        <f t="shared" si="45"/>
        <v>0</v>
      </c>
      <c r="F153" s="246">
        <f t="shared" ref="F153:G153" si="46">IF(0=F108,0,F150/F108)</f>
        <v>0</v>
      </c>
      <c r="G153" s="246">
        <f t="shared" si="46"/>
        <v>0.52436346211989981</v>
      </c>
    </row>
    <row r="154" spans="1:7" ht="28">
      <c r="A154" s="58" t="s">
        <v>412</v>
      </c>
      <c r="B154" s="309"/>
      <c r="C154" s="309" t="s">
        <v>163</v>
      </c>
      <c r="D154" s="59">
        <f t="shared" ref="D154:E154" si="47">D150-D107</f>
        <v>0</v>
      </c>
      <c r="E154" s="59">
        <f t="shared" si="47"/>
        <v>0</v>
      </c>
      <c r="F154" s="59">
        <f t="shared" ref="F154:G154" si="48">F150-F107</f>
        <v>0</v>
      </c>
      <c r="G154" s="59">
        <f t="shared" si="48"/>
        <v>-87152.499999999534</v>
      </c>
    </row>
    <row r="155" spans="1:7" ht="28">
      <c r="A155" s="329" t="s">
        <v>413</v>
      </c>
      <c r="B155" s="321"/>
      <c r="C155" s="321" t="s">
        <v>164</v>
      </c>
      <c r="D155" s="56">
        <f t="shared" ref="D155:E155" si="49">D150-D108</f>
        <v>0</v>
      </c>
      <c r="E155" s="56">
        <f t="shared" si="49"/>
        <v>0</v>
      </c>
      <c r="F155" s="56">
        <f t="shared" ref="F155:G155" si="50">F150-F108</f>
        <v>0</v>
      </c>
      <c r="G155" s="56">
        <f t="shared" si="50"/>
        <v>-87152.499999999534</v>
      </c>
    </row>
    <row r="156" spans="1:7">
      <c r="A156" s="325" t="s">
        <v>391</v>
      </c>
      <c r="B156" s="307"/>
      <c r="C156" s="307" t="s">
        <v>35</v>
      </c>
      <c r="D156" s="47">
        <f t="shared" ref="D156:E156" si="51">D135+D136-D137+D141-D142</f>
        <v>0</v>
      </c>
      <c r="E156" s="47">
        <f t="shared" si="51"/>
        <v>0</v>
      </c>
      <c r="F156" s="47">
        <f t="shared" ref="F156:G156" si="52">F135+F136-F137+F141-F142</f>
        <v>0</v>
      </c>
      <c r="G156" s="47">
        <f t="shared" si="52"/>
        <v>0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3">IF(D177=0,0,D156/D177)</f>
        <v>0</v>
      </c>
      <c r="E157" s="241">
        <f t="shared" si="53"/>
        <v>0</v>
      </c>
      <c r="F157" s="241">
        <f t="shared" ref="F157:G157" si="54">IF(F177=0,0,F156/F177)</f>
        <v>0</v>
      </c>
      <c r="G157" s="241">
        <f t="shared" si="54"/>
        <v>0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5">D133-D142-D111</f>
        <v>0</v>
      </c>
      <c r="E158" s="47">
        <f t="shared" si="55"/>
        <v>0</v>
      </c>
      <c r="F158" s="47">
        <f t="shared" ref="F158:G158" si="56">F133-F142-F111</f>
        <v>0</v>
      </c>
      <c r="G158" s="47">
        <f t="shared" si="56"/>
        <v>0</v>
      </c>
    </row>
    <row r="159" spans="1:7">
      <c r="A159" s="326" t="s">
        <v>395</v>
      </c>
      <c r="B159" s="308"/>
      <c r="C159" s="308" t="s">
        <v>394</v>
      </c>
      <c r="D159" s="40">
        <f t="shared" ref="D159:E159" si="57">D121-D123-D124-D142-D145</f>
        <v>0</v>
      </c>
      <c r="E159" s="40">
        <f t="shared" si="57"/>
        <v>0</v>
      </c>
      <c r="F159" s="40">
        <f t="shared" ref="F159:G159" si="58">F121-F123-F124-F142-F145</f>
        <v>0</v>
      </c>
      <c r="G159" s="40">
        <f t="shared" si="58"/>
        <v>0</v>
      </c>
    </row>
    <row r="160" spans="1:7">
      <c r="A160" s="326" t="s">
        <v>400</v>
      </c>
      <c r="B160" s="308"/>
      <c r="C160" s="308" t="s">
        <v>115</v>
      </c>
      <c r="D160" s="240" t="str">
        <f t="shared" ref="D160:E160" si="59">IF(D175=0,"-",1000*D158/D175)</f>
        <v>-</v>
      </c>
      <c r="E160" s="240" t="str">
        <f t="shared" si="59"/>
        <v>-</v>
      </c>
      <c r="F160" s="240" t="str">
        <f t="shared" ref="F160:G160" si="60">IF(F175=0,"-",1000*F158/F175)</f>
        <v>-</v>
      </c>
      <c r="G160" s="240">
        <f t="shared" si="60"/>
        <v>0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1">IF(D175=0,0,1000*(D159/D175))</f>
        <v>0</v>
      </c>
      <c r="E161" s="40">
        <f t="shared" si="61"/>
        <v>0</v>
      </c>
      <c r="F161" s="40">
        <f t="shared" ref="F161:G161" si="62">IF(F175=0,0,1000*(F159/F175))</f>
        <v>0</v>
      </c>
      <c r="G161" s="40">
        <f t="shared" si="62"/>
        <v>0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3">IF((D22+D23+D65+D66)=0,0,D158/(D22+D23+D65+D66))</f>
        <v>0</v>
      </c>
      <c r="E162" s="241">
        <f t="shared" si="63"/>
        <v>0</v>
      </c>
      <c r="F162" s="241">
        <f t="shared" ref="F162:G162" si="64">IF((F22+F23+F65+F66)=0,0,F158/(F22+F23+F65+F66))</f>
        <v>0</v>
      </c>
      <c r="G162" s="241">
        <f t="shared" si="64"/>
        <v>0</v>
      </c>
    </row>
    <row r="163" spans="1:7">
      <c r="A163" s="326" t="s">
        <v>409</v>
      </c>
      <c r="B163" s="308"/>
      <c r="C163" s="308" t="s">
        <v>36</v>
      </c>
      <c r="D163" s="55">
        <f t="shared" ref="D163:E163" si="65">D145</f>
        <v>0</v>
      </c>
      <c r="E163" s="55">
        <f t="shared" si="65"/>
        <v>0</v>
      </c>
      <c r="F163" s="55">
        <f t="shared" ref="F163:G163" si="66">F145</f>
        <v>0</v>
      </c>
      <c r="G163" s="55">
        <f t="shared" si="66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67">IF(D177=0,0,D180/D177)</f>
        <v>0</v>
      </c>
      <c r="E165" s="259">
        <f t="shared" si="67"/>
        <v>0</v>
      </c>
      <c r="F165" s="259">
        <f t="shared" ref="F165:G165" si="68">IF(F177=0,0,F180/F177)</f>
        <v>0</v>
      </c>
      <c r="G165" s="259">
        <f t="shared" si="68"/>
        <v>4.5876715225414477E-2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69">D55</f>
        <v>0</v>
      </c>
      <c r="E166" s="55">
        <f t="shared" si="69"/>
        <v>0</v>
      </c>
      <c r="F166" s="55">
        <f t="shared" ref="F166:G166" si="70">F55</f>
        <v>0</v>
      </c>
      <c r="G166" s="55">
        <f t="shared" si="70"/>
        <v>148781.70000000001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1">IF(0=D111,0,(D44+D45+D46+D47+D48)/D111)</f>
        <v>0</v>
      </c>
      <c r="E167" s="241">
        <f t="shared" si="71"/>
        <v>0</v>
      </c>
      <c r="F167" s="241">
        <f t="shared" ref="F167:G167" si="72">IF(0=F111,0,(F44+F45+F46+F47+F48)/F111)</f>
        <v>0</v>
      </c>
      <c r="G167" s="241">
        <f t="shared" si="72"/>
        <v>0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3">D38-D44</f>
        <v>0</v>
      </c>
      <c r="E168" s="55">
        <f t="shared" si="73"/>
        <v>0</v>
      </c>
      <c r="F168" s="55">
        <f t="shared" ref="F168:G168" si="74">F38-F44</f>
        <v>0</v>
      </c>
      <c r="G168" s="55">
        <f t="shared" si="74"/>
        <v>33968.400000000001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75">IF(D177=0,0,D168/D177)</f>
        <v>0</v>
      </c>
      <c r="E169" s="258">
        <f t="shared" si="75"/>
        <v>0</v>
      </c>
      <c r="F169" s="258">
        <f t="shared" ref="F169:G169" si="76">IF(F177=0,0,F168/F177)</f>
        <v>0</v>
      </c>
      <c r="G169" s="258">
        <f t="shared" si="76"/>
        <v>7.5008320419900319E-3</v>
      </c>
    </row>
    <row r="170" spans="1:7">
      <c r="A170" s="326" t="s">
        <v>366</v>
      </c>
      <c r="B170" s="308"/>
      <c r="C170" s="308" t="s">
        <v>364</v>
      </c>
      <c r="D170" s="55">
        <f t="shared" ref="D170:E170" si="77">SUM(D82:D87)+SUM(D89:D94)</f>
        <v>0</v>
      </c>
      <c r="E170" s="55">
        <f t="shared" si="77"/>
        <v>0</v>
      </c>
      <c r="F170" s="55">
        <f t="shared" ref="F170:G170" si="78">SUM(F82:F87)+SUM(F89:F94)</f>
        <v>0</v>
      </c>
      <c r="G170" s="55">
        <f t="shared" si="78"/>
        <v>270625.09999999998</v>
      </c>
    </row>
    <row r="171" spans="1:7">
      <c r="A171" s="326" t="s">
        <v>367</v>
      </c>
      <c r="B171" s="308"/>
      <c r="C171" s="308" t="s">
        <v>365</v>
      </c>
      <c r="D171" s="40">
        <f t="shared" ref="D171:E171" si="79">SUM(D96:D102)+SUM(D104:D105)</f>
        <v>0</v>
      </c>
      <c r="E171" s="40">
        <f t="shared" si="79"/>
        <v>0</v>
      </c>
      <c r="F171" s="40">
        <f t="shared" ref="F171:G171" si="80">SUM(F96:F102)+SUM(F104:F105)</f>
        <v>0</v>
      </c>
      <c r="G171" s="40">
        <f t="shared" si="80"/>
        <v>87391.7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1">IF(D184=0,0,D170/D184)</f>
        <v>0</v>
      </c>
      <c r="E172" s="259">
        <f t="shared" si="81"/>
        <v>0</v>
      </c>
      <c r="F172" s="259">
        <f t="shared" ref="F172:G172" si="82">IF(F184=0,0,F170/F184)</f>
        <v>0</v>
      </c>
      <c r="G172" s="259">
        <f t="shared" si="82"/>
        <v>5.9257374702092892E-2</v>
      </c>
    </row>
    <row r="174" spans="1:7">
      <c r="A174" s="11" t="s">
        <v>97</v>
      </c>
      <c r="C174" s="11"/>
      <c r="D174" s="17"/>
      <c r="E174" s="17"/>
      <c r="F174" s="17"/>
      <c r="G174" s="17"/>
    </row>
    <row r="175" spans="1:7" s="62" customFormat="1">
      <c r="A175" s="1" t="s">
        <v>386</v>
      </c>
      <c r="B175" s="1"/>
      <c r="C175" s="1" t="s">
        <v>188</v>
      </c>
      <c r="D175" s="66"/>
      <c r="E175" s="340"/>
      <c r="F175" s="66"/>
      <c r="G175" s="340">
        <v>645595</v>
      </c>
    </row>
    <row r="176" spans="1:7">
      <c r="A176" s="22" t="s">
        <v>98</v>
      </c>
      <c r="B176" s="23"/>
      <c r="C176" s="23"/>
      <c r="D176" s="23"/>
      <c r="E176" s="23"/>
      <c r="F176" s="23"/>
      <c r="G176" s="23"/>
    </row>
    <row r="177" spans="1:7">
      <c r="A177" s="23" t="s">
        <v>380</v>
      </c>
      <c r="B177" s="23"/>
      <c r="C177" s="23" t="s">
        <v>99</v>
      </c>
      <c r="D177" s="39">
        <f t="shared" ref="D177:E177" si="83">SUM(D22:D32)+SUM(D44:D53)+SUM(D65:D72)+D75</f>
        <v>0</v>
      </c>
      <c r="E177" s="39">
        <f t="shared" si="83"/>
        <v>0</v>
      </c>
      <c r="F177" s="39">
        <f t="shared" ref="F177:G177" si="84">SUM(F22:F32)+SUM(F44:F53)+SUM(F65:F72)+F75</f>
        <v>0</v>
      </c>
      <c r="G177" s="39">
        <f t="shared" si="84"/>
        <v>4528617.6000000006</v>
      </c>
    </row>
    <row r="178" spans="1:7">
      <c r="A178" s="23" t="s">
        <v>385</v>
      </c>
      <c r="B178" s="23"/>
      <c r="C178" s="23" t="s">
        <v>100</v>
      </c>
      <c r="D178" s="39">
        <f t="shared" ref="D178:E178" si="85">D78-D17-D20-D59-D63-D64</f>
        <v>0</v>
      </c>
      <c r="E178" s="39">
        <f t="shared" si="85"/>
        <v>0</v>
      </c>
      <c r="F178" s="39">
        <f t="shared" ref="F178" si="86">F78-F17-F20-F59-F63-F64</f>
        <v>0</v>
      </c>
      <c r="G178" s="39">
        <f>G78-G17-G20-G59-G63-G64</f>
        <v>4499007</v>
      </c>
    </row>
    <row r="179" spans="1:7">
      <c r="A179" s="23"/>
      <c r="B179" s="23"/>
      <c r="C179" s="23" t="s">
        <v>388</v>
      </c>
      <c r="D179" s="39">
        <f t="shared" ref="D179:E179" si="87">D178+D170</f>
        <v>0</v>
      </c>
      <c r="E179" s="39">
        <f t="shared" si="87"/>
        <v>0</v>
      </c>
      <c r="F179" s="39">
        <f t="shared" ref="F179:G179" si="88">F178+F170</f>
        <v>0</v>
      </c>
      <c r="G179" s="39">
        <f t="shared" si="88"/>
        <v>4769632.0999999996</v>
      </c>
    </row>
    <row r="180" spans="1:7">
      <c r="A180" s="23" t="s">
        <v>389</v>
      </c>
      <c r="B180" s="23"/>
      <c r="C180" s="23" t="s">
        <v>390</v>
      </c>
      <c r="D180" s="39">
        <f t="shared" ref="D180:E180" si="89">D38-D44+D8+D9+D10+D16-D33</f>
        <v>0</v>
      </c>
      <c r="E180" s="39">
        <f t="shared" si="89"/>
        <v>0</v>
      </c>
      <c r="F180" s="39">
        <f t="shared" ref="F180" si="90">F38-F44+F8+F9+F10+F16-F33</f>
        <v>0</v>
      </c>
      <c r="G180" s="39">
        <f>G38-G44+G8+G9+G10+G16-G33</f>
        <v>207758.1</v>
      </c>
    </row>
    <row r="181" spans="1:7" ht="27.5" customHeight="1">
      <c r="A181" s="238" t="s">
        <v>376</v>
      </c>
      <c r="B181" s="71"/>
      <c r="C181" s="71" t="s">
        <v>374</v>
      </c>
      <c r="D181" s="73">
        <f t="shared" ref="D181:E181" si="91">D22+D23+D24+D25+D26+D29+SUM(D44:D47)+SUM(D49:D53)-D54+D32-D33+SUM(D65:D70)+D72</f>
        <v>0</v>
      </c>
      <c r="E181" s="73">
        <f t="shared" si="91"/>
        <v>0</v>
      </c>
      <c r="F181" s="73">
        <f t="shared" ref="F181:G181" si="92">F22+F23+F24+F25+F26+F29+SUM(F44:F47)+SUM(F49:F53)-F54+F32-F33+SUM(F65:F70)+F72</f>
        <v>0</v>
      </c>
      <c r="G181" s="73">
        <f t="shared" si="92"/>
        <v>4393599.5999999996</v>
      </c>
    </row>
    <row r="182" spans="1:7">
      <c r="A182" s="71" t="s">
        <v>375</v>
      </c>
      <c r="B182" s="71"/>
      <c r="C182" s="71" t="s">
        <v>170</v>
      </c>
      <c r="D182" s="73">
        <f t="shared" ref="D182:E182" si="93">D181+D171</f>
        <v>0</v>
      </c>
      <c r="E182" s="73">
        <f t="shared" si="93"/>
        <v>0</v>
      </c>
      <c r="F182" s="73">
        <f t="shared" ref="F182:G182" si="94">F181+F171</f>
        <v>0</v>
      </c>
      <c r="G182" s="73">
        <f t="shared" si="94"/>
        <v>4480991.3</v>
      </c>
    </row>
    <row r="183" spans="1:7">
      <c r="A183" s="71" t="s">
        <v>369</v>
      </c>
      <c r="B183" s="71"/>
      <c r="C183" s="71" t="s">
        <v>370</v>
      </c>
      <c r="D183" s="73">
        <f>D4+D5-D7+D38+D39+D40+D41+D43+D13-D16+D57+D58+D60+D62</f>
        <v>0</v>
      </c>
      <c r="E183" s="73">
        <f t="shared" ref="E183:G183" si="95">E4+E5-E7+E38+E39+E40+E41+E43+E13-E16+E57+E58+E60+E62</f>
        <v>0</v>
      </c>
      <c r="F183" s="73">
        <f t="shared" si="95"/>
        <v>0</v>
      </c>
      <c r="G183" s="73">
        <f t="shared" si="95"/>
        <v>4296318.7</v>
      </c>
    </row>
    <row r="184" spans="1:7">
      <c r="A184" s="71" t="s">
        <v>373</v>
      </c>
      <c r="B184" s="71"/>
      <c r="C184" s="71" t="s">
        <v>171</v>
      </c>
      <c r="D184" s="73">
        <f t="shared" ref="D184:E184" si="96">D183+D170</f>
        <v>0</v>
      </c>
      <c r="E184" s="73">
        <f t="shared" si="96"/>
        <v>0</v>
      </c>
      <c r="F184" s="73">
        <f t="shared" ref="F184:G184" si="97">F183+F170</f>
        <v>0</v>
      </c>
      <c r="G184" s="73">
        <f t="shared" si="97"/>
        <v>4566943.8</v>
      </c>
    </row>
    <row r="185" spans="1:7">
      <c r="A185" s="71"/>
      <c r="B185" s="71"/>
      <c r="C185" s="71" t="s">
        <v>405</v>
      </c>
      <c r="D185" s="73">
        <f t="shared" ref="D185:E186" si="98">D181-D183</f>
        <v>0</v>
      </c>
      <c r="E185" s="73">
        <f t="shared" si="98"/>
        <v>0</v>
      </c>
      <c r="F185" s="73">
        <f t="shared" ref="F185:G185" si="99">F181-F183</f>
        <v>0</v>
      </c>
      <c r="G185" s="73">
        <f t="shared" si="99"/>
        <v>97280.899999999441</v>
      </c>
    </row>
    <row r="186" spans="1:7">
      <c r="A186" s="71"/>
      <c r="B186" s="71"/>
      <c r="C186" s="71" t="s">
        <v>406</v>
      </c>
      <c r="D186" s="73">
        <f t="shared" si="98"/>
        <v>0</v>
      </c>
      <c r="E186" s="73">
        <f t="shared" si="98"/>
        <v>0</v>
      </c>
      <c r="F186" s="73">
        <f t="shared" ref="F186:G186" si="100">F182-F184</f>
        <v>0</v>
      </c>
      <c r="G186" s="73">
        <f t="shared" si="100"/>
        <v>-85952.5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AV186"/>
  <sheetViews>
    <sheetView view="pageLayout" topLeftCell="A166" zoomScaleNormal="115" workbookViewId="0">
      <selection activeCell="H183" sqref="H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8" s="2" customFormat="1" ht="18" customHeight="1">
      <c r="A1" s="45" t="s">
        <v>3</v>
      </c>
      <c r="B1" s="284" t="s">
        <v>211</v>
      </c>
      <c r="C1" s="284" t="s">
        <v>212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8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48" s="62" customFormat="1" ht="12.75" customHeight="1">
      <c r="A4" s="148">
        <v>30</v>
      </c>
      <c r="B4" s="96"/>
      <c r="C4" s="97" t="s">
        <v>1</v>
      </c>
      <c r="D4" s="98">
        <v>362410</v>
      </c>
      <c r="E4" s="100">
        <v>371282</v>
      </c>
      <c r="F4" s="98">
        <v>369165</v>
      </c>
      <c r="G4" s="100">
        <v>375735</v>
      </c>
    </row>
    <row r="5" spans="1:48" s="62" customFormat="1" ht="12.75" customHeight="1">
      <c r="A5" s="101">
        <v>31</v>
      </c>
      <c r="B5" s="102"/>
      <c r="C5" s="103" t="s">
        <v>4</v>
      </c>
      <c r="D5" s="105">
        <v>140502</v>
      </c>
      <c r="E5" s="106">
        <v>143526</v>
      </c>
      <c r="F5" s="105">
        <v>143877</v>
      </c>
      <c r="G5" s="106">
        <v>147482</v>
      </c>
    </row>
    <row r="6" spans="1:48" s="62" customFormat="1" ht="12.75" customHeight="1">
      <c r="A6" s="107" t="s">
        <v>229</v>
      </c>
      <c r="B6" s="108"/>
      <c r="C6" s="109" t="s">
        <v>230</v>
      </c>
      <c r="D6" s="150">
        <v>11342</v>
      </c>
      <c r="E6" s="155">
        <v>11742</v>
      </c>
      <c r="F6" s="150">
        <v>11224</v>
      </c>
      <c r="G6" s="155">
        <v>11774</v>
      </c>
    </row>
    <row r="7" spans="1:48" s="62" customFormat="1" ht="12.75" customHeight="1">
      <c r="A7" s="107" t="s">
        <v>371</v>
      </c>
      <c r="B7" s="108"/>
      <c r="C7" s="109" t="s">
        <v>372</v>
      </c>
      <c r="D7" s="150">
        <v>3</v>
      </c>
      <c r="E7" s="155">
        <v>0</v>
      </c>
      <c r="F7" s="150">
        <v>69</v>
      </c>
      <c r="G7" s="155">
        <v>0</v>
      </c>
    </row>
    <row r="8" spans="1:48" s="62" customFormat="1" ht="12.75" customHeight="1">
      <c r="A8" s="145">
        <v>330</v>
      </c>
      <c r="B8" s="102"/>
      <c r="C8" s="103" t="s">
        <v>231</v>
      </c>
      <c r="D8" s="105">
        <v>65916</v>
      </c>
      <c r="E8" s="113">
        <v>49801</v>
      </c>
      <c r="F8" s="105">
        <v>44983</v>
      </c>
      <c r="G8" s="113">
        <v>53434</v>
      </c>
    </row>
    <row r="9" spans="1:48" s="62" customFormat="1" ht="12.75" customHeight="1">
      <c r="A9" s="145">
        <v>332</v>
      </c>
      <c r="B9" s="102"/>
      <c r="C9" s="103" t="s">
        <v>232</v>
      </c>
      <c r="D9" s="105">
        <v>0</v>
      </c>
      <c r="E9" s="113">
        <v>0</v>
      </c>
      <c r="F9" s="105">
        <v>0</v>
      </c>
      <c r="G9" s="113">
        <v>0</v>
      </c>
    </row>
    <row r="10" spans="1:48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48" s="62" customFormat="1" ht="12.75" customHeight="1">
      <c r="A11" s="101">
        <v>350</v>
      </c>
      <c r="B11" s="102"/>
      <c r="C11" s="103" t="s">
        <v>234</v>
      </c>
      <c r="D11" s="105">
        <v>12070</v>
      </c>
      <c r="E11" s="113">
        <v>23747</v>
      </c>
      <c r="F11" s="105">
        <v>30672</v>
      </c>
      <c r="G11" s="113">
        <v>23709</v>
      </c>
    </row>
    <row r="12" spans="1:48" s="63" customFormat="1" ht="14">
      <c r="A12" s="114">
        <v>351</v>
      </c>
      <c r="B12" s="115"/>
      <c r="C12" s="116" t="s">
        <v>272</v>
      </c>
      <c r="D12" s="119">
        <v>218</v>
      </c>
      <c r="E12" s="296">
        <v>0</v>
      </c>
      <c r="F12" s="119">
        <v>132</v>
      </c>
      <c r="G12" s="296">
        <v>0</v>
      </c>
    </row>
    <row r="13" spans="1:48" s="62" customFormat="1" ht="12.75" customHeight="1">
      <c r="A13" s="101">
        <v>36</v>
      </c>
      <c r="B13" s="102"/>
      <c r="C13" s="103" t="s">
        <v>5</v>
      </c>
      <c r="D13" s="104">
        <v>928719</v>
      </c>
      <c r="E13" s="113">
        <v>904183</v>
      </c>
      <c r="F13" s="104">
        <f>927553</f>
        <v>927553</v>
      </c>
      <c r="G13" s="113">
        <f>915594+1</f>
        <v>915595</v>
      </c>
    </row>
    <row r="14" spans="1:48" s="62" customFormat="1" ht="12.75" customHeight="1">
      <c r="A14" s="121" t="s">
        <v>173</v>
      </c>
      <c r="B14" s="102"/>
      <c r="C14" s="122" t="s">
        <v>174</v>
      </c>
      <c r="D14" s="104">
        <v>367253</v>
      </c>
      <c r="E14" s="113">
        <v>368429</v>
      </c>
      <c r="F14" s="104">
        <v>381375</v>
      </c>
      <c r="G14" s="113">
        <v>385955</v>
      </c>
    </row>
    <row r="15" spans="1:48" s="62" customFormat="1" ht="12.75" customHeight="1">
      <c r="A15" s="121" t="s">
        <v>175</v>
      </c>
      <c r="B15" s="102"/>
      <c r="C15" s="122" t="s">
        <v>176</v>
      </c>
      <c r="D15" s="104">
        <v>145053</v>
      </c>
      <c r="E15" s="113">
        <v>149093</v>
      </c>
      <c r="F15" s="104">
        <v>147444</v>
      </c>
      <c r="G15" s="113">
        <v>139151</v>
      </c>
    </row>
    <row r="16" spans="1:48" s="64" customFormat="1" ht="39.5" customHeight="1">
      <c r="A16" s="121" t="s">
        <v>146</v>
      </c>
      <c r="B16" s="123"/>
      <c r="C16" s="122" t="s">
        <v>148</v>
      </c>
      <c r="D16" s="126">
        <v>0</v>
      </c>
      <c r="E16" s="127">
        <v>0</v>
      </c>
      <c r="F16" s="126">
        <v>0</v>
      </c>
      <c r="G16" s="127">
        <v>0</v>
      </c>
    </row>
    <row r="17" spans="1:7" s="65" customFormat="1">
      <c r="A17" s="101">
        <v>37</v>
      </c>
      <c r="B17" s="102"/>
      <c r="C17" s="103" t="s">
        <v>6</v>
      </c>
      <c r="D17" s="104">
        <v>263703</v>
      </c>
      <c r="E17" s="157">
        <v>274296</v>
      </c>
      <c r="F17" s="104">
        <v>271578</v>
      </c>
      <c r="G17" s="157">
        <v>281089</v>
      </c>
    </row>
    <row r="18" spans="1:7" s="65" customFormat="1">
      <c r="A18" s="112" t="s">
        <v>196</v>
      </c>
      <c r="B18" s="108"/>
      <c r="C18" s="109" t="s">
        <v>197</v>
      </c>
      <c r="D18" s="104">
        <v>0</v>
      </c>
      <c r="E18" s="157">
        <v>0</v>
      </c>
      <c r="F18" s="104">
        <v>0</v>
      </c>
      <c r="G18" s="157">
        <v>0</v>
      </c>
    </row>
    <row r="19" spans="1:7" s="65" customFormat="1">
      <c r="A19" s="112" t="s">
        <v>198</v>
      </c>
      <c r="B19" s="108"/>
      <c r="C19" s="109" t="s">
        <v>199</v>
      </c>
      <c r="D19" s="104">
        <v>67533</v>
      </c>
      <c r="E19" s="157">
        <v>69224</v>
      </c>
      <c r="F19" s="104">
        <v>69172</v>
      </c>
      <c r="G19" s="157">
        <v>70210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139142</v>
      </c>
      <c r="E20" s="159">
        <v>143659</v>
      </c>
      <c r="F20" s="134">
        <v>140780</v>
      </c>
      <c r="G20" s="159">
        <v>146190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1773538</v>
      </c>
      <c r="E21" s="15">
        <f t="shared" si="0"/>
        <v>1766835</v>
      </c>
      <c r="F21" s="15">
        <f t="shared" ref="F21:G21" si="1">F4+F5+SUM(F8:F13)+F17</f>
        <v>1787960</v>
      </c>
      <c r="G21" s="15">
        <f t="shared" si="1"/>
        <v>1797044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555361</v>
      </c>
      <c r="E22" s="141">
        <v>579670</v>
      </c>
      <c r="F22" s="105">
        <f>507178+67710-2</f>
        <v>574886</v>
      </c>
      <c r="G22" s="113">
        <f>531120+62000-1</f>
        <v>593119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187324</v>
      </c>
      <c r="E23" s="141">
        <v>163862</v>
      </c>
      <c r="F23" s="105">
        <f>126809+56505</f>
        <v>183314</v>
      </c>
      <c r="G23" s="113">
        <f>117300+56243</f>
        <v>173543</v>
      </c>
    </row>
    <row r="24" spans="1:7" s="67" customFormat="1" ht="12.75" customHeight="1">
      <c r="A24" s="101">
        <v>41</v>
      </c>
      <c r="B24" s="102"/>
      <c r="C24" s="103" t="s">
        <v>9</v>
      </c>
      <c r="D24" s="152">
        <v>38393</v>
      </c>
      <c r="E24" s="141">
        <v>34188</v>
      </c>
      <c r="F24" s="105">
        <v>34702</v>
      </c>
      <c r="G24" s="113">
        <v>34808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140277</v>
      </c>
      <c r="E25" s="141">
        <v>140204</v>
      </c>
      <c r="F25" s="105">
        <v>145836</v>
      </c>
      <c r="G25" s="113">
        <v>141022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4635</v>
      </c>
      <c r="E26" s="144">
        <v>4537</v>
      </c>
      <c r="F26" s="128">
        <v>4470</v>
      </c>
      <c r="G26" s="157">
        <v>4239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0</v>
      </c>
      <c r="E27" s="144">
        <v>0</v>
      </c>
      <c r="F27" s="128">
        <v>0</v>
      </c>
      <c r="G27" s="157">
        <v>0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>
        <v>0</v>
      </c>
      <c r="F28" s="128">
        <v>0</v>
      </c>
      <c r="G28" s="157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0</v>
      </c>
      <c r="E29" s="144">
        <v>0</v>
      </c>
      <c r="F29" s="128">
        <v>23</v>
      </c>
      <c r="G29" s="157">
        <v>0</v>
      </c>
    </row>
    <row r="30" spans="1:7" s="62" customFormat="1" ht="14">
      <c r="A30" s="114">
        <v>450</v>
      </c>
      <c r="B30" s="115"/>
      <c r="C30" s="116" t="s">
        <v>271</v>
      </c>
      <c r="D30" s="104">
        <v>31382</v>
      </c>
      <c r="E30" s="106">
        <v>19464</v>
      </c>
      <c r="F30" s="104">
        <v>20042</v>
      </c>
      <c r="G30" s="106">
        <v>20690</v>
      </c>
    </row>
    <row r="31" spans="1:7" s="300" customFormat="1" ht="30.5" customHeight="1">
      <c r="A31" s="114">
        <v>451</v>
      </c>
      <c r="B31" s="115"/>
      <c r="C31" s="116" t="s">
        <v>14</v>
      </c>
      <c r="D31" s="279">
        <v>0</v>
      </c>
      <c r="E31" s="165">
        <v>0</v>
      </c>
      <c r="F31" s="117">
        <v>0</v>
      </c>
      <c r="G31" s="271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52">
        <v>445951</v>
      </c>
      <c r="E32" s="141">
        <v>451098</v>
      </c>
      <c r="F32" s="105">
        <v>464492</v>
      </c>
      <c r="G32" s="113">
        <v>460325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0</v>
      </c>
      <c r="E33" s="143">
        <v>0</v>
      </c>
      <c r="F33" s="105">
        <v>0</v>
      </c>
      <c r="G33" s="155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263702</v>
      </c>
      <c r="E34" s="141">
        <v>274296</v>
      </c>
      <c r="F34" s="105">
        <v>271558</v>
      </c>
      <c r="G34" s="113">
        <v>281089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139141</v>
      </c>
      <c r="E35" s="147">
        <v>143659</v>
      </c>
      <c r="F35" s="134">
        <v>140780</v>
      </c>
      <c r="G35" s="159">
        <v>146190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1667025</v>
      </c>
      <c r="E36" s="15">
        <f t="shared" si="2"/>
        <v>1667319</v>
      </c>
      <c r="F36" s="15">
        <f t="shared" ref="F36:G36" si="3">F22+F23+F24+F25+F26+F27+F28+F29+F30+F31+F32+F34</f>
        <v>1699323</v>
      </c>
      <c r="G36" s="15">
        <f t="shared" si="3"/>
        <v>1708835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-106513</v>
      </c>
      <c r="E37" s="16">
        <f t="shared" si="4"/>
        <v>-99516</v>
      </c>
      <c r="F37" s="16">
        <f t="shared" ref="F37:G37" si="5">F36-F21</f>
        <v>-88637</v>
      </c>
      <c r="G37" s="16">
        <f t="shared" si="5"/>
        <v>-88209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10152</v>
      </c>
      <c r="E38" s="141">
        <v>9872</v>
      </c>
      <c r="F38" s="104">
        <v>8653</v>
      </c>
      <c r="G38" s="113">
        <v>8923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0</v>
      </c>
      <c r="E39" s="141">
        <v>0</v>
      </c>
      <c r="F39" s="105">
        <v>0</v>
      </c>
      <c r="G39" s="113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1663</v>
      </c>
      <c r="E40" s="141">
        <v>1323</v>
      </c>
      <c r="F40" s="105">
        <v>1268</v>
      </c>
      <c r="G40" s="113">
        <v>1346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2101</v>
      </c>
      <c r="E41" s="141">
        <v>2501</v>
      </c>
      <c r="F41" s="105">
        <v>2457</v>
      </c>
      <c r="G41" s="113">
        <v>2401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0</v>
      </c>
      <c r="E42" s="141">
        <v>0</v>
      </c>
      <c r="F42" s="105">
        <v>0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306</v>
      </c>
      <c r="E43" s="141">
        <v>241</v>
      </c>
      <c r="F43" s="105">
        <v>125</v>
      </c>
      <c r="G43" s="113">
        <v>263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12437</v>
      </c>
      <c r="E44" s="141">
        <v>12012</v>
      </c>
      <c r="F44" s="104">
        <v>11909</v>
      </c>
      <c r="G44" s="113">
        <v>11254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0</v>
      </c>
      <c r="E45" s="141">
        <v>0</v>
      </c>
      <c r="F45" s="104">
        <v>0</v>
      </c>
      <c r="G45" s="113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36392</v>
      </c>
      <c r="E46" s="141">
        <v>43754</v>
      </c>
      <c r="F46" s="104">
        <v>41979</v>
      </c>
      <c r="G46" s="113">
        <v>43207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17023</v>
      </c>
      <c r="E47" s="141">
        <v>18003</v>
      </c>
      <c r="F47" s="104">
        <v>17617</v>
      </c>
      <c r="G47" s="113">
        <v>17319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1054</v>
      </c>
      <c r="E48" s="141">
        <v>1000</v>
      </c>
      <c r="F48" s="104">
        <v>64</v>
      </c>
      <c r="G48" s="113">
        <v>1000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75</v>
      </c>
      <c r="E49" s="141">
        <v>0</v>
      </c>
      <c r="F49" s="104">
        <v>75</v>
      </c>
      <c r="G49" s="113">
        <v>75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0</v>
      </c>
      <c r="E50" s="141">
        <v>0</v>
      </c>
      <c r="F50" s="104">
        <v>23</v>
      </c>
      <c r="G50" s="113">
        <v>0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724</v>
      </c>
      <c r="E51" s="141">
        <v>672</v>
      </c>
      <c r="F51" s="104">
        <v>728</v>
      </c>
      <c r="G51" s="113">
        <v>693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04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04">
        <v>0</v>
      </c>
      <c r="G53" s="113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68">
        <v>0</v>
      </c>
      <c r="G54" s="174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53483</v>
      </c>
      <c r="E55" s="15">
        <f t="shared" si="6"/>
        <v>61504</v>
      </c>
      <c r="F55" s="15">
        <f t="shared" ref="F55:G55" si="7">SUM(F44:F53)-SUM(F38:F43)</f>
        <v>59892</v>
      </c>
      <c r="G55" s="15">
        <f t="shared" si="7"/>
        <v>60615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-53030</v>
      </c>
      <c r="E56" s="15">
        <f t="shared" si="8"/>
        <v>-38012</v>
      </c>
      <c r="F56" s="15">
        <f t="shared" ref="F56:G56" si="9">F55+F37</f>
        <v>-28745</v>
      </c>
      <c r="G56" s="15">
        <f t="shared" si="9"/>
        <v>-27594</v>
      </c>
    </row>
    <row r="57" spans="1:7" s="62" customFormat="1" ht="15.75" customHeight="1">
      <c r="A57" s="285">
        <v>380</v>
      </c>
      <c r="B57" s="286"/>
      <c r="C57" s="287" t="s">
        <v>484</v>
      </c>
      <c r="D57" s="290">
        <v>0</v>
      </c>
      <c r="E57" s="291">
        <v>0</v>
      </c>
      <c r="F57" s="153">
        <v>0</v>
      </c>
      <c r="G57" s="362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>
        <v>0</v>
      </c>
      <c r="E58" s="291">
        <v>0</v>
      </c>
      <c r="F58" s="153">
        <v>0</v>
      </c>
      <c r="G58" s="362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0</v>
      </c>
      <c r="E59" s="165">
        <v>0</v>
      </c>
      <c r="F59" s="201">
        <v>0</v>
      </c>
      <c r="G59" s="271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18">
        <v>0</v>
      </c>
      <c r="G60" s="296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18">
        <v>0</v>
      </c>
      <c r="G61" s="296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18">
        <v>0</v>
      </c>
      <c r="G62" s="296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0</v>
      </c>
      <c r="E63" s="149">
        <v>0</v>
      </c>
      <c r="F63" s="118">
        <v>0</v>
      </c>
      <c r="G63" s="296">
        <v>0</v>
      </c>
    </row>
    <row r="64" spans="1:7" s="63" customFormat="1">
      <c r="A64" s="145">
        <v>389</v>
      </c>
      <c r="B64" s="294"/>
      <c r="C64" s="103" t="s">
        <v>7</v>
      </c>
      <c r="D64" s="152">
        <v>1682</v>
      </c>
      <c r="E64" s="141">
        <v>0</v>
      </c>
      <c r="F64" s="105">
        <v>2285</v>
      </c>
      <c r="G64" s="113">
        <v>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05">
        <v>0</v>
      </c>
      <c r="G65" s="113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70">
        <v>0</v>
      </c>
      <c r="G66" s="271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05">
        <v>0</v>
      </c>
      <c r="G67" s="113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05">
        <v>0</v>
      </c>
      <c r="G68" s="113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05">
        <v>0</v>
      </c>
      <c r="G69" s="113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>
        <v>0</v>
      </c>
      <c r="F70" s="105">
        <v>0</v>
      </c>
      <c r="G70" s="113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>
        <v>0</v>
      </c>
      <c r="F71" s="105">
        <v>0</v>
      </c>
      <c r="G71" s="113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>
        <v>0</v>
      </c>
      <c r="F72" s="105">
        <v>0</v>
      </c>
      <c r="G72" s="113">
        <v>0</v>
      </c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04">
        <v>0</v>
      </c>
      <c r="G73" s="113">
        <v>0</v>
      </c>
    </row>
    <row r="74" spans="1:7" s="63" customFormat="1">
      <c r="A74" s="110">
        <v>489</v>
      </c>
      <c r="B74" s="182"/>
      <c r="C74" s="133" t="s">
        <v>18</v>
      </c>
      <c r="D74" s="140">
        <v>18129</v>
      </c>
      <c r="E74" s="141">
        <v>22000</v>
      </c>
      <c r="F74" s="104">
        <v>22001</v>
      </c>
      <c r="G74" s="113">
        <v>20000</v>
      </c>
    </row>
    <row r="75" spans="1:7" s="63" customFormat="1">
      <c r="A75" s="181" t="s">
        <v>381</v>
      </c>
      <c r="B75" s="182"/>
      <c r="C75" s="167" t="s">
        <v>382</v>
      </c>
      <c r="D75" s="152">
        <v>0</v>
      </c>
      <c r="E75" s="141">
        <v>0</v>
      </c>
      <c r="F75" s="105">
        <v>0</v>
      </c>
      <c r="G75" s="113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16447</v>
      </c>
      <c r="E76" s="15">
        <f t="shared" si="10"/>
        <v>22000</v>
      </c>
      <c r="F76" s="15">
        <f t="shared" ref="F76:G76" si="11">SUM(F65:F74)-SUM(F57:F64)</f>
        <v>19716</v>
      </c>
      <c r="G76" s="15">
        <f t="shared" si="11"/>
        <v>20000</v>
      </c>
    </row>
    <row r="77" spans="1:7">
      <c r="A77" s="9"/>
      <c r="B77" s="9"/>
      <c r="C77" s="8" t="s">
        <v>23</v>
      </c>
      <c r="D77" s="15">
        <f t="shared" ref="D77:E77" si="12">D56+D76</f>
        <v>-36583</v>
      </c>
      <c r="E77" s="15">
        <f t="shared" si="12"/>
        <v>-16012</v>
      </c>
      <c r="F77" s="15">
        <f t="shared" ref="F77:G77" si="13">F56+F76</f>
        <v>-9029</v>
      </c>
      <c r="G77" s="15">
        <f t="shared" si="13"/>
        <v>-7594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1928584</v>
      </c>
      <c r="E78" s="37">
        <f t="shared" si="14"/>
        <v>1924431</v>
      </c>
      <c r="F78" s="37">
        <f t="shared" ref="F78:G78" si="15">F20+F21+SUM(F38:F43)+SUM(F57:F64)</f>
        <v>1943528</v>
      </c>
      <c r="G78" s="37">
        <f t="shared" si="15"/>
        <v>1956167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1892000</v>
      </c>
      <c r="E79" s="37">
        <f t="shared" si="16"/>
        <v>1908419</v>
      </c>
      <c r="F79" s="37">
        <f t="shared" ref="F79:G79" si="17">F35+F36+SUM(F44:F53)+SUM(F65:F74)</f>
        <v>1934499</v>
      </c>
      <c r="G79" s="37">
        <f t="shared" si="17"/>
        <v>1948573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>
        <v>128288</v>
      </c>
      <c r="E82" s="141">
        <v>123794</v>
      </c>
      <c r="F82" s="105">
        <v>109138</v>
      </c>
      <c r="G82" s="113">
        <v>98119</v>
      </c>
    </row>
    <row r="83" spans="1:7" s="62" customFormat="1">
      <c r="A83" s="186">
        <v>51</v>
      </c>
      <c r="B83" s="187"/>
      <c r="C83" s="187" t="s">
        <v>253</v>
      </c>
      <c r="D83" s="152">
        <v>0</v>
      </c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52">
        <v>0</v>
      </c>
      <c r="E84" s="141">
        <v>0</v>
      </c>
      <c r="F84" s="105">
        <v>0</v>
      </c>
      <c r="G84" s="113">
        <v>0</v>
      </c>
    </row>
    <row r="85" spans="1:7" s="62" customFormat="1">
      <c r="A85" s="188">
        <v>54</v>
      </c>
      <c r="B85" s="189"/>
      <c r="C85" s="189" t="s">
        <v>89</v>
      </c>
      <c r="D85" s="152">
        <v>343</v>
      </c>
      <c r="E85" s="141">
        <v>900</v>
      </c>
      <c r="F85" s="105">
        <v>274</v>
      </c>
      <c r="G85" s="113">
        <v>900</v>
      </c>
    </row>
    <row r="86" spans="1:7" s="62" customFormat="1">
      <c r="A86" s="188">
        <v>55</v>
      </c>
      <c r="B86" s="189"/>
      <c r="C86" s="189" t="s">
        <v>181</v>
      </c>
      <c r="D86" s="152">
        <v>0</v>
      </c>
      <c r="E86" s="141">
        <v>0</v>
      </c>
      <c r="F86" s="105">
        <v>0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2">
        <v>26145</v>
      </c>
      <c r="E87" s="141">
        <v>21494</v>
      </c>
      <c r="F87" s="105">
        <v>18181</v>
      </c>
      <c r="G87" s="113">
        <v>20756</v>
      </c>
    </row>
    <row r="88" spans="1:7" s="62" customFormat="1">
      <c r="A88" s="186">
        <v>57</v>
      </c>
      <c r="B88" s="187"/>
      <c r="C88" s="187" t="s">
        <v>150</v>
      </c>
      <c r="D88" s="152">
        <v>967</v>
      </c>
      <c r="E88" s="141">
        <v>4990</v>
      </c>
      <c r="F88" s="105">
        <v>1219</v>
      </c>
      <c r="G88" s="113">
        <v>3440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273">
        <v>1647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157390</v>
      </c>
      <c r="E95" s="33">
        <f t="shared" si="18"/>
        <v>151178</v>
      </c>
      <c r="F95" s="33">
        <f t="shared" ref="F95:G95" si="19">SUM(F82:F94)</f>
        <v>128812</v>
      </c>
      <c r="G95" s="33">
        <f t="shared" si="19"/>
        <v>123215</v>
      </c>
    </row>
    <row r="96" spans="1:7" s="62" customFormat="1">
      <c r="A96" s="186">
        <v>60</v>
      </c>
      <c r="B96" s="187"/>
      <c r="C96" s="187" t="s">
        <v>262</v>
      </c>
      <c r="D96" s="152">
        <v>899</v>
      </c>
      <c r="E96" s="141">
        <v>30</v>
      </c>
      <c r="F96" s="105">
        <v>471</v>
      </c>
      <c r="G96" s="113">
        <v>30</v>
      </c>
    </row>
    <row r="97" spans="1:7" s="62" customFormat="1">
      <c r="A97" s="186">
        <v>61</v>
      </c>
      <c r="B97" s="187"/>
      <c r="C97" s="187" t="s">
        <v>263</v>
      </c>
      <c r="D97" s="152">
        <v>0</v>
      </c>
      <c r="E97" s="141">
        <v>0</v>
      </c>
      <c r="F97" s="105">
        <v>0</v>
      </c>
      <c r="G97" s="113">
        <v>0</v>
      </c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265</v>
      </c>
      <c r="D99" s="152">
        <v>45044</v>
      </c>
      <c r="E99" s="141">
        <v>42823</v>
      </c>
      <c r="F99" s="105">
        <f>34089-1</f>
        <v>34088</v>
      </c>
      <c r="G99" s="113">
        <f>32706-1</f>
        <v>32705</v>
      </c>
    </row>
    <row r="100" spans="1:7" s="62" customFormat="1">
      <c r="A100" s="186">
        <v>64</v>
      </c>
      <c r="B100" s="187"/>
      <c r="C100" s="187" t="s">
        <v>185</v>
      </c>
      <c r="D100" s="152">
        <v>0</v>
      </c>
      <c r="E100" s="141">
        <v>0</v>
      </c>
      <c r="F100" s="105">
        <v>0</v>
      </c>
      <c r="G100" s="113">
        <v>0</v>
      </c>
    </row>
    <row r="101" spans="1:7" s="62" customFormat="1">
      <c r="A101" s="186">
        <v>65</v>
      </c>
      <c r="B101" s="187"/>
      <c r="C101" s="187" t="s">
        <v>186</v>
      </c>
      <c r="D101" s="152">
        <v>0</v>
      </c>
      <c r="E101" s="141">
        <v>0</v>
      </c>
      <c r="F101" s="105">
        <v>0</v>
      </c>
      <c r="G101" s="113">
        <v>0</v>
      </c>
    </row>
    <row r="102" spans="1:7" s="62" customFormat="1">
      <c r="A102" s="186">
        <v>66</v>
      </c>
      <c r="B102" s="187"/>
      <c r="C102" s="187" t="s">
        <v>266</v>
      </c>
      <c r="D102" s="152">
        <v>605</v>
      </c>
      <c r="E102" s="141">
        <v>1000</v>
      </c>
      <c r="F102" s="105">
        <v>954</v>
      </c>
      <c r="G102" s="113">
        <v>600</v>
      </c>
    </row>
    <row r="103" spans="1:7" s="62" customFormat="1">
      <c r="A103" s="186">
        <v>67</v>
      </c>
      <c r="B103" s="187"/>
      <c r="C103" s="187" t="s">
        <v>150</v>
      </c>
      <c r="D103" s="140">
        <v>967</v>
      </c>
      <c r="E103" s="138">
        <v>4990</v>
      </c>
      <c r="F103" s="104">
        <v>1219</v>
      </c>
      <c r="G103" s="106">
        <v>3440</v>
      </c>
    </row>
    <row r="104" spans="1:7" s="62" customFormat="1" ht="28">
      <c r="A104" s="192" t="s">
        <v>268</v>
      </c>
      <c r="B104" s="187"/>
      <c r="C104" s="193" t="s">
        <v>267</v>
      </c>
      <c r="D104" s="140">
        <v>13724</v>
      </c>
      <c r="E104" s="138">
        <v>11220</v>
      </c>
      <c r="F104" s="104">
        <v>9002</v>
      </c>
      <c r="G104" s="106">
        <f>11860</f>
        <v>11860</v>
      </c>
    </row>
    <row r="105" spans="1:7" s="62" customFormat="1" ht="42">
      <c r="A105" s="194" t="s">
        <v>269</v>
      </c>
      <c r="B105" s="191"/>
      <c r="C105" s="195" t="s">
        <v>270</v>
      </c>
      <c r="D105" s="146">
        <v>8323</v>
      </c>
      <c r="E105" s="151">
        <v>1700</v>
      </c>
      <c r="F105" s="134">
        <v>875</v>
      </c>
      <c r="G105" s="136">
        <v>1300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69562</v>
      </c>
      <c r="E106" s="33">
        <f t="shared" si="20"/>
        <v>61763</v>
      </c>
      <c r="F106" s="33">
        <f t="shared" ref="F106:G106" si="21">SUM(F96:F105)</f>
        <v>46609</v>
      </c>
      <c r="G106" s="33">
        <f t="shared" si="21"/>
        <v>49935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87828</v>
      </c>
      <c r="E107" s="33">
        <f t="shared" si="22"/>
        <v>89415</v>
      </c>
      <c r="F107" s="33">
        <f t="shared" ref="F107:G107" si="23">(F95-F88)-(F106-F103)</f>
        <v>82203</v>
      </c>
      <c r="G107" s="33">
        <f t="shared" si="23"/>
        <v>73280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87485</v>
      </c>
      <c r="E108" s="50">
        <f t="shared" si="24"/>
        <v>88515</v>
      </c>
      <c r="F108" s="50">
        <f t="shared" ref="F108:G108" si="25">F107-F85-F86+F100+F101</f>
        <v>81929</v>
      </c>
      <c r="G108" s="50">
        <f t="shared" si="25"/>
        <v>72380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543387</v>
      </c>
      <c r="E111" s="337">
        <f t="shared" si="26"/>
        <v>0</v>
      </c>
      <c r="F111" s="336">
        <f t="shared" ref="F111:G111" si="27">F112+F117</f>
        <v>511947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459151</v>
      </c>
      <c r="E112" s="337">
        <f t="shared" si="28"/>
        <v>0</v>
      </c>
      <c r="F112" s="336">
        <f t="shared" ref="F112:G112" si="29">F113+F114+F115+F116</f>
        <v>428819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416522</v>
      </c>
      <c r="E113" s="113"/>
      <c r="F113" s="105">
        <f>51591+328047</f>
        <v>379638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0</v>
      </c>
      <c r="E114" s="271"/>
      <c r="F114" s="270">
        <v>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39687</v>
      </c>
      <c r="E115" s="113"/>
      <c r="F115" s="105">
        <v>46163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2942</v>
      </c>
      <c r="E116" s="113"/>
      <c r="F116" s="105">
        <v>3018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84236</v>
      </c>
      <c r="E117" s="337">
        <f t="shared" si="30"/>
        <v>0</v>
      </c>
      <c r="F117" s="336">
        <f t="shared" ref="F117:G117" si="31">F118+F119+F120</f>
        <v>83128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36751</v>
      </c>
      <c r="E118" s="113"/>
      <c r="F118" s="105">
        <v>36991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47485</v>
      </c>
      <c r="E119" s="113"/>
      <c r="F119" s="105">
        <v>46137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979191</v>
      </c>
      <c r="E121" s="336">
        <f t="shared" si="32"/>
        <v>0</v>
      </c>
      <c r="F121" s="336">
        <f t="shared" ref="F121:G121" si="33">SUM(F122:F130)</f>
        <v>1021854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279948</v>
      </c>
      <c r="E122" s="113"/>
      <c r="F122" s="105">
        <f>317209</f>
        <v>317209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124592</v>
      </c>
      <c r="E123" s="113"/>
      <c r="F123" s="105">
        <v>129993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574651</v>
      </c>
      <c r="E124" s="210"/>
      <c r="F124" s="105">
        <v>574652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0</v>
      </c>
      <c r="E125" s="210"/>
      <c r="F125" s="105">
        <v>0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1522578</v>
      </c>
      <c r="E131" s="18">
        <f t="shared" si="34"/>
        <v>0</v>
      </c>
      <c r="F131" s="18">
        <f t="shared" ref="F131:G131" si="35">F111+F121</f>
        <v>1533801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6">D134+D140</f>
        <v>1101498</v>
      </c>
      <c r="E133" s="339">
        <f t="shared" si="36"/>
        <v>0</v>
      </c>
      <c r="F133" s="338">
        <f t="shared" ref="F133:G133" si="37">F134+F140</f>
        <v>1128088</v>
      </c>
      <c r="G133" s="339">
        <f t="shared" si="37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8">D135+D136+D138+D139</f>
        <v>396023</v>
      </c>
      <c r="E134" s="337">
        <f t="shared" si="38"/>
        <v>0</v>
      </c>
      <c r="F134" s="336">
        <f t="shared" ref="F134:G134" si="39">F135+F136+F138+F139</f>
        <v>462279</v>
      </c>
      <c r="G134" s="337">
        <f t="shared" si="39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190401</v>
      </c>
      <c r="E135" s="113"/>
      <c r="F135" s="105">
        <v>206732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112745</v>
      </c>
      <c r="E136" s="113"/>
      <c r="F136" s="105">
        <v>191935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0</v>
      </c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73617</v>
      </c>
      <c r="E138" s="210"/>
      <c r="F138" s="105">
        <v>46990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19260</v>
      </c>
      <c r="E139" s="210"/>
      <c r="F139" s="105">
        <v>16622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40">D141+D143+D144</f>
        <v>705475</v>
      </c>
      <c r="E140" s="337">
        <f t="shared" si="40"/>
        <v>0</v>
      </c>
      <c r="F140" s="336">
        <f t="shared" ref="F140:G140" si="41">F141+F143+F144</f>
        <v>665809</v>
      </c>
      <c r="G140" s="337">
        <f t="shared" si="41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472400</v>
      </c>
      <c r="E141" s="210"/>
      <c r="F141" s="105">
        <v>437596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/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73637</v>
      </c>
      <c r="E143" s="210"/>
      <c r="F143" s="105">
        <v>42185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159438</v>
      </c>
      <c r="E144" s="276"/>
      <c r="F144" s="117">
        <v>186028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421080</v>
      </c>
      <c r="E145" s="210"/>
      <c r="F145" s="209">
        <v>405713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225510</v>
      </c>
      <c r="E146" s="174"/>
      <c r="F146" s="169">
        <v>216481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1522578</v>
      </c>
      <c r="E147" s="18">
        <f>E133+E145</f>
        <v>0</v>
      </c>
      <c r="F147" s="18">
        <f>F133+F145</f>
        <v>1533801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46"/>
      <c r="C150" s="46" t="s">
        <v>153</v>
      </c>
      <c r="D150" s="55">
        <f t="shared" ref="D150:E150" si="42">D77+SUM(D8:D12)-D30-D31+D16-D33+D59+D63-D73+D64-D74-D54+D20-D35</f>
        <v>-6207</v>
      </c>
      <c r="E150" s="55">
        <f t="shared" si="42"/>
        <v>16072</v>
      </c>
      <c r="F150" s="55">
        <f t="shared" ref="F150:G150" si="43">F77+SUM(F8:F12)-F30-F31+F16-F33+F59+F63-F73+F64-F74-F54+F20-F35</f>
        <v>27000</v>
      </c>
      <c r="G150" s="55">
        <f t="shared" si="43"/>
        <v>28859</v>
      </c>
    </row>
    <row r="151" spans="1:7">
      <c r="A151" s="326" t="s">
        <v>403</v>
      </c>
      <c r="B151" s="19"/>
      <c r="C151" s="19" t="s">
        <v>154</v>
      </c>
      <c r="D151" s="258">
        <f t="shared" ref="D151:E151" si="44">IF(D177=0,0,D150/D177)</f>
        <v>-4.2194982012578961E-3</v>
      </c>
      <c r="E151" s="258">
        <f t="shared" si="44"/>
        <v>1.0944769500648297E-2</v>
      </c>
      <c r="F151" s="258">
        <f t="shared" ref="F151:G151" si="45">IF(F177=0,0,F150/F177)</f>
        <v>1.7998080204778156E-2</v>
      </c>
      <c r="G151" s="258">
        <f t="shared" si="45"/>
        <v>1.9222750507229096E-2</v>
      </c>
    </row>
    <row r="152" spans="1:7" s="251" customFormat="1" ht="28">
      <c r="A152" s="58" t="s">
        <v>404</v>
      </c>
      <c r="B152" s="53"/>
      <c r="C152" s="53" t="s">
        <v>161</v>
      </c>
      <c r="D152" s="242">
        <f t="shared" ref="D152:E152" si="46">IF(D107=0,0,D150/D107)</f>
        <v>-7.0672222981281591E-2</v>
      </c>
      <c r="E152" s="242">
        <f t="shared" si="46"/>
        <v>0.17974612760722475</v>
      </c>
      <c r="F152" s="242">
        <f t="shared" ref="F152:G152" si="47">IF(F107=0,0,F150/F107)</f>
        <v>0.32845516586985879</v>
      </c>
      <c r="G152" s="242">
        <f t="shared" si="47"/>
        <v>0.39381823144104805</v>
      </c>
    </row>
    <row r="153" spans="1:7" s="251" customFormat="1" ht="28">
      <c r="A153" s="57" t="s">
        <v>404</v>
      </c>
      <c r="B153" s="54"/>
      <c r="C153" s="54" t="s">
        <v>162</v>
      </c>
      <c r="D153" s="245">
        <f t="shared" ref="D153:E153" si="48">IF(0=D108,0,D150/D108)</f>
        <v>-7.0949305595244899E-2</v>
      </c>
      <c r="E153" s="245">
        <f t="shared" si="48"/>
        <v>0.18157374456306841</v>
      </c>
      <c r="F153" s="245">
        <f t="shared" ref="F153:G153" si="49">IF(0=F108,0,F150/F108)</f>
        <v>0.32955363790599179</v>
      </c>
      <c r="G153" s="245">
        <f t="shared" si="49"/>
        <v>0.39871511467256149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50">D150-D107</f>
        <v>-94035</v>
      </c>
      <c r="E154" s="56">
        <f t="shared" si="50"/>
        <v>-73343</v>
      </c>
      <c r="F154" s="56">
        <f t="shared" ref="F154:G154" si="51">F150-F107</f>
        <v>-55203</v>
      </c>
      <c r="G154" s="56">
        <f t="shared" si="51"/>
        <v>-44421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2">D150-D108</f>
        <v>-93692</v>
      </c>
      <c r="E155" s="59">
        <f t="shared" si="52"/>
        <v>-72443</v>
      </c>
      <c r="F155" s="59">
        <f t="shared" ref="F155:G155" si="53">F150-F108</f>
        <v>-54929</v>
      </c>
      <c r="G155" s="59">
        <f t="shared" si="53"/>
        <v>-43521</v>
      </c>
    </row>
    <row r="156" spans="1:7">
      <c r="A156" s="325" t="s">
        <v>391</v>
      </c>
      <c r="B156" s="46"/>
      <c r="C156" s="46" t="s">
        <v>35</v>
      </c>
      <c r="D156" s="47">
        <f t="shared" ref="D156:E156" si="54">D135+D136-D137+D141-D142</f>
        <v>775546</v>
      </c>
      <c r="E156" s="47">
        <f t="shared" si="54"/>
        <v>0</v>
      </c>
      <c r="F156" s="47">
        <f t="shared" ref="F156:G156" si="55">F135+F136-F137+F141-F142</f>
        <v>836263</v>
      </c>
      <c r="G156" s="47">
        <f t="shared" si="55"/>
        <v>0</v>
      </c>
    </row>
    <row r="157" spans="1:7">
      <c r="A157" s="327" t="s">
        <v>399</v>
      </c>
      <c r="B157" s="48"/>
      <c r="C157" s="48" t="s">
        <v>132</v>
      </c>
      <c r="D157" s="241">
        <f t="shared" ref="D157:E157" si="56">IF(D177=0,0,D156/D177)</f>
        <v>0.52721362203846567</v>
      </c>
      <c r="E157" s="241">
        <f t="shared" si="56"/>
        <v>0</v>
      </c>
      <c r="F157" s="241">
        <f t="shared" ref="F157:G157" si="57">IF(F177=0,0,F156/F177)</f>
        <v>0.55744920541808873</v>
      </c>
      <c r="G157" s="241">
        <f t="shared" si="57"/>
        <v>0</v>
      </c>
    </row>
    <row r="158" spans="1:7">
      <c r="A158" s="325" t="s">
        <v>392</v>
      </c>
      <c r="B158" s="46"/>
      <c r="C158" s="46" t="s">
        <v>393</v>
      </c>
      <c r="D158" s="47">
        <f t="shared" ref="D158:E158" si="58">D133-D142-D111</f>
        <v>558111</v>
      </c>
      <c r="E158" s="47">
        <f t="shared" si="58"/>
        <v>0</v>
      </c>
      <c r="F158" s="47">
        <f t="shared" ref="F158:G158" si="59">F133-F142-F111</f>
        <v>616141</v>
      </c>
      <c r="G158" s="47">
        <f t="shared" si="59"/>
        <v>0</v>
      </c>
    </row>
    <row r="159" spans="1:7">
      <c r="A159" s="326" t="s">
        <v>395</v>
      </c>
      <c r="B159" s="19"/>
      <c r="C159" s="19" t="s">
        <v>394</v>
      </c>
      <c r="D159" s="40">
        <f t="shared" ref="D159:E159" si="60">D121-D123-D124-D142-D145</f>
        <v>-141132</v>
      </c>
      <c r="E159" s="40">
        <f t="shared" si="60"/>
        <v>0</v>
      </c>
      <c r="F159" s="40">
        <f t="shared" ref="F159:G159" si="61">F121-F123-F124-F142-F145</f>
        <v>-88504</v>
      </c>
      <c r="G159" s="40">
        <f t="shared" si="61"/>
        <v>0</v>
      </c>
    </row>
    <row r="160" spans="1:7">
      <c r="A160" s="326" t="s">
        <v>400</v>
      </c>
      <c r="B160" s="19"/>
      <c r="C160" s="19" t="s">
        <v>115</v>
      </c>
      <c r="D160" s="240">
        <f t="shared" ref="D160:E160" si="62">IF(D175=0,"-",1000*D158/D175)</f>
        <v>2200.7531545741326</v>
      </c>
      <c r="E160" s="240">
        <f t="shared" si="62"/>
        <v>0</v>
      </c>
      <c r="F160" s="240">
        <f t="shared" ref="F160:G160" si="63">IF(F175=0,"-",1000*F158/F175)</f>
        <v>2403.0460218408734</v>
      </c>
      <c r="G160" s="240">
        <f t="shared" si="63"/>
        <v>0</v>
      </c>
    </row>
    <row r="161" spans="1:7">
      <c r="A161" s="326" t="s">
        <v>400</v>
      </c>
      <c r="B161" s="19"/>
      <c r="C161" s="19" t="s">
        <v>139</v>
      </c>
      <c r="D161" s="40">
        <f t="shared" ref="D161:E161" si="64">IF(D175=0,0,1000*(D159/D175))</f>
        <v>-556.51419558359612</v>
      </c>
      <c r="E161" s="40">
        <f t="shared" si="64"/>
        <v>0</v>
      </c>
      <c r="F161" s="40">
        <f t="shared" ref="F161:G161" si="65">IF(F175=0,0,1000*(F159/F175))</f>
        <v>-345.17940717628704</v>
      </c>
      <c r="G161" s="40">
        <f t="shared" si="65"/>
        <v>0</v>
      </c>
    </row>
    <row r="162" spans="1:7">
      <c r="A162" s="327" t="s">
        <v>401</v>
      </c>
      <c r="B162" s="48"/>
      <c r="C162" s="48" t="s">
        <v>116</v>
      </c>
      <c r="D162" s="241">
        <f t="shared" ref="D162:E162" si="66">IF((D22+D23+D65+D66)=0,0,D158/(D22+D23+D65+D66))</f>
        <v>0.75147740966897136</v>
      </c>
      <c r="E162" s="241">
        <f t="shared" si="66"/>
        <v>0</v>
      </c>
      <c r="F162" s="241">
        <f t="shared" ref="F162:G162" si="67">IF((F22+F23+F65+F66)=0,0,F158/(F22+F23+F65+F66))</f>
        <v>0.81263650751780536</v>
      </c>
      <c r="G162" s="241">
        <f t="shared" si="67"/>
        <v>0</v>
      </c>
    </row>
    <row r="163" spans="1:7">
      <c r="A163" s="326" t="s">
        <v>409</v>
      </c>
      <c r="B163" s="19"/>
      <c r="C163" s="19" t="s">
        <v>36</v>
      </c>
      <c r="D163" s="55">
        <f t="shared" ref="D163:E163" si="68">D145</f>
        <v>421080</v>
      </c>
      <c r="E163" s="55">
        <f t="shared" si="68"/>
        <v>0</v>
      </c>
      <c r="F163" s="55">
        <f t="shared" ref="F163:G163" si="69">F145</f>
        <v>405713</v>
      </c>
      <c r="G163" s="55">
        <f t="shared" si="69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0.14796690674955071</v>
      </c>
      <c r="E164" s="245">
        <f>IF(E178=0,0,E146/E178)</f>
        <v>0</v>
      </c>
      <c r="F164" s="245">
        <f>IF(F178=0,0,F146/F178)</f>
        <v>0.14159403748483371</v>
      </c>
      <c r="G164" s="245">
        <f>IF(G178=0,0,G146/G178)</f>
        <v>0</v>
      </c>
    </row>
    <row r="165" spans="1:7">
      <c r="A165" s="328" t="s">
        <v>493</v>
      </c>
      <c r="B165" s="34"/>
      <c r="C165" s="34" t="s">
        <v>118</v>
      </c>
      <c r="D165" s="259">
        <f t="shared" ref="D165:E165" si="70">IF(D177=0,0,D180/D177)</f>
        <v>4.3256144682494148E-2</v>
      </c>
      <c r="E165" s="259">
        <f t="shared" si="70"/>
        <v>3.24563625666002E-2</v>
      </c>
      <c r="F165" s="259">
        <f t="shared" ref="F165:G165" si="71">IF(F177=0,0,F180/F177)</f>
        <v>2.781503306313993E-2</v>
      </c>
      <c r="G165" s="259">
        <f t="shared" si="71"/>
        <v>3.4039302095392375E-2</v>
      </c>
    </row>
    <row r="166" spans="1:7">
      <c r="A166" s="326" t="s">
        <v>411</v>
      </c>
      <c r="B166" s="19"/>
      <c r="C166" s="19" t="s">
        <v>20</v>
      </c>
      <c r="D166" s="55">
        <f t="shared" ref="D166:E166" si="72">D55</f>
        <v>53483</v>
      </c>
      <c r="E166" s="55">
        <f t="shared" si="72"/>
        <v>61504</v>
      </c>
      <c r="F166" s="55">
        <f t="shared" ref="F166:G166" si="73">F55</f>
        <v>59892</v>
      </c>
      <c r="G166" s="55">
        <f t="shared" si="73"/>
        <v>60615</v>
      </c>
    </row>
    <row r="167" spans="1:7">
      <c r="A167" s="327" t="s">
        <v>410</v>
      </c>
      <c r="B167" s="48"/>
      <c r="C167" s="48" t="s">
        <v>119</v>
      </c>
      <c r="D167" s="241">
        <f t="shared" ref="D167:E167" si="74">IF(0=D111,0,(D44+D45+D46+D47+D48)/D111)</f>
        <v>0.12312771560600456</v>
      </c>
      <c r="E167" s="241">
        <f t="shared" si="74"/>
        <v>0</v>
      </c>
      <c r="F167" s="241">
        <f t="shared" ref="F167:G167" si="75">IF(0=F111,0,(F44+F45+F46+F47+F48)/F111)</f>
        <v>0.13979767436863583</v>
      </c>
      <c r="G167" s="241">
        <f t="shared" si="75"/>
        <v>0</v>
      </c>
    </row>
    <row r="168" spans="1:7">
      <c r="A168" s="326" t="s">
        <v>396</v>
      </c>
      <c r="B168" s="46"/>
      <c r="C168" s="46" t="s">
        <v>397</v>
      </c>
      <c r="D168" s="55">
        <f t="shared" ref="D168:E168" si="76">D38-D44</f>
        <v>-2285</v>
      </c>
      <c r="E168" s="55">
        <f t="shared" si="76"/>
        <v>-2140</v>
      </c>
      <c r="F168" s="55">
        <f t="shared" ref="F168:G168" si="77">F38-F44</f>
        <v>-3256</v>
      </c>
      <c r="G168" s="55">
        <f t="shared" si="77"/>
        <v>-2331</v>
      </c>
    </row>
    <row r="169" spans="1:7">
      <c r="A169" s="327" t="s">
        <v>398</v>
      </c>
      <c r="B169" s="48"/>
      <c r="C169" s="48" t="s">
        <v>120</v>
      </c>
      <c r="D169" s="258">
        <f t="shared" ref="D169:E169" si="78">IF(D177=0,0,D168/D177)</f>
        <v>-1.5533354905549045E-3</v>
      </c>
      <c r="E169" s="258">
        <f t="shared" si="78"/>
        <v>-1.4573050479957288E-3</v>
      </c>
      <c r="F169" s="258">
        <f t="shared" ref="F169:G169" si="79">IF(F177=0,0,F168/F177)</f>
        <v>-2.1704351535836177E-3</v>
      </c>
      <c r="G169" s="258">
        <f t="shared" si="79"/>
        <v>-1.5526605714803363E-3</v>
      </c>
    </row>
    <row r="170" spans="1:7">
      <c r="A170" s="326" t="s">
        <v>366</v>
      </c>
      <c r="B170" s="19"/>
      <c r="C170" s="19" t="s">
        <v>364</v>
      </c>
      <c r="D170" s="55">
        <f t="shared" ref="D170:E170" si="80">SUM(D82:D87)+SUM(D89:D94)</f>
        <v>156423</v>
      </c>
      <c r="E170" s="55">
        <f t="shared" si="80"/>
        <v>146188</v>
      </c>
      <c r="F170" s="55">
        <f t="shared" ref="F170:G170" si="81">SUM(F82:F87)+SUM(F89:F94)</f>
        <v>127593</v>
      </c>
      <c r="G170" s="55">
        <f t="shared" si="81"/>
        <v>119775</v>
      </c>
    </row>
    <row r="171" spans="1:7">
      <c r="A171" s="326" t="s">
        <v>367</v>
      </c>
      <c r="B171" s="19"/>
      <c r="C171" s="19" t="s">
        <v>365</v>
      </c>
      <c r="D171" s="40">
        <f t="shared" ref="D171:E171" si="82">SUM(D96:D102)+SUM(D104:D105)</f>
        <v>68595</v>
      </c>
      <c r="E171" s="40">
        <f t="shared" si="82"/>
        <v>56773</v>
      </c>
      <c r="F171" s="40">
        <f t="shared" ref="F171:G171" si="83">SUM(F96:F102)+SUM(F104:F105)</f>
        <v>45390</v>
      </c>
      <c r="G171" s="40">
        <f t="shared" si="83"/>
        <v>46495</v>
      </c>
    </row>
    <row r="172" spans="1:7">
      <c r="A172" s="328" t="s">
        <v>368</v>
      </c>
      <c r="B172" s="34"/>
      <c r="C172" s="34" t="s">
        <v>121</v>
      </c>
      <c r="D172" s="259">
        <f t="shared" ref="D172:E172" si="84">IF(D184=0,0,D170/D184)</f>
        <v>9.7625685510521615E-2</v>
      </c>
      <c r="E172" s="259">
        <f t="shared" si="84"/>
        <v>9.2575846232955658E-2</v>
      </c>
      <c r="F172" s="259">
        <f t="shared" ref="F172:G172" si="85">IF(F184=0,0,F170/F184)</f>
        <v>8.0723284884051977E-2</v>
      </c>
      <c r="G172" s="259">
        <f t="shared" si="85"/>
        <v>7.6216020158827127E-2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4">
        <v>253600</v>
      </c>
      <c r="E175" s="341">
        <v>256400</v>
      </c>
      <c r="F175" s="341">
        <v>256400</v>
      </c>
      <c r="G175" s="341">
        <v>256400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6">SUM(D22:D32)+SUM(D44:D53)+SUM(D65:D72)+D75</f>
        <v>1471028</v>
      </c>
      <c r="E177" s="39">
        <f t="shared" si="86"/>
        <v>1468464</v>
      </c>
      <c r="F177" s="39">
        <f t="shared" ref="F177:G177" si="87">SUM(F22:F32)+SUM(F44:F53)+SUM(F65:F72)+F75</f>
        <v>1500160</v>
      </c>
      <c r="G177" s="39">
        <f t="shared" si="87"/>
        <v>1501294</v>
      </c>
    </row>
    <row r="178" spans="1:7">
      <c r="A178" s="236" t="s">
        <v>385</v>
      </c>
      <c r="B178" s="23"/>
      <c r="C178" s="23" t="s">
        <v>100</v>
      </c>
      <c r="D178" s="39">
        <f t="shared" ref="D178:E178" si="88">D78-D17-D20-D59-D63-D64</f>
        <v>1524057</v>
      </c>
      <c r="E178" s="39">
        <f t="shared" si="88"/>
        <v>1506476</v>
      </c>
      <c r="F178" s="39">
        <f t="shared" ref="F178:G178" si="89">F78-F17-F20-F59-F63-F64</f>
        <v>1528885</v>
      </c>
      <c r="G178" s="39">
        <f t="shared" si="89"/>
        <v>1528888</v>
      </c>
    </row>
    <row r="179" spans="1:7">
      <c r="A179" s="236"/>
      <c r="B179" s="23"/>
      <c r="C179" s="23" t="s">
        <v>388</v>
      </c>
      <c r="D179" s="39">
        <f t="shared" ref="D179:E179" si="90">D178+D170</f>
        <v>1680480</v>
      </c>
      <c r="E179" s="39">
        <f t="shared" si="90"/>
        <v>1652664</v>
      </c>
      <c r="F179" s="39">
        <f t="shared" ref="F179:G179" si="91">F178+F170</f>
        <v>1656478</v>
      </c>
      <c r="G179" s="39">
        <f t="shared" si="91"/>
        <v>1648663</v>
      </c>
    </row>
    <row r="180" spans="1:7">
      <c r="A180" s="236" t="s">
        <v>389</v>
      </c>
      <c r="B180" s="23"/>
      <c r="C180" s="23" t="s">
        <v>390</v>
      </c>
      <c r="D180" s="39">
        <f t="shared" ref="D180:E180" si="92">D38-D44+D8+D9+D10+D16-D33</f>
        <v>63631</v>
      </c>
      <c r="E180" s="39">
        <f t="shared" si="92"/>
        <v>47661</v>
      </c>
      <c r="F180" s="39">
        <f t="shared" ref="F180:G180" si="93">F38-F44+F8+F9+F10+F16-F33</f>
        <v>41727</v>
      </c>
      <c r="G180" s="39">
        <f t="shared" si="93"/>
        <v>51103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4">D22+D23+D24+D25+D26+D29+SUM(D44:D47)+SUM(D49:D53)-D54+D32-D33+SUM(D65:D70)+D72</f>
        <v>1438592</v>
      </c>
      <c r="E181" s="73">
        <f t="shared" si="94"/>
        <v>1448000</v>
      </c>
      <c r="F181" s="73">
        <f t="shared" ref="F181:G181" si="95">F22+F23+F24+F25+F26+F29+SUM(F44:F47)+SUM(F49:F53)-F54+F32-F33+SUM(F65:F70)+F72</f>
        <v>1480054</v>
      </c>
      <c r="G181" s="73">
        <f t="shared" si="95"/>
        <v>1479604</v>
      </c>
    </row>
    <row r="182" spans="1:7">
      <c r="A182" s="237" t="s">
        <v>375</v>
      </c>
      <c r="B182" s="71"/>
      <c r="C182" s="71" t="s">
        <v>170</v>
      </c>
      <c r="D182" s="73">
        <f t="shared" ref="D182:E182" si="96">D181+D171</f>
        <v>1507187</v>
      </c>
      <c r="E182" s="73">
        <f t="shared" si="96"/>
        <v>1504773</v>
      </c>
      <c r="F182" s="73">
        <f t="shared" ref="F182:G182" si="97">F181+F171</f>
        <v>1525444</v>
      </c>
      <c r="G182" s="73">
        <f t="shared" si="97"/>
        <v>1526099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1445850</v>
      </c>
      <c r="E183" s="73">
        <f>E4+E5-E7+E38+E39+E40+E41+E43+E13-E16+E57+E58+E60+E62</f>
        <v>1432928</v>
      </c>
      <c r="F183" s="73">
        <f>F4+F5-F7+F38+F39+F40+F41+F43+F13-F16+F57+F58+F60+F62</f>
        <v>1453029</v>
      </c>
      <c r="G183" s="73">
        <f>G4+G5-G7+G38+G39+G40+G41+G43+G13-G16+G57+G58+G60+G62</f>
        <v>1451745</v>
      </c>
    </row>
    <row r="184" spans="1:7">
      <c r="A184" s="237" t="s">
        <v>373</v>
      </c>
      <c r="B184" s="71"/>
      <c r="C184" s="71" t="s">
        <v>171</v>
      </c>
      <c r="D184" s="73">
        <f t="shared" ref="D184:E184" si="98">D183+D170</f>
        <v>1602273</v>
      </c>
      <c r="E184" s="73">
        <f t="shared" si="98"/>
        <v>1579116</v>
      </c>
      <c r="F184" s="73">
        <f t="shared" ref="F184:G184" si="99">F183+F170</f>
        <v>1580622</v>
      </c>
      <c r="G184" s="73">
        <f t="shared" si="99"/>
        <v>1571520</v>
      </c>
    </row>
    <row r="185" spans="1:7">
      <c r="A185" s="237"/>
      <c r="B185" s="71"/>
      <c r="C185" s="71" t="s">
        <v>405</v>
      </c>
      <c r="D185" s="73">
        <f t="shared" ref="D185:E186" si="100">D181-D183</f>
        <v>-7258</v>
      </c>
      <c r="E185" s="73">
        <f t="shared" si="100"/>
        <v>15072</v>
      </c>
      <c r="F185" s="73">
        <f t="shared" ref="F185:G185" si="101">F181-F183</f>
        <v>27025</v>
      </c>
      <c r="G185" s="73">
        <f t="shared" si="101"/>
        <v>27859</v>
      </c>
    </row>
    <row r="186" spans="1:7">
      <c r="A186" s="237"/>
      <c r="B186" s="71"/>
      <c r="C186" s="71" t="s">
        <v>406</v>
      </c>
      <c r="D186" s="73">
        <f t="shared" si="100"/>
        <v>-95086</v>
      </c>
      <c r="E186" s="73">
        <f t="shared" si="100"/>
        <v>-74343</v>
      </c>
      <c r="F186" s="73">
        <f t="shared" ref="F186:G186" si="102">F182-F184</f>
        <v>-55178</v>
      </c>
      <c r="G186" s="73">
        <f t="shared" si="102"/>
        <v>-45421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5"/>
  <sheetViews>
    <sheetView view="pageLayout" topLeftCell="A22" zoomScaleNormal="115" workbookViewId="0">
      <selection activeCell="L29" sqref="L29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511</v>
      </c>
      <c r="C1" s="374" t="s">
        <v>172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433"/>
      <c r="D3" s="384"/>
      <c r="E3" s="385" t="s">
        <v>470</v>
      </c>
      <c r="F3" s="384"/>
      <c r="G3" s="385"/>
      <c r="H3" s="384"/>
      <c r="I3" s="380" t="s">
        <v>588</v>
      </c>
    </row>
    <row r="4" spans="1:9">
      <c r="A4" s="372" t="s">
        <v>518</v>
      </c>
      <c r="B4" s="387" t="s">
        <v>1</v>
      </c>
      <c r="C4" s="388">
        <v>931140.12244999991</v>
      </c>
      <c r="D4" s="389">
        <f t="shared" ref="D4:D16" si="0">CHOOSE((C4&lt;&gt;0)+1,"  -",(E4-C4)/C4)</f>
        <v>4.8175754076593219E-2</v>
      </c>
      <c r="E4" s="388">
        <v>975998.5</v>
      </c>
      <c r="F4" s="389">
        <f t="shared" ref="F4:F27" si="1">CHOOSE((E4&lt;&gt;0)+1,"  -",(G4-E4)/E4)</f>
        <v>5.5904160713392151E-4</v>
      </c>
      <c r="G4" s="388">
        <v>976544.1237700003</v>
      </c>
      <c r="H4" s="389">
        <f t="shared" ref="H4:H16" si="2">CHOOSE((G4&lt;&gt;0)+1,"  -",(I4-G4)/G4)</f>
        <v>2.2691730655704373E-2</v>
      </c>
      <c r="I4" s="390">
        <v>998703.6</v>
      </c>
    </row>
    <row r="5" spans="1:9">
      <c r="A5" s="391" t="s">
        <v>519</v>
      </c>
      <c r="B5" s="382" t="s">
        <v>520</v>
      </c>
      <c r="C5" s="392">
        <v>262304.53688999999</v>
      </c>
      <c r="D5" s="393">
        <f t="shared" si="0"/>
        <v>-4.4089854628971544E-3</v>
      </c>
      <c r="E5" s="392">
        <v>261148.04</v>
      </c>
      <c r="F5" s="393">
        <f t="shared" si="1"/>
        <v>1.5372243383484771E-2</v>
      </c>
      <c r="G5" s="392">
        <v>265162.47123000002</v>
      </c>
      <c r="H5" s="393">
        <f t="shared" si="2"/>
        <v>-1.2514709244513086E-2</v>
      </c>
      <c r="I5" s="394">
        <v>261844.04</v>
      </c>
    </row>
    <row r="6" spans="1:9">
      <c r="A6" s="391" t="s">
        <v>229</v>
      </c>
      <c r="B6" s="382" t="s">
        <v>521</v>
      </c>
      <c r="C6" s="392">
        <v>47832.005720000001</v>
      </c>
      <c r="D6" s="393">
        <f t="shared" si="0"/>
        <v>2.6052488940035523E-3</v>
      </c>
      <c r="E6" s="392">
        <v>47956.62</v>
      </c>
      <c r="F6" s="393">
        <f t="shared" si="1"/>
        <v>7.1817090111855525E-2</v>
      </c>
      <c r="G6" s="392">
        <v>51400.724900000016</v>
      </c>
      <c r="H6" s="393">
        <f t="shared" si="2"/>
        <v>-0.11870834335256651</v>
      </c>
      <c r="I6" s="394">
        <v>45299.03</v>
      </c>
    </row>
    <row r="7" spans="1:9">
      <c r="A7" s="391" t="s">
        <v>522</v>
      </c>
      <c r="B7" s="382" t="s">
        <v>523</v>
      </c>
      <c r="C7" s="392">
        <v>44464.970359999999</v>
      </c>
      <c r="D7" s="393">
        <f t="shared" si="0"/>
        <v>4.5490407923888199E-2</v>
      </c>
      <c r="E7" s="392">
        <v>46487.7</v>
      </c>
      <c r="F7" s="393">
        <f t="shared" si="1"/>
        <v>-1.1060319181202133E-3</v>
      </c>
      <c r="G7" s="392">
        <v>46436.28312</v>
      </c>
      <c r="H7" s="393">
        <f t="shared" si="2"/>
        <v>-8.4207495890553957E-2</v>
      </c>
      <c r="I7" s="394">
        <v>42526</v>
      </c>
    </row>
    <row r="8" spans="1:9">
      <c r="A8" s="391" t="s">
        <v>524</v>
      </c>
      <c r="B8" s="382" t="s">
        <v>525</v>
      </c>
      <c r="C8" s="392">
        <v>17407.794590000001</v>
      </c>
      <c r="D8" s="393">
        <f t="shared" si="0"/>
        <v>-2.9285420813320921E-2</v>
      </c>
      <c r="E8" s="392">
        <v>16898</v>
      </c>
      <c r="F8" s="393">
        <f t="shared" si="1"/>
        <v>-0.16463552609776311</v>
      </c>
      <c r="G8" s="392">
        <v>14115.988879999999</v>
      </c>
      <c r="H8" s="393">
        <f t="shared" si="2"/>
        <v>0.22031833167610154</v>
      </c>
      <c r="I8" s="394">
        <v>17226</v>
      </c>
    </row>
    <row r="9" spans="1:9">
      <c r="A9" s="391" t="s">
        <v>526</v>
      </c>
      <c r="B9" s="382" t="s">
        <v>527</v>
      </c>
      <c r="C9" s="392">
        <v>185692.22410000002</v>
      </c>
      <c r="D9" s="393">
        <f t="shared" si="0"/>
        <v>1.2212551769419938E-2</v>
      </c>
      <c r="E9" s="392">
        <v>187960</v>
      </c>
      <c r="F9" s="393">
        <f t="shared" si="1"/>
        <v>-3.953520610768254E-2</v>
      </c>
      <c r="G9" s="392">
        <v>180528.96265999999</v>
      </c>
      <c r="H9" s="393">
        <f t="shared" si="2"/>
        <v>-2.0101830789526071E-2</v>
      </c>
      <c r="I9" s="394">
        <v>176900</v>
      </c>
    </row>
    <row r="10" spans="1:9">
      <c r="A10" s="391" t="s">
        <v>528</v>
      </c>
      <c r="B10" s="382" t="s">
        <v>529</v>
      </c>
      <c r="C10" s="392">
        <v>1694711.3290199998</v>
      </c>
      <c r="D10" s="393">
        <f t="shared" si="0"/>
        <v>2.2457022814621801E-2</v>
      </c>
      <c r="E10" s="392">
        <v>1732769.5</v>
      </c>
      <c r="F10" s="393">
        <f t="shared" si="1"/>
        <v>3.8036911360685599E-2</v>
      </c>
      <c r="G10" s="392">
        <v>1798678.6998799995</v>
      </c>
      <c r="H10" s="393">
        <f t="shared" si="2"/>
        <v>-2.4145457375403925E-2</v>
      </c>
      <c r="I10" s="394">
        <v>1755248.78</v>
      </c>
    </row>
    <row r="11" spans="1:9">
      <c r="A11" s="391" t="s">
        <v>530</v>
      </c>
      <c r="B11" s="382" t="s">
        <v>531</v>
      </c>
      <c r="C11" s="392">
        <v>83433.718900000007</v>
      </c>
      <c r="D11" s="393">
        <f t="shared" si="0"/>
        <v>-2.7291350907288993E-2</v>
      </c>
      <c r="E11" s="392">
        <v>81156.7</v>
      </c>
      <c r="F11" s="393">
        <f t="shared" si="1"/>
        <v>2.0313606270338787E-2</v>
      </c>
      <c r="G11" s="392">
        <v>82805.285250000001</v>
      </c>
      <c r="H11" s="393">
        <f t="shared" si="2"/>
        <v>4.211463965701398E-2</v>
      </c>
      <c r="I11" s="394">
        <v>86292.6</v>
      </c>
    </row>
    <row r="12" spans="1:9">
      <c r="A12" s="391" t="s">
        <v>532</v>
      </c>
      <c r="B12" s="382" t="s">
        <v>533</v>
      </c>
      <c r="C12" s="392">
        <v>378299.21862</v>
      </c>
      <c r="D12" s="393">
        <f t="shared" si="0"/>
        <v>-4.0082520538407777E-3</v>
      </c>
      <c r="E12" s="392">
        <v>376782.9</v>
      </c>
      <c r="F12" s="393">
        <f t="shared" si="1"/>
        <v>4.6707979979983057E-2</v>
      </c>
      <c r="G12" s="392">
        <v>394381.66814999998</v>
      </c>
      <c r="H12" s="393">
        <f t="shared" si="2"/>
        <v>-1.0099273043505361E-2</v>
      </c>
      <c r="I12" s="394">
        <v>390398.7</v>
      </c>
    </row>
    <row r="13" spans="1:9">
      <c r="A13" s="391" t="s">
        <v>534</v>
      </c>
      <c r="B13" s="382" t="s">
        <v>535</v>
      </c>
      <c r="C13" s="392">
        <v>246027.35054999992</v>
      </c>
      <c r="D13" s="393">
        <f t="shared" si="0"/>
        <v>8.8390556787227292E-3</v>
      </c>
      <c r="E13" s="392">
        <v>248202</v>
      </c>
      <c r="F13" s="393">
        <f t="shared" si="1"/>
        <v>-1.0502436241448745E-2</v>
      </c>
      <c r="G13" s="392">
        <v>245595.27431999994</v>
      </c>
      <c r="H13" s="393">
        <f t="shared" si="2"/>
        <v>3.4938358255296842E-2</v>
      </c>
      <c r="I13" s="394">
        <v>254175.97</v>
      </c>
    </row>
    <row r="14" spans="1:9">
      <c r="A14" s="391" t="s">
        <v>536</v>
      </c>
      <c r="B14" s="382" t="s">
        <v>537</v>
      </c>
      <c r="C14" s="392">
        <v>24507.411</v>
      </c>
      <c r="D14" s="393">
        <f t="shared" si="0"/>
        <v>-2.0704390194459955E-2</v>
      </c>
      <c r="E14" s="392">
        <v>24000</v>
      </c>
      <c r="F14" s="393">
        <f t="shared" si="1"/>
        <v>5.8734791666666598E-2</v>
      </c>
      <c r="G14" s="392">
        <v>25409.634999999998</v>
      </c>
      <c r="H14" s="393">
        <f t="shared" si="2"/>
        <v>-1.612124692070541E-2</v>
      </c>
      <c r="I14" s="394">
        <v>25000</v>
      </c>
    </row>
    <row r="15" spans="1:9">
      <c r="A15" s="391" t="s">
        <v>538</v>
      </c>
      <c r="B15" s="382" t="s">
        <v>539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540</v>
      </c>
      <c r="B16" s="382" t="s">
        <v>541</v>
      </c>
      <c r="C16" s="392">
        <v>45372.497149999996</v>
      </c>
      <c r="D16" s="393">
        <f t="shared" si="0"/>
        <v>-2.9180044810471063E-3</v>
      </c>
      <c r="E16" s="392">
        <v>45240.1</v>
      </c>
      <c r="F16" s="393">
        <f t="shared" si="1"/>
        <v>0.96798520317152292</v>
      </c>
      <c r="G16" s="392">
        <v>89031.84739000001</v>
      </c>
      <c r="H16" s="393">
        <f t="shared" si="2"/>
        <v>-0.48083858355171444</v>
      </c>
      <c r="I16" s="394">
        <v>46221.9</v>
      </c>
    </row>
    <row r="17" spans="1:9">
      <c r="A17" s="391" t="s">
        <v>542</v>
      </c>
      <c r="B17" s="382" t="s">
        <v>543</v>
      </c>
      <c r="C17" s="392">
        <v>13175.626839999997</v>
      </c>
      <c r="D17" s="393">
        <f>CHOOSE((C17&lt;&gt;0)+1,"  -",(E17-C17)/C17)</f>
        <v>-0.22329539806547816</v>
      </c>
      <c r="E17" s="392">
        <v>10233.57</v>
      </c>
      <c r="F17" s="393">
        <f t="shared" si="1"/>
        <v>0.50396366175244811</v>
      </c>
      <c r="G17" s="392">
        <v>15390.91741</v>
      </c>
      <c r="H17" s="393">
        <f>CHOOSE((G17&lt;&gt;0)+1,"  -",(I17-G17)/G17)</f>
        <v>0.44550707455196464</v>
      </c>
      <c r="I17" s="394">
        <v>22247.68</v>
      </c>
    </row>
    <row r="18" spans="1:9">
      <c r="A18" s="391">
        <v>389</v>
      </c>
      <c r="B18" s="382" t="s">
        <v>7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545</v>
      </c>
      <c r="C19" s="397">
        <v>198149.74989000001</v>
      </c>
      <c r="D19" s="393">
        <f t="shared" ref="D19:D27" si="3">CHOOSE((C19&lt;&gt;0)+1,"  -",(E19-C19)/C19)</f>
        <v>-1.4126588055518233E-2</v>
      </c>
      <c r="E19" s="397">
        <v>195350.57</v>
      </c>
      <c r="F19" s="393">
        <f t="shared" si="1"/>
        <v>8.3644367661685325E-3</v>
      </c>
      <c r="G19" s="397">
        <v>196984.56748999999</v>
      </c>
      <c r="H19" s="393">
        <f t="shared" ref="H19:H27" si="4">CHOOSE((G19&lt;&gt;0)+1,"  -",(I19-G19)/G19)</f>
        <v>-4.7042644091752784E-3</v>
      </c>
      <c r="I19" s="398">
        <v>196057.9</v>
      </c>
    </row>
    <row r="20" spans="1:9">
      <c r="A20" s="399" t="s">
        <v>546</v>
      </c>
      <c r="B20" s="400" t="s">
        <v>547</v>
      </c>
      <c r="C20" s="401">
        <f>C19+C18+C17+C10+C9+C8+C7+C5+C4</f>
        <v>3347046.3541399995</v>
      </c>
      <c r="D20" s="402">
        <f t="shared" si="3"/>
        <v>2.3841774931290069E-2</v>
      </c>
      <c r="E20" s="401">
        <v>3426845.8800000004</v>
      </c>
      <c r="F20" s="402">
        <f t="shared" si="1"/>
        <v>1.9550378623972343E-2</v>
      </c>
      <c r="G20" s="401">
        <f>G19+G18+G17+G10+G9+G8+G7+G5+G4</f>
        <v>3493842.0144400001</v>
      </c>
      <c r="H20" s="402">
        <f t="shared" si="4"/>
        <v>-6.6082021867551969E-3</v>
      </c>
      <c r="I20" s="434">
        <f>I19+I18+I17+I10+I9+I8+I7+I5+I4</f>
        <v>3470754.0000000005</v>
      </c>
    </row>
    <row r="21" spans="1:9">
      <c r="A21" s="403" t="s">
        <v>548</v>
      </c>
      <c r="B21" s="404" t="s">
        <v>549</v>
      </c>
      <c r="C21" s="388">
        <v>1594007.8082100002</v>
      </c>
      <c r="D21" s="393">
        <f t="shared" si="3"/>
        <v>-5.8903778021915324E-3</v>
      </c>
      <c r="E21" s="388">
        <v>1584618.5</v>
      </c>
      <c r="F21" s="393">
        <f t="shared" si="1"/>
        <v>-7.9860400847269631E-3</v>
      </c>
      <c r="G21" s="388">
        <v>1571963.6731400001</v>
      </c>
      <c r="H21" s="393">
        <f t="shared" si="4"/>
        <v>6.8107978847971769E-3</v>
      </c>
      <c r="I21" s="390">
        <v>1582670</v>
      </c>
    </row>
    <row r="22" spans="1:9">
      <c r="A22" s="405" t="s">
        <v>550</v>
      </c>
      <c r="B22" s="378" t="s">
        <v>551</v>
      </c>
      <c r="C22" s="392">
        <v>199240.21996999998</v>
      </c>
      <c r="D22" s="393">
        <f t="shared" si="3"/>
        <v>-0.11804955833486565</v>
      </c>
      <c r="E22" s="392">
        <v>175720</v>
      </c>
      <c r="F22" s="393">
        <f t="shared" si="1"/>
        <v>-9.9933926132484436E-3</v>
      </c>
      <c r="G22" s="392">
        <v>173963.96104999998</v>
      </c>
      <c r="H22" s="393">
        <f t="shared" si="4"/>
        <v>2.6281529360474499E-2</v>
      </c>
      <c r="I22" s="394">
        <v>178536</v>
      </c>
    </row>
    <row r="23" spans="1:9">
      <c r="A23" s="405" t="s">
        <v>552</v>
      </c>
      <c r="B23" s="378" t="s">
        <v>553</v>
      </c>
      <c r="C23" s="392">
        <v>59810.085399999996</v>
      </c>
      <c r="D23" s="393">
        <f t="shared" si="3"/>
        <v>4.7544065202087156E-2</v>
      </c>
      <c r="E23" s="392">
        <v>62653.7</v>
      </c>
      <c r="F23" s="393">
        <f t="shared" si="1"/>
        <v>2.5606476552861761E-3</v>
      </c>
      <c r="G23" s="392">
        <v>62814.134050000001</v>
      </c>
      <c r="H23" s="393">
        <f t="shared" si="4"/>
        <v>7.103044589372963E-2</v>
      </c>
      <c r="I23" s="394">
        <v>67275.850000000006</v>
      </c>
    </row>
    <row r="24" spans="1:9">
      <c r="A24" s="405" t="s">
        <v>554</v>
      </c>
      <c r="B24" s="378" t="s">
        <v>555</v>
      </c>
      <c r="C24" s="392">
        <v>364745.0808</v>
      </c>
      <c r="D24" s="393">
        <f t="shared" si="3"/>
        <v>2.2795178434658721E-2</v>
      </c>
      <c r="E24" s="392">
        <v>373059.51</v>
      </c>
      <c r="F24" s="393">
        <f t="shared" si="1"/>
        <v>-4.1794645846180752E-3</v>
      </c>
      <c r="G24" s="392">
        <v>371500.32099000004</v>
      </c>
      <c r="H24" s="393">
        <f t="shared" si="4"/>
        <v>1.7539739919027918E-2</v>
      </c>
      <c r="I24" s="394">
        <v>378016.34</v>
      </c>
    </row>
    <row r="25" spans="1:9">
      <c r="A25" s="405" t="s">
        <v>556</v>
      </c>
      <c r="B25" s="378" t="s">
        <v>557</v>
      </c>
      <c r="C25" s="392">
        <v>831247.26358000003</v>
      </c>
      <c r="D25" s="393">
        <f t="shared" si="3"/>
        <v>4.1603404829340142E-2</v>
      </c>
      <c r="E25" s="392">
        <v>865829.98</v>
      </c>
      <c r="F25" s="393">
        <f t="shared" si="1"/>
        <v>8.0366808007733895E-2</v>
      </c>
      <c r="G25" s="392">
        <v>935413.97177000006</v>
      </c>
      <c r="H25" s="393">
        <f t="shared" si="4"/>
        <v>-2.493238552538362E-2</v>
      </c>
      <c r="I25" s="394">
        <v>912091.87000000011</v>
      </c>
    </row>
    <row r="26" spans="1:9">
      <c r="A26" s="406" t="s">
        <v>558</v>
      </c>
      <c r="B26" s="378" t="s">
        <v>559</v>
      </c>
      <c r="C26" s="392">
        <v>2260.96243</v>
      </c>
      <c r="D26" s="393">
        <f t="shared" si="3"/>
        <v>0.77638511224620399</v>
      </c>
      <c r="E26" s="392">
        <v>4016.34</v>
      </c>
      <c r="F26" s="393">
        <f t="shared" si="1"/>
        <v>-0.10203706608504266</v>
      </c>
      <c r="G26" s="392">
        <v>3606.5244499999999</v>
      </c>
      <c r="H26" s="393">
        <f t="shared" si="4"/>
        <v>1.2395079007436094</v>
      </c>
      <c r="I26" s="394">
        <v>8076.84</v>
      </c>
    </row>
    <row r="27" spans="1:9">
      <c r="A27" s="407">
        <v>489</v>
      </c>
      <c r="B27" s="378" t="s">
        <v>18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561</v>
      </c>
      <c r="C28" s="397">
        <v>198149.74989000001</v>
      </c>
      <c r="D28" s="393">
        <f>CHOOSE((C28&lt;&gt;0)+1,"  -",(E28-C28)/C28)</f>
        <v>-1.4126588055518233E-2</v>
      </c>
      <c r="E28" s="397">
        <v>195350.57</v>
      </c>
      <c r="F28" s="393">
        <f>CHOOSE((E28&lt;&gt;0)+1,"  -",(G28-E28)/E28)</f>
        <v>8.3644367661685325E-3</v>
      </c>
      <c r="G28" s="397">
        <v>196984.56748999999</v>
      </c>
      <c r="H28" s="393">
        <f>CHOOSE((G28&lt;&gt;0)+1,"  -",(I28-G28)/G28)</f>
        <v>-4.7042644091752784E-3</v>
      </c>
      <c r="I28" s="398">
        <v>196057.9</v>
      </c>
    </row>
    <row r="29" spans="1:9">
      <c r="A29" s="410" t="s">
        <v>562</v>
      </c>
      <c r="B29" s="411" t="s">
        <v>563</v>
      </c>
      <c r="C29" s="401">
        <f>SUM(C21:C28)</f>
        <v>3249461.1702800002</v>
      </c>
      <c r="D29" s="412">
        <f>CHOOSE((C29&lt;&gt;0)+1,"  -",(E29-C29)/C29)</f>
        <v>3.6275028696476871E-3</v>
      </c>
      <c r="E29" s="401">
        <f>SUM(E21:E28)</f>
        <v>3261248.5999999996</v>
      </c>
      <c r="F29" s="413">
        <f>CHOOSE((E29&lt;&gt;0)+1,"  -",(G29-E29)/E29)</f>
        <v>1.6864262644681646E-2</v>
      </c>
      <c r="G29" s="401">
        <f>SUM(G21:G28)</f>
        <v>3316247.1529399999</v>
      </c>
      <c r="H29" s="412">
        <f>CHOOSE((G29&lt;&gt;0)+1,"  -",(I29-G29)/G29)</f>
        <v>1.9533064820748207E-3</v>
      </c>
      <c r="I29" s="434">
        <f>SUM(I21:I28)</f>
        <v>3322724.8</v>
      </c>
    </row>
    <row r="30" spans="1:9">
      <c r="A30" s="414" t="s">
        <v>564</v>
      </c>
      <c r="B30" s="415" t="s">
        <v>565</v>
      </c>
      <c r="C30" s="416">
        <f t="shared" ref="C30" si="5">C29-C20</f>
        <v>-97585.183859999292</v>
      </c>
      <c r="D30" s="417"/>
      <c r="E30" s="416">
        <f t="shared" ref="E30" si="6">E29-E20</f>
        <v>-165597.28000000073</v>
      </c>
      <c r="F30" s="418"/>
      <c r="G30" s="416">
        <f t="shared" ref="G30" si="7">G29-G20</f>
        <v>-177594.86150000012</v>
      </c>
      <c r="H30" s="417"/>
      <c r="I30" s="435">
        <f t="shared" ref="I30" si="8">I29-I20</f>
        <v>-148029.20000000065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176090.83320000002</v>
      </c>
      <c r="D32" s="393">
        <f t="shared" ref="D32:D42" si="9">CHOOSE((C32&lt;&gt;0)+1,"  -",(E32-C32)/C32)</f>
        <v>0.1296772034354822</v>
      </c>
      <c r="E32" s="392">
        <v>198925.8</v>
      </c>
      <c r="F32" s="393">
        <f t="shared" ref="F32:F42" si="10">CHOOSE((E32&lt;&gt;0)+1,"  -",(G32-E32)/E32)</f>
        <v>-0.16878237981197011</v>
      </c>
      <c r="G32" s="392">
        <v>165350.63006999998</v>
      </c>
      <c r="H32" s="393">
        <f t="shared" ref="H32:H42" si="11">CHOOSE((G32&lt;&gt;0)+1,"  -",(I32-G32)/G32)</f>
        <v>9.1952295092938896E-2</v>
      </c>
      <c r="I32" s="394">
        <v>180555</v>
      </c>
    </row>
    <row r="33" spans="1:9">
      <c r="A33" s="406" t="s">
        <v>569</v>
      </c>
      <c r="B33" s="378" t="s">
        <v>570</v>
      </c>
      <c r="C33" s="392">
        <v>6073.7619999999997</v>
      </c>
      <c r="D33" s="393">
        <f t="shared" si="9"/>
        <v>0.59884434062447633</v>
      </c>
      <c r="E33" s="392">
        <v>9711</v>
      </c>
      <c r="F33" s="393">
        <f t="shared" si="10"/>
        <v>8.8431714550509728</v>
      </c>
      <c r="G33" s="392">
        <v>95587.038</v>
      </c>
      <c r="H33" s="393">
        <f t="shared" si="11"/>
        <v>-0.90492434758779738</v>
      </c>
      <c r="I33" s="394">
        <v>9088</v>
      </c>
    </row>
    <row r="34" spans="1:9">
      <c r="A34" s="405" t="s">
        <v>571</v>
      </c>
      <c r="B34" s="378" t="s">
        <v>572</v>
      </c>
      <c r="C34" s="392">
        <v>96756.87705000001</v>
      </c>
      <c r="D34" s="393">
        <f t="shared" si="9"/>
        <v>0.44408546720452463</v>
      </c>
      <c r="E34" s="392">
        <v>139725.20000000001</v>
      </c>
      <c r="F34" s="393">
        <f t="shared" si="10"/>
        <v>-0.15890630716577972</v>
      </c>
      <c r="G34" s="392">
        <v>117521.98445</v>
      </c>
      <c r="H34" s="393">
        <f t="shared" si="11"/>
        <v>0.28367216317882732</v>
      </c>
      <c r="I34" s="394">
        <v>150859.70000000001</v>
      </c>
    </row>
    <row r="35" spans="1:9">
      <c r="A35" s="410" t="s">
        <v>573</v>
      </c>
      <c r="B35" s="411" t="s">
        <v>574</v>
      </c>
      <c r="C35" s="401">
        <f t="shared" ref="C35" si="12">SUM(C32:C34)</f>
        <v>278921.47224999999</v>
      </c>
      <c r="D35" s="412">
        <f t="shared" si="9"/>
        <v>0.24896085335359122</v>
      </c>
      <c r="E35" s="401">
        <f t="shared" ref="E35" si="13">SUM(E32:E34)</f>
        <v>348362</v>
      </c>
      <c r="F35" s="412">
        <f t="shared" si="10"/>
        <v>8.6397633840660015E-2</v>
      </c>
      <c r="G35" s="401">
        <f t="shared" ref="G35" si="14">SUM(G32:G34)</f>
        <v>378459.65252</v>
      </c>
      <c r="H35" s="412">
        <f t="shared" si="11"/>
        <v>-0.10029326050283294</v>
      </c>
      <c r="I35" s="434">
        <f t="shared" ref="I35" si="15">SUM(I32:I34)</f>
        <v>340502.7</v>
      </c>
    </row>
    <row r="36" spans="1:9">
      <c r="A36" s="405" t="s">
        <v>575</v>
      </c>
      <c r="B36" s="378" t="s">
        <v>576</v>
      </c>
      <c r="C36" s="392">
        <v>65.212999999999994</v>
      </c>
      <c r="D36" s="393">
        <f t="shared" si="9"/>
        <v>14.334365847300386</v>
      </c>
      <c r="E36" s="392">
        <v>1000</v>
      </c>
      <c r="F36" s="393">
        <f t="shared" si="10"/>
        <v>0.67239144999999989</v>
      </c>
      <c r="G36" s="392">
        <v>1672.3914499999998</v>
      </c>
      <c r="H36" s="393">
        <f t="shared" si="11"/>
        <v>-0.70102693361652857</v>
      </c>
      <c r="I36" s="394">
        <v>500</v>
      </c>
    </row>
    <row r="37" spans="1:9">
      <c r="A37" s="405" t="s">
        <v>577</v>
      </c>
      <c r="B37" s="378" t="s">
        <v>578</v>
      </c>
      <c r="C37" s="392">
        <v>99569.876149999996</v>
      </c>
      <c r="D37" s="393">
        <f t="shared" si="9"/>
        <v>0.24299039815567752</v>
      </c>
      <c r="E37" s="392">
        <v>123764.4</v>
      </c>
      <c r="F37" s="393">
        <f t="shared" si="10"/>
        <v>-0.23265498390490308</v>
      </c>
      <c r="G37" s="392">
        <v>94969.995510000008</v>
      </c>
      <c r="H37" s="393">
        <f t="shared" si="11"/>
        <v>0.41588297733299517</v>
      </c>
      <c r="I37" s="394">
        <v>134466.4</v>
      </c>
    </row>
    <row r="38" spans="1:9">
      <c r="A38" s="410" t="s">
        <v>579</v>
      </c>
      <c r="B38" s="411" t="s">
        <v>580</v>
      </c>
      <c r="C38" s="401">
        <f t="shared" ref="C38" si="16">SUM(C36:C37)</f>
        <v>99635.08915</v>
      </c>
      <c r="D38" s="412">
        <f t="shared" si="9"/>
        <v>0.25221346279088458</v>
      </c>
      <c r="E38" s="401">
        <f t="shared" ref="E38" si="17">SUM(E36:E37)</f>
        <v>124764.4</v>
      </c>
      <c r="F38" s="412">
        <f t="shared" si="10"/>
        <v>-0.22540094001173405</v>
      </c>
      <c r="G38" s="401">
        <f t="shared" ref="G38" si="18">SUM(G36:G37)</f>
        <v>96642.386960000003</v>
      </c>
      <c r="H38" s="412">
        <f t="shared" si="11"/>
        <v>0.3965549097608918</v>
      </c>
      <c r="I38" s="434">
        <f t="shared" ref="I38" si="19">SUM(I36:I37)</f>
        <v>134966.39999999999</v>
      </c>
    </row>
    <row r="39" spans="1:9">
      <c r="A39" s="423" t="s">
        <v>581</v>
      </c>
      <c r="B39" s="424" t="s">
        <v>145</v>
      </c>
      <c r="C39" s="425">
        <f t="shared" ref="C39" si="20">C35-C38</f>
        <v>179286.38309999998</v>
      </c>
      <c r="D39" s="426">
        <f t="shared" si="9"/>
        <v>0.24715327585857264</v>
      </c>
      <c r="E39" s="425">
        <f t="shared" ref="E39" si="21">E35-E38</f>
        <v>223597.6</v>
      </c>
      <c r="F39" s="426">
        <f t="shared" si="10"/>
        <v>0.26037696987803072</v>
      </c>
      <c r="G39" s="425">
        <f t="shared" ref="G39" si="22">G35-G38</f>
        <v>281817.26555999997</v>
      </c>
      <c r="H39" s="426">
        <f t="shared" si="11"/>
        <v>-0.27067527395250895</v>
      </c>
      <c r="I39" s="436">
        <f t="shared" ref="I39" si="23">I35-I38</f>
        <v>205536.30000000002</v>
      </c>
    </row>
    <row r="40" spans="1:9">
      <c r="A40" s="377" t="s">
        <v>582</v>
      </c>
      <c r="B40" s="378" t="s">
        <v>153</v>
      </c>
      <c r="C40" s="392">
        <f>C9+C30+C18-C27</f>
        <v>88107.04024000073</v>
      </c>
      <c r="D40" s="393">
        <f t="shared" si="9"/>
        <v>-0.74618691152166783</v>
      </c>
      <c r="E40" s="392">
        <f>E9+E30+E18-E27</f>
        <v>22362.719999999274</v>
      </c>
      <c r="F40" s="393">
        <f t="shared" si="10"/>
        <v>-0.86879497842838571</v>
      </c>
      <c r="G40" s="392">
        <f>G9+G30+G18-G27</f>
        <v>2934.1011599998747</v>
      </c>
      <c r="H40" s="393">
        <f t="shared" si="11"/>
        <v>8.8397425397563936</v>
      </c>
      <c r="I40" s="394">
        <f>I9+I30+I18-I27</f>
        <v>28870.799999999348</v>
      </c>
    </row>
    <row r="41" spans="1:9">
      <c r="A41" s="377" t="s">
        <v>582</v>
      </c>
      <c r="B41" s="378" t="s">
        <v>583</v>
      </c>
      <c r="C41" s="392">
        <f t="shared" ref="C41" si="24">C40-C39</f>
        <v>-91179.342859999248</v>
      </c>
      <c r="D41" s="393">
        <f t="shared" si="9"/>
        <v>1.2070227058883893</v>
      </c>
      <c r="E41" s="392">
        <f t="shared" ref="E41" si="25">E40-E39</f>
        <v>-201234.88000000073</v>
      </c>
      <c r="F41" s="393">
        <f t="shared" si="10"/>
        <v>0.38585897434877647</v>
      </c>
      <c r="G41" s="392">
        <f t="shared" ref="G41" si="26">G40-G39</f>
        <v>-278883.16440000013</v>
      </c>
      <c r="H41" s="393">
        <f t="shared" si="11"/>
        <v>-0.36652504506650457</v>
      </c>
      <c r="I41" s="394">
        <f t="shared" ref="I41" si="27">I40-I39</f>
        <v>-176665.50000000067</v>
      </c>
    </row>
    <row r="42" spans="1:9">
      <c r="A42" s="427" t="s">
        <v>582</v>
      </c>
      <c r="B42" s="409" t="s">
        <v>584</v>
      </c>
      <c r="C42" s="397">
        <f>C35+C20-C8-C9-C17-C18-C19</f>
        <v>3211542.4309699992</v>
      </c>
      <c r="D42" s="428">
        <f t="shared" si="9"/>
        <v>4.7710192944180614E-2</v>
      </c>
      <c r="E42" s="397">
        <f>E35+E20-E8-E9-E17-E18-E19</f>
        <v>3364765.7400000007</v>
      </c>
      <c r="F42" s="428">
        <f t="shared" si="10"/>
        <v>2.9872953509090069E-2</v>
      </c>
      <c r="G42" s="397">
        <f>G35+G20-G8-G9-G17-G18-G19</f>
        <v>3465281.2305199997</v>
      </c>
      <c r="H42" s="428">
        <f t="shared" si="11"/>
        <v>-1.9177696151959009E-2</v>
      </c>
      <c r="I42" s="398">
        <f>I35+I20-I8-I9-I17-I18-I19</f>
        <v>3398825.1200000006</v>
      </c>
    </row>
    <row r="43" spans="1:9">
      <c r="A43" s="427"/>
      <c r="B43" s="409" t="s">
        <v>585</v>
      </c>
      <c r="C43" s="429">
        <f t="shared" ref="C43" si="28">C40/C39</f>
        <v>0.49143185732548106</v>
      </c>
      <c r="D43" s="430"/>
      <c r="E43" s="428">
        <f t="shared" ref="E43" si="29">E40/E39</f>
        <v>0.10001323806695274</v>
      </c>
      <c r="F43" s="430"/>
      <c r="G43" s="429">
        <f t="shared" ref="G43" si="30">G40/G39</f>
        <v>1.0411360546592179E-2</v>
      </c>
      <c r="H43" s="430"/>
      <c r="I43" s="437">
        <f t="shared" ref="I43" si="31">I40/I39</f>
        <v>0.14046569875977793</v>
      </c>
    </row>
    <row r="44" spans="1:9">
      <c r="A44" s="438"/>
      <c r="B44" s="378"/>
      <c r="C44" s="378"/>
      <c r="D44" s="431"/>
      <c r="E44" s="432"/>
      <c r="F44" s="380"/>
      <c r="G44" s="378"/>
      <c r="H44" s="380"/>
      <c r="I44" s="432"/>
    </row>
    <row r="45" spans="1:9">
      <c r="A45" s="438"/>
      <c r="B45" s="378"/>
      <c r="C45" s="378"/>
      <c r="D45" s="431"/>
      <c r="E45" s="432"/>
      <c r="F45" s="380"/>
      <c r="G45" s="378"/>
      <c r="H45" s="380"/>
      <c r="I45" s="432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:AX186"/>
  <sheetViews>
    <sheetView view="pageLayout" topLeftCell="A169" zoomScaleNormal="100" workbookViewId="0">
      <selection activeCell="D185" sqref="D185"/>
    </sheetView>
  </sheetViews>
  <sheetFormatPr baseColWidth="10" defaultColWidth="11.5" defaultRowHeight="13"/>
  <cols>
    <col min="1" max="1" width="16.33203125" style="6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0" s="2" customFormat="1" ht="18" customHeight="1">
      <c r="A1" s="219" t="s">
        <v>219</v>
      </c>
      <c r="B1" s="44" t="s">
        <v>500</v>
      </c>
      <c r="C1" s="44" t="s">
        <v>501</v>
      </c>
      <c r="D1" s="28" t="s">
        <v>172</v>
      </c>
      <c r="E1" s="24" t="s">
        <v>2</v>
      </c>
      <c r="F1" s="28" t="s">
        <v>172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20"/>
      <c r="B2" s="26"/>
      <c r="C2" s="42" t="s">
        <v>215</v>
      </c>
      <c r="D2" s="29">
        <v>2012</v>
      </c>
      <c r="E2" s="27">
        <v>2013</v>
      </c>
      <c r="F2" s="29">
        <v>2013</v>
      </c>
      <c r="G2" s="27">
        <v>2014</v>
      </c>
    </row>
    <row r="3" spans="1:50" ht="15" customHeight="1">
      <c r="A3" s="800" t="s">
        <v>40</v>
      </c>
      <c r="B3" s="797"/>
      <c r="C3" s="797"/>
      <c r="E3" s="85" t="s">
        <v>470</v>
      </c>
      <c r="G3" s="85" t="s">
        <v>470</v>
      </c>
    </row>
    <row r="4" spans="1:50" s="62" customFormat="1" ht="12.75" customHeight="1">
      <c r="A4" s="160">
        <v>30</v>
      </c>
      <c r="B4" s="96"/>
      <c r="C4" s="97" t="s">
        <v>41</v>
      </c>
      <c r="D4" s="98"/>
      <c r="E4" s="100"/>
      <c r="F4" s="98"/>
      <c r="G4" s="345">
        <v>998703.6</v>
      </c>
    </row>
    <row r="5" spans="1:50" s="62" customFormat="1" ht="12.75" customHeight="1">
      <c r="A5" s="145">
        <v>31</v>
      </c>
      <c r="B5" s="102"/>
      <c r="C5" s="103" t="s">
        <v>42</v>
      </c>
      <c r="D5" s="105"/>
      <c r="E5" s="106"/>
      <c r="F5" s="105"/>
      <c r="G5" s="346">
        <v>269455.44</v>
      </c>
    </row>
    <row r="6" spans="1:50" s="62" customFormat="1" ht="12.75" customHeight="1">
      <c r="A6" s="107" t="s">
        <v>298</v>
      </c>
      <c r="B6" s="108"/>
      <c r="C6" s="109" t="s">
        <v>299</v>
      </c>
      <c r="D6" s="150"/>
      <c r="E6" s="155"/>
      <c r="F6" s="150"/>
      <c r="G6" s="347">
        <v>43145.38</v>
      </c>
    </row>
    <row r="7" spans="1:50" s="62" customFormat="1" ht="12.75" customHeight="1">
      <c r="A7" s="107" t="s">
        <v>415</v>
      </c>
      <c r="B7" s="108"/>
      <c r="C7" s="109" t="s">
        <v>414</v>
      </c>
      <c r="D7" s="150"/>
      <c r="E7" s="155"/>
      <c r="F7" s="150"/>
      <c r="G7" s="347">
        <v>0</v>
      </c>
    </row>
    <row r="8" spans="1:50" s="62" customFormat="1" ht="12.75" customHeight="1">
      <c r="A8" s="145">
        <v>330</v>
      </c>
      <c r="B8" s="102"/>
      <c r="C8" s="103" t="s">
        <v>300</v>
      </c>
      <c r="D8" s="105"/>
      <c r="E8" s="113"/>
      <c r="F8" s="105"/>
      <c r="G8" s="348">
        <v>100400</v>
      </c>
    </row>
    <row r="9" spans="1:50" s="62" customFormat="1" ht="12.75" customHeight="1">
      <c r="A9" s="145">
        <v>332</v>
      </c>
      <c r="B9" s="102"/>
      <c r="C9" s="103" t="s">
        <v>301</v>
      </c>
      <c r="D9" s="105"/>
      <c r="E9" s="113"/>
      <c r="F9" s="105"/>
      <c r="G9" s="348">
        <v>0</v>
      </c>
    </row>
    <row r="10" spans="1:50" s="62" customFormat="1" ht="12.75" customHeight="1">
      <c r="A10" s="145">
        <v>339</v>
      </c>
      <c r="B10" s="102"/>
      <c r="C10" s="103" t="s">
        <v>302</v>
      </c>
      <c r="D10" s="105"/>
      <c r="E10" s="113"/>
      <c r="F10" s="105"/>
      <c r="G10" s="348">
        <v>0</v>
      </c>
    </row>
    <row r="11" spans="1:50" s="203" customFormat="1" ht="28.25" customHeight="1">
      <c r="A11" s="114">
        <v>350</v>
      </c>
      <c r="B11" s="216"/>
      <c r="C11" s="116" t="s">
        <v>303</v>
      </c>
      <c r="D11" s="117"/>
      <c r="E11" s="249"/>
      <c r="F11" s="117"/>
      <c r="G11" s="363">
        <v>23256.68</v>
      </c>
    </row>
    <row r="12" spans="1:50" s="63" customFormat="1" ht="28">
      <c r="A12" s="114">
        <v>351</v>
      </c>
      <c r="B12" s="115"/>
      <c r="C12" s="116" t="s">
        <v>304</v>
      </c>
      <c r="D12" s="119"/>
      <c r="E12" s="296"/>
      <c r="F12" s="119"/>
      <c r="G12" s="349">
        <v>0</v>
      </c>
    </row>
    <row r="13" spans="1:50" s="62" customFormat="1" ht="12.75" customHeight="1">
      <c r="A13" s="145">
        <v>36</v>
      </c>
      <c r="B13" s="102"/>
      <c r="C13" s="103" t="s">
        <v>43</v>
      </c>
      <c r="D13" s="150"/>
      <c r="E13" s="113"/>
      <c r="F13" s="150"/>
      <c r="G13" s="348">
        <v>1760153.48</v>
      </c>
    </row>
    <row r="14" spans="1:50" s="62" customFormat="1" ht="12.75" customHeight="1">
      <c r="A14" s="121" t="s">
        <v>177</v>
      </c>
      <c r="B14" s="102"/>
      <c r="C14" s="122" t="s">
        <v>179</v>
      </c>
      <c r="D14" s="150"/>
      <c r="E14" s="113"/>
      <c r="F14" s="150"/>
      <c r="G14" s="348">
        <v>488459.3</v>
      </c>
    </row>
    <row r="15" spans="1:50" s="62" customFormat="1" ht="12.75" customHeight="1">
      <c r="A15" s="121" t="s">
        <v>178</v>
      </c>
      <c r="B15" s="102"/>
      <c r="C15" s="122" t="s">
        <v>180</v>
      </c>
      <c r="D15" s="150"/>
      <c r="E15" s="113"/>
      <c r="F15" s="150"/>
      <c r="G15" s="348">
        <v>35281.61</v>
      </c>
    </row>
    <row r="16" spans="1:50" s="64" customFormat="1" ht="26.25" customHeight="1">
      <c r="A16" s="121" t="s">
        <v>147</v>
      </c>
      <c r="B16" s="123"/>
      <c r="C16" s="122" t="s">
        <v>149</v>
      </c>
      <c r="D16" s="125"/>
      <c r="E16" s="127"/>
      <c r="F16" s="125"/>
      <c r="G16" s="350">
        <v>76500</v>
      </c>
    </row>
    <row r="17" spans="1:7" s="65" customFormat="1">
      <c r="A17" s="145">
        <v>37</v>
      </c>
      <c r="B17" s="102"/>
      <c r="C17" s="103" t="s">
        <v>44</v>
      </c>
      <c r="D17" s="128"/>
      <c r="E17" s="157"/>
      <c r="F17" s="128"/>
      <c r="G17" s="351">
        <v>74797.3</v>
      </c>
    </row>
    <row r="18" spans="1:7" s="65" customFormat="1">
      <c r="A18" s="112" t="s">
        <v>200</v>
      </c>
      <c r="B18" s="108"/>
      <c r="C18" s="109" t="s">
        <v>201</v>
      </c>
      <c r="D18" s="129"/>
      <c r="E18" s="157"/>
      <c r="F18" s="129"/>
      <c r="G18" s="351">
        <v>25000</v>
      </c>
    </row>
    <row r="19" spans="1:7" s="65" customFormat="1">
      <c r="A19" s="112" t="s">
        <v>216</v>
      </c>
      <c r="B19" s="108"/>
      <c r="C19" s="109" t="s">
        <v>202</v>
      </c>
      <c r="D19" s="129"/>
      <c r="E19" s="157"/>
      <c r="F19" s="129"/>
      <c r="G19" s="351">
        <v>42300</v>
      </c>
    </row>
    <row r="20" spans="1:7" s="62" customFormat="1" ht="12.75" customHeight="1">
      <c r="A20" s="222">
        <v>39</v>
      </c>
      <c r="B20" s="132"/>
      <c r="C20" s="133" t="s">
        <v>45</v>
      </c>
      <c r="D20" s="135"/>
      <c r="E20" s="159"/>
      <c r="F20" s="135"/>
      <c r="G20" s="352">
        <v>196057.9</v>
      </c>
    </row>
    <row r="21" spans="1:7" ht="12.75" customHeight="1">
      <c r="A21" s="223"/>
      <c r="B21" s="7"/>
      <c r="C21" s="8" t="s">
        <v>478</v>
      </c>
      <c r="D21" s="15">
        <f t="shared" ref="D21:E21" si="0">D4+D5+SUM(D8:D13)+D17</f>
        <v>0</v>
      </c>
      <c r="E21" s="15">
        <f t="shared" si="0"/>
        <v>0</v>
      </c>
      <c r="F21" s="15">
        <f t="shared" ref="F21:G21" si="1">F4+F5+SUM(F8:F13)+F17</f>
        <v>0</v>
      </c>
      <c r="G21" s="15">
        <f t="shared" si="1"/>
        <v>3226766.5</v>
      </c>
    </row>
    <row r="22" spans="1:7" s="203" customFormat="1" ht="12.75" customHeight="1">
      <c r="A22" s="114" t="s">
        <v>416</v>
      </c>
      <c r="B22" s="216"/>
      <c r="C22" s="116" t="s">
        <v>305</v>
      </c>
      <c r="D22" s="117"/>
      <c r="E22" s="218"/>
      <c r="F22" s="117"/>
      <c r="G22" s="363">
        <v>1346600</v>
      </c>
    </row>
    <row r="23" spans="1:7" s="203" customFormat="1" ht="14">
      <c r="A23" s="114" t="s">
        <v>417</v>
      </c>
      <c r="B23" s="216"/>
      <c r="C23" s="116" t="s">
        <v>306</v>
      </c>
      <c r="D23" s="117"/>
      <c r="E23" s="218"/>
      <c r="F23" s="117"/>
      <c r="G23" s="363">
        <v>425406</v>
      </c>
    </row>
    <row r="24" spans="1:7" s="67" customFormat="1" ht="12.75" customHeight="1">
      <c r="A24" s="145">
        <v>41</v>
      </c>
      <c r="B24" s="102"/>
      <c r="C24" s="103" t="s">
        <v>46</v>
      </c>
      <c r="D24" s="105"/>
      <c r="E24" s="141"/>
      <c r="F24" s="105"/>
      <c r="G24" s="348">
        <v>103752.25</v>
      </c>
    </row>
    <row r="25" spans="1:7" s="62" customFormat="1" ht="12.75" customHeight="1">
      <c r="A25" s="224">
        <v>42</v>
      </c>
      <c r="B25" s="162"/>
      <c r="C25" s="103" t="s">
        <v>47</v>
      </c>
      <c r="D25" s="105"/>
      <c r="E25" s="141"/>
      <c r="F25" s="105"/>
      <c r="G25" s="348">
        <v>237774.26</v>
      </c>
    </row>
    <row r="26" spans="1:7" s="68" customFormat="1" ht="12.75" customHeight="1">
      <c r="A26" s="114">
        <v>430</v>
      </c>
      <c r="B26" s="102"/>
      <c r="C26" s="103" t="s">
        <v>491</v>
      </c>
      <c r="D26" s="128"/>
      <c r="E26" s="144"/>
      <c r="F26" s="128"/>
      <c r="G26" s="351">
        <v>17610.37</v>
      </c>
    </row>
    <row r="27" spans="1:7" s="68" customFormat="1" ht="12.75" customHeight="1">
      <c r="A27" s="114">
        <v>431</v>
      </c>
      <c r="B27" s="102"/>
      <c r="C27" s="103" t="s">
        <v>419</v>
      </c>
      <c r="D27" s="128"/>
      <c r="E27" s="144"/>
      <c r="F27" s="128"/>
      <c r="G27" s="351">
        <v>373.46</v>
      </c>
    </row>
    <row r="28" spans="1:7" s="68" customFormat="1" ht="12.75" customHeight="1">
      <c r="A28" s="114">
        <v>432</v>
      </c>
      <c r="B28" s="102"/>
      <c r="C28" s="103" t="s">
        <v>420</v>
      </c>
      <c r="D28" s="128"/>
      <c r="E28" s="144"/>
      <c r="F28" s="128"/>
      <c r="G28" s="351">
        <v>0</v>
      </c>
    </row>
    <row r="29" spans="1:7" s="68" customFormat="1" ht="12.75" customHeight="1">
      <c r="A29" s="114">
        <v>439</v>
      </c>
      <c r="B29" s="102"/>
      <c r="C29" s="103" t="s">
        <v>421</v>
      </c>
      <c r="D29" s="128"/>
      <c r="E29" s="144"/>
      <c r="F29" s="128"/>
      <c r="G29" s="351">
        <v>7706</v>
      </c>
    </row>
    <row r="30" spans="1:7" s="62" customFormat="1" ht="28">
      <c r="A30" s="114">
        <v>450</v>
      </c>
      <c r="B30" s="115"/>
      <c r="C30" s="116" t="s">
        <v>307</v>
      </c>
      <c r="D30" s="104"/>
      <c r="E30" s="106"/>
      <c r="F30" s="104"/>
      <c r="G30" s="346">
        <v>6042.94</v>
      </c>
    </row>
    <row r="31" spans="1:7" s="63" customFormat="1" ht="28">
      <c r="A31" s="114">
        <v>451</v>
      </c>
      <c r="B31" s="115"/>
      <c r="C31" s="116" t="s">
        <v>48</v>
      </c>
      <c r="D31" s="117"/>
      <c r="E31" s="141"/>
      <c r="F31" s="117"/>
      <c r="G31" s="348">
        <v>0</v>
      </c>
    </row>
    <row r="32" spans="1:7" s="69" customFormat="1" ht="12.75" customHeight="1">
      <c r="A32" s="145">
        <v>46</v>
      </c>
      <c r="B32" s="102"/>
      <c r="C32" s="103" t="s">
        <v>49</v>
      </c>
      <c r="D32" s="163"/>
      <c r="E32" s="141"/>
      <c r="F32" s="163"/>
      <c r="G32" s="348">
        <v>837294.57</v>
      </c>
    </row>
    <row r="33" spans="1:7" s="64" customFormat="1" ht="14">
      <c r="A33" s="121" t="s">
        <v>51</v>
      </c>
      <c r="B33" s="215"/>
      <c r="C33" s="122" t="s">
        <v>50</v>
      </c>
      <c r="D33" s="124"/>
      <c r="E33" s="217"/>
      <c r="F33" s="124"/>
      <c r="G33" s="364">
        <v>0</v>
      </c>
    </row>
    <row r="34" spans="1:7" s="62" customFormat="1" ht="15" customHeight="1">
      <c r="A34" s="145">
        <v>47</v>
      </c>
      <c r="B34" s="102"/>
      <c r="C34" s="103" t="s">
        <v>44</v>
      </c>
      <c r="D34" s="105"/>
      <c r="E34" s="141"/>
      <c r="F34" s="105"/>
      <c r="G34" s="348">
        <v>74797.3</v>
      </c>
    </row>
    <row r="35" spans="1:7" s="62" customFormat="1" ht="15" customHeight="1">
      <c r="A35" s="222">
        <v>49</v>
      </c>
      <c r="B35" s="132"/>
      <c r="C35" s="133" t="s">
        <v>45</v>
      </c>
      <c r="D35" s="135"/>
      <c r="E35" s="147"/>
      <c r="F35" s="135"/>
      <c r="G35" s="352">
        <v>196057.9</v>
      </c>
    </row>
    <row r="36" spans="1:7" s="4" customFormat="1" ht="13.5" customHeight="1">
      <c r="A36" s="223"/>
      <c r="B36" s="10"/>
      <c r="C36" s="8" t="s">
        <v>477</v>
      </c>
      <c r="D36" s="15">
        <f>D22+D23+D24+D25+D26+D27+D28+D29+D30+D31+D32+D34</f>
        <v>0</v>
      </c>
      <c r="E36" s="15">
        <f>E22+E23+E24+E25+E26+E27+E28+E29+E30+E31+E32+E34</f>
        <v>0</v>
      </c>
      <c r="F36" s="15">
        <f>F22+F23+F24+F25+F26+F27+F28+F29+F30+F31+F32+F34</f>
        <v>0</v>
      </c>
      <c r="G36" s="15">
        <f>G22+G23+G24+G25+G26+G27+G28+G29+G30+G31+G32+G34</f>
        <v>3057357.1499999994</v>
      </c>
    </row>
    <row r="37" spans="1:7" s="5" customFormat="1" ht="15" customHeight="1">
      <c r="A37" s="223"/>
      <c r="B37" s="10"/>
      <c r="C37" s="8" t="s">
        <v>52</v>
      </c>
      <c r="D37" s="16">
        <f t="shared" ref="D37:E37" si="2">D36-D21</f>
        <v>0</v>
      </c>
      <c r="E37" s="16">
        <f t="shared" si="2"/>
        <v>0</v>
      </c>
      <c r="F37" s="16">
        <f t="shared" ref="F37:G37" si="3">F36-F21</f>
        <v>0</v>
      </c>
      <c r="G37" s="16">
        <f t="shared" si="3"/>
        <v>-169409.35000000056</v>
      </c>
    </row>
    <row r="38" spans="1:7" s="63" customFormat="1" ht="15" customHeight="1">
      <c r="A38" s="145">
        <v>340</v>
      </c>
      <c r="B38" s="102"/>
      <c r="C38" s="103" t="s">
        <v>101</v>
      </c>
      <c r="D38" s="105"/>
      <c r="E38" s="141"/>
      <c r="F38" s="105"/>
      <c r="G38" s="348">
        <v>39511</v>
      </c>
    </row>
    <row r="39" spans="1:7" s="63" customFormat="1" ht="15" customHeight="1">
      <c r="A39" s="145">
        <v>341</v>
      </c>
      <c r="B39" s="102"/>
      <c r="C39" s="103" t="s">
        <v>308</v>
      </c>
      <c r="D39" s="105"/>
      <c r="E39" s="141"/>
      <c r="F39" s="105"/>
      <c r="G39" s="348">
        <v>20</v>
      </c>
    </row>
    <row r="40" spans="1:7" s="64" customFormat="1" ht="15" customHeight="1">
      <c r="A40" s="114">
        <v>342</v>
      </c>
      <c r="B40" s="216"/>
      <c r="C40" s="116" t="s">
        <v>309</v>
      </c>
      <c r="D40" s="117"/>
      <c r="E40" s="218"/>
      <c r="F40" s="117"/>
      <c r="G40" s="363">
        <v>4883.6000000000004</v>
      </c>
    </row>
    <row r="41" spans="1:7" s="63" customFormat="1" ht="15" customHeight="1">
      <c r="A41" s="145">
        <v>343</v>
      </c>
      <c r="B41" s="102"/>
      <c r="C41" s="103" t="s">
        <v>310</v>
      </c>
      <c r="D41" s="105"/>
      <c r="E41" s="141"/>
      <c r="F41" s="105"/>
      <c r="G41" s="348">
        <v>0</v>
      </c>
    </row>
    <row r="42" spans="1:7" s="64" customFormat="1" ht="15" customHeight="1">
      <c r="A42" s="114">
        <v>344</v>
      </c>
      <c r="B42" s="216"/>
      <c r="C42" s="116" t="s">
        <v>311</v>
      </c>
      <c r="D42" s="117"/>
      <c r="E42" s="218"/>
      <c r="F42" s="117"/>
      <c r="G42" s="363">
        <v>0</v>
      </c>
    </row>
    <row r="43" spans="1:7" s="63" customFormat="1" ht="15" customHeight="1">
      <c r="A43" s="145">
        <v>349</v>
      </c>
      <c r="B43" s="102"/>
      <c r="C43" s="103" t="s">
        <v>312</v>
      </c>
      <c r="D43" s="105"/>
      <c r="E43" s="141"/>
      <c r="F43" s="105"/>
      <c r="G43" s="348">
        <v>3515</v>
      </c>
    </row>
    <row r="44" spans="1:7" s="62" customFormat="1" ht="15" customHeight="1">
      <c r="A44" s="145">
        <v>440</v>
      </c>
      <c r="B44" s="102"/>
      <c r="C44" s="103" t="s">
        <v>102</v>
      </c>
      <c r="D44" s="105"/>
      <c r="E44" s="141"/>
      <c r="F44" s="105"/>
      <c r="G44" s="348">
        <v>9441.2000000000007</v>
      </c>
    </row>
    <row r="45" spans="1:7" s="203" customFormat="1" ht="15" customHeight="1">
      <c r="A45" s="114">
        <v>441</v>
      </c>
      <c r="B45" s="216"/>
      <c r="C45" s="116" t="s">
        <v>103</v>
      </c>
      <c r="D45" s="117"/>
      <c r="E45" s="139"/>
      <c r="F45" s="117"/>
      <c r="G45" s="365">
        <v>433.7</v>
      </c>
    </row>
    <row r="46" spans="1:7" s="203" customFormat="1" ht="15" customHeight="1">
      <c r="A46" s="114">
        <v>442</v>
      </c>
      <c r="B46" s="216"/>
      <c r="C46" s="116" t="s">
        <v>104</v>
      </c>
      <c r="D46" s="117"/>
      <c r="E46" s="218"/>
      <c r="F46" s="117"/>
      <c r="G46" s="363">
        <v>0</v>
      </c>
    </row>
    <row r="47" spans="1:7" s="62" customFormat="1" ht="15" customHeight="1">
      <c r="A47" s="145">
        <v>443</v>
      </c>
      <c r="B47" s="102"/>
      <c r="C47" s="103" t="s">
        <v>105</v>
      </c>
      <c r="D47" s="105"/>
      <c r="E47" s="172"/>
      <c r="F47" s="105"/>
      <c r="G47" s="366">
        <v>0</v>
      </c>
    </row>
    <row r="48" spans="1:7" s="62" customFormat="1" ht="15" customHeight="1">
      <c r="A48" s="145">
        <v>444</v>
      </c>
      <c r="B48" s="102"/>
      <c r="C48" s="103" t="s">
        <v>106</v>
      </c>
      <c r="D48" s="105"/>
      <c r="E48" s="172"/>
      <c r="F48" s="105"/>
      <c r="G48" s="366">
        <v>0</v>
      </c>
    </row>
    <row r="49" spans="1:7" s="62" customFormat="1" ht="15" customHeight="1">
      <c r="A49" s="145">
        <v>445</v>
      </c>
      <c r="B49" s="102"/>
      <c r="C49" s="103" t="s">
        <v>107</v>
      </c>
      <c r="D49" s="105"/>
      <c r="E49" s="141"/>
      <c r="F49" s="105"/>
      <c r="G49" s="348">
        <v>211</v>
      </c>
    </row>
    <row r="50" spans="1:7" s="62" customFormat="1" ht="15" customHeight="1">
      <c r="A50" s="145">
        <v>446</v>
      </c>
      <c r="B50" s="102"/>
      <c r="C50" s="103" t="s">
        <v>313</v>
      </c>
      <c r="D50" s="105"/>
      <c r="E50" s="141"/>
      <c r="F50" s="105"/>
      <c r="G50" s="348">
        <v>49859</v>
      </c>
    </row>
    <row r="51" spans="1:7" s="203" customFormat="1" ht="15" customHeight="1">
      <c r="A51" s="114">
        <v>447</v>
      </c>
      <c r="B51" s="216"/>
      <c r="C51" s="116" t="s">
        <v>314</v>
      </c>
      <c r="D51" s="117"/>
      <c r="E51" s="218"/>
      <c r="F51" s="117"/>
      <c r="G51" s="363">
        <v>7330.95</v>
      </c>
    </row>
    <row r="52" spans="1:7" s="62" customFormat="1" ht="15" customHeight="1">
      <c r="A52" s="145">
        <v>448</v>
      </c>
      <c r="B52" s="102"/>
      <c r="C52" s="103" t="s">
        <v>108</v>
      </c>
      <c r="D52" s="105"/>
      <c r="E52" s="172"/>
      <c r="F52" s="105"/>
      <c r="G52" s="366">
        <v>0</v>
      </c>
    </row>
    <row r="53" spans="1:7" s="203" customFormat="1" ht="15" customHeight="1">
      <c r="A53" s="114">
        <v>449</v>
      </c>
      <c r="B53" s="216"/>
      <c r="C53" s="116" t="s">
        <v>194</v>
      </c>
      <c r="D53" s="117"/>
      <c r="E53" s="139"/>
      <c r="F53" s="117"/>
      <c r="G53" s="365">
        <v>0</v>
      </c>
    </row>
    <row r="54" spans="1:7" s="63" customFormat="1" ht="13.5" customHeight="1">
      <c r="A54" s="166" t="s">
        <v>54</v>
      </c>
      <c r="B54" s="167"/>
      <c r="C54" s="167" t="s">
        <v>53</v>
      </c>
      <c r="D54" s="169"/>
      <c r="E54" s="173"/>
      <c r="F54" s="169"/>
      <c r="G54" s="367">
        <v>0</v>
      </c>
    </row>
    <row r="55" spans="1:7" ht="15" customHeight="1">
      <c r="A55" s="225"/>
      <c r="B55" s="10"/>
      <c r="C55" s="8" t="s">
        <v>55</v>
      </c>
      <c r="D55" s="15">
        <f t="shared" ref="D55:E55" si="4">SUM(D44:D53)-SUM(D38:D43)</f>
        <v>0</v>
      </c>
      <c r="E55" s="15">
        <f t="shared" si="4"/>
        <v>0</v>
      </c>
      <c r="F55" s="15">
        <f t="shared" ref="F55:G55" si="5">SUM(F44:F53)-SUM(F38:F43)</f>
        <v>0</v>
      </c>
      <c r="G55" s="15">
        <f t="shared" si="5"/>
        <v>19346.250000000007</v>
      </c>
    </row>
    <row r="56" spans="1:7" ht="14.25" customHeight="1">
      <c r="A56" s="225"/>
      <c r="B56" s="10"/>
      <c r="C56" s="8" t="s">
        <v>56</v>
      </c>
      <c r="D56" s="15">
        <f t="shared" ref="D56:E56" si="6">D55+D37</f>
        <v>0</v>
      </c>
      <c r="E56" s="15">
        <f t="shared" si="6"/>
        <v>0</v>
      </c>
      <c r="F56" s="15">
        <f t="shared" ref="F56:G56" si="7">F55+F37</f>
        <v>0</v>
      </c>
      <c r="G56" s="15">
        <f t="shared" si="7"/>
        <v>-150063.10000000056</v>
      </c>
    </row>
    <row r="57" spans="1:7" s="62" customFormat="1" ht="15.75" customHeight="1">
      <c r="A57" s="293">
        <v>380</v>
      </c>
      <c r="B57" s="286"/>
      <c r="C57" s="287" t="s">
        <v>486</v>
      </c>
      <c r="D57" s="288"/>
      <c r="E57" s="291"/>
      <c r="F57" s="288"/>
      <c r="G57" s="368">
        <v>0</v>
      </c>
    </row>
    <row r="58" spans="1:7" s="62" customFormat="1" ht="15.75" customHeight="1">
      <c r="A58" s="293">
        <v>381</v>
      </c>
      <c r="B58" s="286"/>
      <c r="C58" s="287" t="s">
        <v>487</v>
      </c>
      <c r="D58" s="288"/>
      <c r="E58" s="291"/>
      <c r="F58" s="288"/>
      <c r="G58" s="368">
        <v>0</v>
      </c>
    </row>
    <row r="59" spans="1:7" s="63" customFormat="1" ht="27.5" customHeight="1">
      <c r="A59" s="114">
        <v>383</v>
      </c>
      <c r="B59" s="115"/>
      <c r="C59" s="116" t="s">
        <v>59</v>
      </c>
      <c r="D59" s="270"/>
      <c r="E59" s="165"/>
      <c r="F59" s="270"/>
      <c r="G59" s="355">
        <v>0</v>
      </c>
    </row>
    <row r="60" spans="1:7" s="63" customFormat="1" ht="14">
      <c r="A60" s="114">
        <v>3840</v>
      </c>
      <c r="B60" s="115"/>
      <c r="C60" s="116" t="s">
        <v>315</v>
      </c>
      <c r="D60" s="118"/>
      <c r="E60" s="149"/>
      <c r="F60" s="118"/>
      <c r="G60" s="349">
        <v>0</v>
      </c>
    </row>
    <row r="61" spans="1:7" s="63" customFormat="1" ht="26.5" customHeight="1">
      <c r="A61" s="114">
        <v>3841</v>
      </c>
      <c r="B61" s="115"/>
      <c r="C61" s="116" t="s">
        <v>316</v>
      </c>
      <c r="D61" s="118"/>
      <c r="E61" s="149"/>
      <c r="F61" s="118"/>
      <c r="G61" s="349">
        <v>0</v>
      </c>
    </row>
    <row r="62" spans="1:7" s="63" customFormat="1" ht="14">
      <c r="A62" s="177">
        <v>386</v>
      </c>
      <c r="B62" s="178"/>
      <c r="C62" s="179" t="s">
        <v>317</v>
      </c>
      <c r="D62" s="118"/>
      <c r="E62" s="149"/>
      <c r="F62" s="118"/>
      <c r="G62" s="349">
        <v>0</v>
      </c>
    </row>
    <row r="63" spans="1:7" s="63" customFormat="1" ht="27.5" customHeight="1">
      <c r="A63" s="114">
        <v>387</v>
      </c>
      <c r="B63" s="115"/>
      <c r="C63" s="116" t="s">
        <v>60</v>
      </c>
      <c r="D63" s="118"/>
      <c r="E63" s="149"/>
      <c r="F63" s="118"/>
      <c r="G63" s="349">
        <v>0</v>
      </c>
    </row>
    <row r="64" spans="1:7" s="63" customFormat="1">
      <c r="A64" s="145">
        <v>389</v>
      </c>
      <c r="B64" s="294"/>
      <c r="C64" s="103" t="s">
        <v>61</v>
      </c>
      <c r="D64" s="105"/>
      <c r="E64" s="141"/>
      <c r="F64" s="105"/>
      <c r="G64" s="348">
        <v>0</v>
      </c>
    </row>
    <row r="65" spans="1:7" s="203" customFormat="1" ht="14">
      <c r="A65" s="114" t="s">
        <v>471</v>
      </c>
      <c r="B65" s="216"/>
      <c r="C65" s="116" t="s">
        <v>318</v>
      </c>
      <c r="D65" s="117"/>
      <c r="E65" s="218"/>
      <c r="F65" s="117"/>
      <c r="G65" s="363">
        <v>0</v>
      </c>
    </row>
    <row r="66" spans="1:7" s="95" customFormat="1" ht="28">
      <c r="A66" s="114" t="s">
        <v>472</v>
      </c>
      <c r="B66" s="111"/>
      <c r="C66" s="116" t="s">
        <v>319</v>
      </c>
      <c r="D66" s="270"/>
      <c r="E66" s="165"/>
      <c r="F66" s="270"/>
      <c r="G66" s="355">
        <v>0</v>
      </c>
    </row>
    <row r="67" spans="1:7" s="62" customFormat="1">
      <c r="A67" s="114">
        <v>481</v>
      </c>
      <c r="B67" s="102"/>
      <c r="C67" s="103" t="s">
        <v>320</v>
      </c>
      <c r="D67" s="105"/>
      <c r="E67" s="141"/>
      <c r="F67" s="105"/>
      <c r="G67" s="348">
        <v>0</v>
      </c>
    </row>
    <row r="68" spans="1:7" s="62" customFormat="1">
      <c r="A68" s="114">
        <v>482</v>
      </c>
      <c r="B68" s="102"/>
      <c r="C68" s="103" t="s">
        <v>321</v>
      </c>
      <c r="D68" s="105"/>
      <c r="E68" s="141"/>
      <c r="F68" s="105"/>
      <c r="G68" s="348">
        <v>0</v>
      </c>
    </row>
    <row r="69" spans="1:7" s="62" customFormat="1">
      <c r="A69" s="114">
        <v>483</v>
      </c>
      <c r="B69" s="102"/>
      <c r="C69" s="103" t="s">
        <v>322</v>
      </c>
      <c r="D69" s="105"/>
      <c r="E69" s="141"/>
      <c r="F69" s="105"/>
      <c r="G69" s="348">
        <v>0</v>
      </c>
    </row>
    <row r="70" spans="1:7" s="62" customFormat="1">
      <c r="A70" s="114">
        <v>484</v>
      </c>
      <c r="B70" s="102"/>
      <c r="C70" s="103" t="s">
        <v>323</v>
      </c>
      <c r="D70" s="105"/>
      <c r="E70" s="141"/>
      <c r="F70" s="105"/>
      <c r="G70" s="348">
        <v>0</v>
      </c>
    </row>
    <row r="71" spans="1:7" s="203" customFormat="1" ht="28">
      <c r="A71" s="114">
        <v>485</v>
      </c>
      <c r="B71" s="216"/>
      <c r="C71" s="116" t="s">
        <v>324</v>
      </c>
      <c r="D71" s="117"/>
      <c r="E71" s="218"/>
      <c r="F71" s="117"/>
      <c r="G71" s="363">
        <v>0</v>
      </c>
    </row>
    <row r="72" spans="1:7" s="62" customFormat="1">
      <c r="A72" s="114">
        <v>486</v>
      </c>
      <c r="B72" s="102"/>
      <c r="C72" s="103" t="s">
        <v>325</v>
      </c>
      <c r="D72" s="105"/>
      <c r="E72" s="141"/>
      <c r="F72" s="105"/>
      <c r="G72" s="348">
        <v>0</v>
      </c>
    </row>
    <row r="73" spans="1:7" s="64" customFormat="1" ht="28">
      <c r="A73" s="114">
        <v>487</v>
      </c>
      <c r="B73" s="215"/>
      <c r="C73" s="116" t="s">
        <v>62</v>
      </c>
      <c r="D73" s="117"/>
      <c r="E73" s="218"/>
      <c r="F73" s="117"/>
      <c r="G73" s="363">
        <v>0</v>
      </c>
    </row>
    <row r="74" spans="1:7" s="63" customFormat="1" ht="15" customHeight="1">
      <c r="A74" s="114">
        <v>489</v>
      </c>
      <c r="B74" s="182"/>
      <c r="C74" s="133" t="s">
        <v>63</v>
      </c>
      <c r="D74" s="117"/>
      <c r="E74" s="218"/>
      <c r="F74" s="117"/>
      <c r="G74" s="363">
        <v>2033.9</v>
      </c>
    </row>
    <row r="75" spans="1:7" s="63" customFormat="1">
      <c r="A75" s="181" t="s">
        <v>383</v>
      </c>
      <c r="B75" s="182"/>
      <c r="C75" s="167" t="s">
        <v>384</v>
      </c>
      <c r="D75" s="105"/>
      <c r="E75" s="141"/>
      <c r="F75" s="105"/>
      <c r="G75" s="348">
        <v>0</v>
      </c>
    </row>
    <row r="76" spans="1:7">
      <c r="A76" s="223"/>
      <c r="B76" s="7"/>
      <c r="C76" s="8" t="s">
        <v>65</v>
      </c>
      <c r="D76" s="15">
        <f t="shared" ref="D76:E76" si="8">SUM(D65:D74)-SUM(D57:D64)</f>
        <v>0</v>
      </c>
      <c r="E76" s="15">
        <f t="shared" si="8"/>
        <v>0</v>
      </c>
      <c r="F76" s="15">
        <f t="shared" ref="F76:G76" si="9">SUM(F65:F74)-SUM(F57:F64)</f>
        <v>0</v>
      </c>
      <c r="G76" s="15">
        <f t="shared" si="9"/>
        <v>2033.9</v>
      </c>
    </row>
    <row r="77" spans="1:7">
      <c r="A77" s="226"/>
      <c r="B77" s="9"/>
      <c r="C77" s="8" t="s">
        <v>66</v>
      </c>
      <c r="D77" s="15">
        <f t="shared" ref="D77:E77" si="10">D56+D76</f>
        <v>0</v>
      </c>
      <c r="E77" s="15">
        <f t="shared" si="10"/>
        <v>0</v>
      </c>
      <c r="F77" s="15">
        <f t="shared" ref="F77:G77" si="11">F56+F76</f>
        <v>0</v>
      </c>
      <c r="G77" s="15">
        <f t="shared" si="11"/>
        <v>-148029.20000000056</v>
      </c>
    </row>
    <row r="78" spans="1:7">
      <c r="A78" s="227">
        <v>3</v>
      </c>
      <c r="B78" s="35"/>
      <c r="C78" s="36" t="s">
        <v>479</v>
      </c>
      <c r="D78" s="37">
        <f t="shared" ref="D78:E78" si="12">D20+D21+SUM(D38:D43)+SUM(D57:D64)</f>
        <v>0</v>
      </c>
      <c r="E78" s="37">
        <f t="shared" si="12"/>
        <v>0</v>
      </c>
      <c r="F78" s="37">
        <f t="shared" ref="F78:G78" si="13">F20+F21+SUM(F38:F43)+SUM(F57:F64)</f>
        <v>0</v>
      </c>
      <c r="G78" s="37">
        <f t="shared" si="13"/>
        <v>3470754</v>
      </c>
    </row>
    <row r="79" spans="1:7">
      <c r="A79" s="227">
        <v>4</v>
      </c>
      <c r="B79" s="35"/>
      <c r="C79" s="36" t="s">
        <v>480</v>
      </c>
      <c r="D79" s="37">
        <f t="shared" ref="D79:E79" si="14">D35+D36+SUM(D44:D53)+SUM(D65:D74)</f>
        <v>0</v>
      </c>
      <c r="E79" s="37">
        <f t="shared" si="14"/>
        <v>0</v>
      </c>
      <c r="F79" s="37">
        <f t="shared" ref="F79:G79" si="15">F35+F36+SUM(F44:F53)+SUM(F65:F74)</f>
        <v>0</v>
      </c>
      <c r="G79" s="37">
        <f t="shared" si="15"/>
        <v>3322724.7999999993</v>
      </c>
    </row>
    <row r="80" spans="1:7">
      <c r="C80" s="11"/>
      <c r="D80" s="17"/>
      <c r="E80" s="86"/>
      <c r="F80" s="17"/>
      <c r="G80" s="86"/>
    </row>
    <row r="81" spans="1:7">
      <c r="A81" s="801" t="s">
        <v>67</v>
      </c>
      <c r="B81" s="799"/>
      <c r="C81" s="799"/>
      <c r="D81" s="88"/>
      <c r="E81" s="88"/>
      <c r="F81" s="88"/>
      <c r="G81" s="88"/>
    </row>
    <row r="82" spans="1:7" s="62" customFormat="1">
      <c r="A82" s="186">
        <v>50</v>
      </c>
      <c r="B82" s="187"/>
      <c r="C82" s="187" t="s">
        <v>326</v>
      </c>
      <c r="D82" s="105"/>
      <c r="E82" s="141"/>
      <c r="F82" s="105"/>
      <c r="G82" s="348">
        <v>179555</v>
      </c>
    </row>
    <row r="83" spans="1:7" s="62" customFormat="1">
      <c r="A83" s="186">
        <v>51</v>
      </c>
      <c r="B83" s="187"/>
      <c r="C83" s="187" t="s">
        <v>327</v>
      </c>
      <c r="D83" s="105"/>
      <c r="E83" s="141"/>
      <c r="F83" s="105"/>
      <c r="G83" s="348">
        <v>1000</v>
      </c>
    </row>
    <row r="84" spans="1:7" s="62" customFormat="1">
      <c r="A84" s="186">
        <v>52</v>
      </c>
      <c r="B84" s="187"/>
      <c r="C84" s="187" t="s">
        <v>328</v>
      </c>
      <c r="D84" s="105"/>
      <c r="E84" s="141"/>
      <c r="F84" s="105"/>
      <c r="G84" s="348">
        <v>0</v>
      </c>
    </row>
    <row r="85" spans="1:7" s="62" customFormat="1">
      <c r="A85" s="188">
        <v>54</v>
      </c>
      <c r="B85" s="189"/>
      <c r="C85" s="189" t="s">
        <v>142</v>
      </c>
      <c r="D85" s="150"/>
      <c r="E85" s="141"/>
      <c r="F85" s="150"/>
      <c r="G85" s="348">
        <v>9088</v>
      </c>
    </row>
    <row r="86" spans="1:7" s="62" customFormat="1">
      <c r="A86" s="188">
        <v>55</v>
      </c>
      <c r="B86" s="189"/>
      <c r="C86" s="189" t="s">
        <v>182</v>
      </c>
      <c r="D86" s="150"/>
      <c r="E86" s="141"/>
      <c r="F86" s="150"/>
      <c r="G86" s="348">
        <v>0</v>
      </c>
    </row>
    <row r="87" spans="1:7" s="62" customFormat="1">
      <c r="A87" s="188">
        <v>56</v>
      </c>
      <c r="B87" s="189"/>
      <c r="C87" s="189" t="s">
        <v>329</v>
      </c>
      <c r="D87" s="150"/>
      <c r="E87" s="141"/>
      <c r="F87" s="150"/>
      <c r="G87" s="348">
        <v>99148.3</v>
      </c>
    </row>
    <row r="88" spans="1:7" s="62" customFormat="1">
      <c r="A88" s="186">
        <v>57</v>
      </c>
      <c r="B88" s="187"/>
      <c r="C88" s="187" t="s">
        <v>152</v>
      </c>
      <c r="D88" s="105"/>
      <c r="E88" s="141"/>
      <c r="F88" s="105"/>
      <c r="G88" s="348">
        <v>51711.4</v>
      </c>
    </row>
    <row r="89" spans="1:7" s="203" customFormat="1" ht="28">
      <c r="A89" s="192">
        <v>580</v>
      </c>
      <c r="B89" s="193"/>
      <c r="C89" s="193" t="s">
        <v>330</v>
      </c>
      <c r="D89" s="117"/>
      <c r="E89" s="218"/>
      <c r="F89" s="117"/>
      <c r="G89" s="363">
        <v>0</v>
      </c>
    </row>
    <row r="90" spans="1:7" s="203" customFormat="1" ht="28">
      <c r="A90" s="192">
        <v>582</v>
      </c>
      <c r="B90" s="193"/>
      <c r="C90" s="193" t="s">
        <v>331</v>
      </c>
      <c r="D90" s="117"/>
      <c r="E90" s="218"/>
      <c r="F90" s="117"/>
      <c r="G90" s="363">
        <v>0</v>
      </c>
    </row>
    <row r="91" spans="1:7" s="62" customFormat="1">
      <c r="A91" s="186">
        <v>584</v>
      </c>
      <c r="B91" s="187"/>
      <c r="C91" s="187" t="s">
        <v>332</v>
      </c>
      <c r="D91" s="105"/>
      <c r="E91" s="141"/>
      <c r="F91" s="105"/>
      <c r="G91" s="348">
        <v>0</v>
      </c>
    </row>
    <row r="92" spans="1:7" s="203" customFormat="1" ht="28">
      <c r="A92" s="192">
        <v>585</v>
      </c>
      <c r="B92" s="193"/>
      <c r="C92" s="193" t="s">
        <v>333</v>
      </c>
      <c r="D92" s="117"/>
      <c r="E92" s="218"/>
      <c r="F92" s="117"/>
      <c r="G92" s="363">
        <v>0</v>
      </c>
    </row>
    <row r="93" spans="1:7" s="62" customFormat="1">
      <c r="A93" s="186">
        <v>586</v>
      </c>
      <c r="B93" s="187"/>
      <c r="C93" s="187" t="s">
        <v>334</v>
      </c>
      <c r="D93" s="105"/>
      <c r="E93" s="141"/>
      <c r="F93" s="105"/>
      <c r="G93" s="348">
        <v>0</v>
      </c>
    </row>
    <row r="94" spans="1:7" s="62" customFormat="1">
      <c r="A94" s="190">
        <v>589</v>
      </c>
      <c r="B94" s="191"/>
      <c r="C94" s="191" t="s">
        <v>335</v>
      </c>
      <c r="D94" s="135"/>
      <c r="E94" s="147"/>
      <c r="F94" s="135"/>
      <c r="G94" s="352">
        <v>0</v>
      </c>
    </row>
    <row r="95" spans="1:7">
      <c r="A95" s="41">
        <v>5</v>
      </c>
      <c r="B95" s="32"/>
      <c r="C95" s="32" t="s">
        <v>135</v>
      </c>
      <c r="D95" s="33">
        <f t="shared" ref="D95:E95" si="16">SUM(D82:D94)</f>
        <v>0</v>
      </c>
      <c r="E95" s="33">
        <f t="shared" si="16"/>
        <v>0</v>
      </c>
      <c r="F95" s="33">
        <f t="shared" ref="F95:G95" si="17">SUM(F82:F94)</f>
        <v>0</v>
      </c>
      <c r="G95" s="33">
        <f t="shared" si="17"/>
        <v>340502.7</v>
      </c>
    </row>
    <row r="96" spans="1:7" s="203" customFormat="1" ht="14">
      <c r="A96" s="192">
        <v>60</v>
      </c>
      <c r="B96" s="193"/>
      <c r="C96" s="193" t="s">
        <v>336</v>
      </c>
      <c r="D96" s="117"/>
      <c r="E96" s="218"/>
      <c r="F96" s="117"/>
      <c r="G96" s="363">
        <v>500</v>
      </c>
    </row>
    <row r="97" spans="1:7" s="203" customFormat="1" ht="14">
      <c r="A97" s="192">
        <v>61</v>
      </c>
      <c r="B97" s="193"/>
      <c r="C97" s="193" t="s">
        <v>337</v>
      </c>
      <c r="D97" s="117"/>
      <c r="E97" s="218"/>
      <c r="F97" s="117"/>
      <c r="G97" s="363">
        <v>1000</v>
      </c>
    </row>
    <row r="98" spans="1:7" s="62" customFormat="1">
      <c r="A98" s="186">
        <v>62</v>
      </c>
      <c r="B98" s="187"/>
      <c r="C98" s="187" t="s">
        <v>338</v>
      </c>
      <c r="D98" s="105"/>
      <c r="E98" s="141"/>
      <c r="F98" s="105"/>
      <c r="G98" s="348">
        <v>0</v>
      </c>
    </row>
    <row r="99" spans="1:7" s="62" customFormat="1">
      <c r="A99" s="186">
        <v>63</v>
      </c>
      <c r="B99" s="187"/>
      <c r="C99" s="187" t="s">
        <v>339</v>
      </c>
      <c r="D99" s="105"/>
      <c r="E99" s="141"/>
      <c r="F99" s="105"/>
      <c r="G99" s="348">
        <v>53311</v>
      </c>
    </row>
    <row r="100" spans="1:7" s="62" customFormat="1">
      <c r="A100" s="186">
        <v>64</v>
      </c>
      <c r="B100" s="187"/>
      <c r="C100" s="187" t="s">
        <v>183</v>
      </c>
      <c r="D100" s="105"/>
      <c r="E100" s="141"/>
      <c r="F100" s="105"/>
      <c r="G100" s="348">
        <v>9924</v>
      </c>
    </row>
    <row r="101" spans="1:7" s="62" customFormat="1">
      <c r="A101" s="186">
        <v>65</v>
      </c>
      <c r="B101" s="187"/>
      <c r="C101" s="187" t="s">
        <v>184</v>
      </c>
      <c r="D101" s="105"/>
      <c r="E101" s="141"/>
      <c r="F101" s="105"/>
      <c r="G101" s="348">
        <v>0</v>
      </c>
    </row>
    <row r="102" spans="1:7" s="203" customFormat="1" ht="14">
      <c r="A102" s="192">
        <v>66</v>
      </c>
      <c r="B102" s="193"/>
      <c r="C102" s="193" t="s">
        <v>340</v>
      </c>
      <c r="D102" s="117"/>
      <c r="E102" s="218"/>
      <c r="F102" s="117"/>
      <c r="G102" s="363">
        <v>18520</v>
      </c>
    </row>
    <row r="103" spans="1:7" s="62" customFormat="1">
      <c r="A103" s="186">
        <v>67</v>
      </c>
      <c r="B103" s="187"/>
      <c r="C103" s="187" t="s">
        <v>152</v>
      </c>
      <c r="D103" s="105"/>
      <c r="E103" s="138"/>
      <c r="F103" s="105"/>
      <c r="G103" s="346">
        <v>51711.4</v>
      </c>
    </row>
    <row r="104" spans="1:7" s="62" customFormat="1" ht="42">
      <c r="A104" s="192" t="s">
        <v>268</v>
      </c>
      <c r="B104" s="187"/>
      <c r="C104" s="193" t="s">
        <v>341</v>
      </c>
      <c r="D104" s="105"/>
      <c r="E104" s="141"/>
      <c r="F104" s="105"/>
      <c r="G104" s="348">
        <v>0</v>
      </c>
    </row>
    <row r="105" spans="1:7" s="62" customFormat="1" ht="56.5" customHeight="1">
      <c r="A105" s="194" t="s">
        <v>363</v>
      </c>
      <c r="B105" s="191"/>
      <c r="C105" s="195" t="s">
        <v>342</v>
      </c>
      <c r="D105" s="135"/>
      <c r="E105" s="147"/>
      <c r="F105" s="135"/>
      <c r="G105" s="352">
        <v>0</v>
      </c>
    </row>
    <row r="106" spans="1:7">
      <c r="A106" s="41">
        <v>6</v>
      </c>
      <c r="B106" s="32"/>
      <c r="C106" s="32" t="s">
        <v>195</v>
      </c>
      <c r="D106" s="33">
        <f t="shared" ref="D106:E106" si="18">SUM(D96:D105)</f>
        <v>0</v>
      </c>
      <c r="E106" s="33">
        <f t="shared" si="18"/>
        <v>0</v>
      </c>
      <c r="F106" s="33">
        <f t="shared" ref="F106:G106" si="19">SUM(F96:F105)</f>
        <v>0</v>
      </c>
      <c r="G106" s="33">
        <f t="shared" si="19"/>
        <v>134966.39999999999</v>
      </c>
    </row>
    <row r="107" spans="1:7">
      <c r="A107" s="228" t="s">
        <v>387</v>
      </c>
      <c r="B107" s="31"/>
      <c r="C107" s="32" t="s">
        <v>68</v>
      </c>
      <c r="D107" s="33">
        <f t="shared" ref="D107:E107" si="20">(D95-D88)-(D106-D103)</f>
        <v>0</v>
      </c>
      <c r="E107" s="33">
        <f t="shared" si="20"/>
        <v>0</v>
      </c>
      <c r="F107" s="33">
        <f t="shared" ref="F107:G107" si="21">(F95-F88)-(F106-F103)</f>
        <v>0</v>
      </c>
      <c r="G107" s="33">
        <f t="shared" si="21"/>
        <v>205536.3</v>
      </c>
    </row>
    <row r="108" spans="1:7">
      <c r="A108" s="229" t="s">
        <v>407</v>
      </c>
      <c r="B108" s="30"/>
      <c r="C108" s="49" t="s">
        <v>144</v>
      </c>
      <c r="D108" s="33">
        <f t="shared" ref="D108:E108" si="22">D107-D85-D86+D100+D101</f>
        <v>0</v>
      </c>
      <c r="E108" s="33">
        <f t="shared" si="22"/>
        <v>0</v>
      </c>
      <c r="F108" s="33">
        <f t="shared" ref="F108:G108" si="23">F107-F85-F86+F100+F101</f>
        <v>0</v>
      </c>
      <c r="G108" s="33">
        <f t="shared" si="23"/>
        <v>206372.3</v>
      </c>
    </row>
    <row r="109" spans="1:7">
      <c r="C109" s="11"/>
      <c r="D109" s="17"/>
      <c r="E109" s="17"/>
      <c r="F109" s="17"/>
      <c r="G109" s="17"/>
    </row>
    <row r="110" spans="1:7">
      <c r="A110" s="230" t="s">
        <v>109</v>
      </c>
      <c r="B110" s="12"/>
      <c r="C110" s="21"/>
      <c r="D110" s="17"/>
      <c r="E110" s="17"/>
      <c r="F110" s="17"/>
      <c r="G110" s="17"/>
    </row>
    <row r="111" spans="1:7" s="62" customFormat="1">
      <c r="A111" s="256">
        <v>10</v>
      </c>
      <c r="B111" s="253"/>
      <c r="C111" s="253" t="s">
        <v>69</v>
      </c>
      <c r="D111" s="336">
        <f t="shared" ref="D111:E111" si="24">D112+D117</f>
        <v>0</v>
      </c>
      <c r="E111" s="337">
        <f t="shared" si="24"/>
        <v>0</v>
      </c>
      <c r="F111" s="336">
        <f t="shared" ref="F111:G111" si="25">F112+F117</f>
        <v>0</v>
      </c>
      <c r="G111" s="337">
        <f t="shared" si="25"/>
        <v>0</v>
      </c>
    </row>
    <row r="112" spans="1:7" s="62" customFormat="1">
      <c r="A112" s="254" t="s">
        <v>288</v>
      </c>
      <c r="B112" s="255"/>
      <c r="C112" s="255" t="s">
        <v>473</v>
      </c>
      <c r="D112" s="336">
        <f t="shared" ref="D112:E112" si="26">D113+D114+D115+D116</f>
        <v>0</v>
      </c>
      <c r="E112" s="337">
        <f t="shared" si="26"/>
        <v>0</v>
      </c>
      <c r="F112" s="336">
        <f t="shared" ref="F112:G112" si="27">F113+F114+F115+F116</f>
        <v>0</v>
      </c>
      <c r="G112" s="337">
        <f t="shared" si="27"/>
        <v>0</v>
      </c>
    </row>
    <row r="113" spans="1:7" s="62" customFormat="1">
      <c r="A113" s="212" t="s">
        <v>466</v>
      </c>
      <c r="B113" s="206"/>
      <c r="C113" s="206" t="s">
        <v>343</v>
      </c>
      <c r="D113" s="105"/>
      <c r="E113" s="113"/>
      <c r="F113" s="105"/>
      <c r="G113" s="113"/>
    </row>
    <row r="114" spans="1:7" s="95" customFormat="1" ht="15" customHeight="1">
      <c r="A114" s="262">
        <v>102</v>
      </c>
      <c r="B114" s="265"/>
      <c r="C114" s="265" t="s">
        <v>344</v>
      </c>
      <c r="D114" s="270"/>
      <c r="E114" s="271"/>
      <c r="F114" s="270"/>
      <c r="G114" s="271"/>
    </row>
    <row r="115" spans="1:7" s="62" customFormat="1">
      <c r="A115" s="212">
        <v>104</v>
      </c>
      <c r="B115" s="206"/>
      <c r="C115" s="206" t="s">
        <v>345</v>
      </c>
      <c r="D115" s="105"/>
      <c r="E115" s="113"/>
      <c r="F115" s="105"/>
      <c r="G115" s="113"/>
    </row>
    <row r="116" spans="1:7" s="62" customFormat="1">
      <c r="A116" s="212">
        <v>106</v>
      </c>
      <c r="B116" s="206"/>
      <c r="C116" s="206" t="s">
        <v>482</v>
      </c>
      <c r="D116" s="105"/>
      <c r="E116" s="113"/>
      <c r="F116" s="105"/>
      <c r="G116" s="113"/>
    </row>
    <row r="117" spans="1:7" s="62" customFormat="1">
      <c r="A117" s="254" t="s">
        <v>292</v>
      </c>
      <c r="B117" s="255"/>
      <c r="C117" s="255" t="s">
        <v>474</v>
      </c>
      <c r="D117" s="336">
        <f t="shared" ref="D117:E117" si="28">D118+D119+D120</f>
        <v>0</v>
      </c>
      <c r="E117" s="337">
        <f t="shared" si="28"/>
        <v>0</v>
      </c>
      <c r="F117" s="336">
        <f t="shared" ref="F117:G117" si="29">F118+F119+F120</f>
        <v>0</v>
      </c>
      <c r="G117" s="337">
        <f t="shared" si="29"/>
        <v>0</v>
      </c>
    </row>
    <row r="118" spans="1:7" s="62" customFormat="1">
      <c r="A118" s="212">
        <v>107</v>
      </c>
      <c r="B118" s="206"/>
      <c r="C118" s="206" t="s">
        <v>346</v>
      </c>
      <c r="D118" s="105"/>
      <c r="E118" s="113"/>
      <c r="F118" s="105"/>
      <c r="G118" s="113"/>
    </row>
    <row r="119" spans="1:7" s="62" customFormat="1">
      <c r="A119" s="212">
        <v>108</v>
      </c>
      <c r="B119" s="206"/>
      <c r="C119" s="206" t="s">
        <v>347</v>
      </c>
      <c r="D119" s="105"/>
      <c r="E119" s="113"/>
      <c r="F119" s="105"/>
      <c r="G119" s="113"/>
    </row>
    <row r="120" spans="1:7" s="203" customFormat="1" ht="28">
      <c r="A120" s="262">
        <v>109</v>
      </c>
      <c r="B120" s="263"/>
      <c r="C120" s="263" t="s">
        <v>348</v>
      </c>
      <c r="D120" s="117"/>
      <c r="E120" s="249"/>
      <c r="F120" s="117"/>
      <c r="G120" s="249"/>
    </row>
    <row r="121" spans="1:7" s="62" customFormat="1">
      <c r="A121" s="254">
        <v>14</v>
      </c>
      <c r="B121" s="255"/>
      <c r="C121" s="255" t="s">
        <v>70</v>
      </c>
      <c r="D121" s="336">
        <f t="shared" ref="D121:E121" si="30">SUM(D122:D130)</f>
        <v>0</v>
      </c>
      <c r="E121" s="336">
        <f t="shared" si="30"/>
        <v>0</v>
      </c>
      <c r="F121" s="336">
        <f t="shared" ref="F121:G121" si="31">SUM(F122:F130)</f>
        <v>0</v>
      </c>
      <c r="G121" s="336">
        <f t="shared" si="31"/>
        <v>0</v>
      </c>
    </row>
    <row r="122" spans="1:7" s="62" customFormat="1">
      <c r="A122" s="212" t="s">
        <v>467</v>
      </c>
      <c r="B122" s="206"/>
      <c r="C122" s="206" t="s">
        <v>349</v>
      </c>
      <c r="D122" s="105"/>
      <c r="E122" s="113"/>
      <c r="F122" s="105"/>
      <c r="G122" s="113"/>
    </row>
    <row r="123" spans="1:7" s="62" customFormat="1">
      <c r="A123" s="212">
        <v>144</v>
      </c>
      <c r="B123" s="206"/>
      <c r="C123" s="206" t="s">
        <v>142</v>
      </c>
      <c r="D123" s="105"/>
      <c r="E123" s="113"/>
      <c r="F123" s="105"/>
      <c r="G123" s="113"/>
    </row>
    <row r="124" spans="1:7" s="62" customFormat="1">
      <c r="A124" s="212">
        <v>145</v>
      </c>
      <c r="B124" s="206"/>
      <c r="C124" s="206" t="s">
        <v>143</v>
      </c>
      <c r="D124" s="105"/>
      <c r="E124" s="210"/>
      <c r="F124" s="105"/>
      <c r="G124" s="210"/>
    </row>
    <row r="125" spans="1:7" s="62" customFormat="1">
      <c r="A125" s="212">
        <v>146</v>
      </c>
      <c r="B125" s="206"/>
      <c r="C125" s="206" t="s">
        <v>350</v>
      </c>
      <c r="D125" s="105"/>
      <c r="E125" s="210"/>
      <c r="F125" s="105"/>
      <c r="G125" s="210"/>
    </row>
    <row r="126" spans="1:7" s="203" customFormat="1" ht="29.5" customHeight="1">
      <c r="A126" s="262" t="s">
        <v>468</v>
      </c>
      <c r="B126" s="263"/>
      <c r="C126" s="263" t="s">
        <v>351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352</v>
      </c>
      <c r="D127" s="105"/>
      <c r="E127" s="210"/>
      <c r="F127" s="105"/>
      <c r="G127" s="210"/>
    </row>
    <row r="128" spans="1:7" s="203" customFormat="1" ht="14">
      <c r="A128" s="262">
        <v>1485</v>
      </c>
      <c r="B128" s="263"/>
      <c r="C128" s="263" t="s">
        <v>353</v>
      </c>
      <c r="D128" s="117"/>
      <c r="E128" s="276"/>
      <c r="F128" s="117"/>
      <c r="G128" s="276"/>
    </row>
    <row r="129" spans="1:7" s="203" customFormat="1" ht="28">
      <c r="A129" s="262">
        <v>1486</v>
      </c>
      <c r="B129" s="263"/>
      <c r="C129" s="263" t="s">
        <v>354</v>
      </c>
      <c r="D129" s="117"/>
      <c r="E129" s="276"/>
      <c r="F129" s="117"/>
      <c r="G129" s="276"/>
    </row>
    <row r="130" spans="1:7" s="203" customFormat="1" ht="14">
      <c r="A130" s="304">
        <v>1489</v>
      </c>
      <c r="B130" s="305"/>
      <c r="C130" s="305" t="s">
        <v>355</v>
      </c>
      <c r="D130" s="278"/>
      <c r="E130" s="306"/>
      <c r="F130" s="278"/>
      <c r="G130" s="306"/>
    </row>
    <row r="131" spans="1:7">
      <c r="A131" s="231">
        <v>1</v>
      </c>
      <c r="B131" s="14"/>
      <c r="C131" s="13" t="s">
        <v>71</v>
      </c>
      <c r="D131" s="18">
        <f>D111+D121</f>
        <v>0</v>
      </c>
      <c r="E131" s="18">
        <f>E111+E121</f>
        <v>0</v>
      </c>
      <c r="F131" s="18">
        <f>F111+F121</f>
        <v>0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6">
        <v>20</v>
      </c>
      <c r="B133" s="253"/>
      <c r="C133" s="253" t="s">
        <v>72</v>
      </c>
      <c r="D133" s="338">
        <f t="shared" ref="D133:E133" si="32">D134+D140</f>
        <v>0</v>
      </c>
      <c r="E133" s="339">
        <f t="shared" si="32"/>
        <v>0</v>
      </c>
      <c r="F133" s="338">
        <f t="shared" ref="F133:G133" si="33">F134+F140</f>
        <v>0</v>
      </c>
      <c r="G133" s="339">
        <f t="shared" si="33"/>
        <v>0</v>
      </c>
    </row>
    <row r="134" spans="1:7" s="62" customFormat="1">
      <c r="A134" s="257" t="s">
        <v>286</v>
      </c>
      <c r="B134" s="255"/>
      <c r="C134" s="255" t="s">
        <v>356</v>
      </c>
      <c r="D134" s="336">
        <f t="shared" ref="D134:E134" si="34">D135+D136+D138+D139</f>
        <v>0</v>
      </c>
      <c r="E134" s="337">
        <f t="shared" si="34"/>
        <v>0</v>
      </c>
      <c r="F134" s="336">
        <f t="shared" ref="F134:G134" si="35">F135+F136+F138+F139</f>
        <v>0</v>
      </c>
      <c r="G134" s="337">
        <f t="shared" si="35"/>
        <v>0</v>
      </c>
    </row>
    <row r="135" spans="1:7" s="63" customFormat="1">
      <c r="A135" s="208">
        <v>200</v>
      </c>
      <c r="B135" s="206"/>
      <c r="C135" s="206" t="s">
        <v>73</v>
      </c>
      <c r="D135" s="105"/>
      <c r="E135" s="113"/>
      <c r="F135" s="105"/>
      <c r="G135" s="113"/>
    </row>
    <row r="136" spans="1:7" s="63" customFormat="1">
      <c r="A136" s="208">
        <v>201</v>
      </c>
      <c r="B136" s="206"/>
      <c r="C136" s="206" t="s">
        <v>357</v>
      </c>
      <c r="D136" s="105"/>
      <c r="E136" s="113"/>
      <c r="F136" s="105"/>
      <c r="G136" s="113"/>
    </row>
    <row r="137" spans="1:7" s="63" customFormat="1">
      <c r="A137" s="204" t="s">
        <v>110</v>
      </c>
      <c r="B137" s="205"/>
      <c r="C137" s="205" t="s">
        <v>112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358</v>
      </c>
      <c r="D138" s="105"/>
      <c r="E138" s="210"/>
      <c r="F138" s="105"/>
      <c r="G138" s="210"/>
    </row>
    <row r="139" spans="1:7" s="63" customFormat="1">
      <c r="A139" s="208">
        <v>205</v>
      </c>
      <c r="B139" s="206"/>
      <c r="C139" s="206" t="s">
        <v>359</v>
      </c>
      <c r="D139" s="105"/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360</v>
      </c>
      <c r="D140" s="336">
        <f t="shared" ref="D140:E140" si="36">D141+D143+D144</f>
        <v>0</v>
      </c>
      <c r="E140" s="337">
        <f t="shared" si="36"/>
        <v>0</v>
      </c>
      <c r="F140" s="336">
        <f t="shared" ref="F140:G140" si="37">F141+F143+F144</f>
        <v>0</v>
      </c>
      <c r="G140" s="337">
        <f t="shared" si="37"/>
        <v>0</v>
      </c>
    </row>
    <row r="141" spans="1:7" s="63" customFormat="1">
      <c r="A141" s="208">
        <v>206</v>
      </c>
      <c r="B141" s="206"/>
      <c r="C141" s="206" t="s">
        <v>74</v>
      </c>
      <c r="D141" s="105"/>
      <c r="E141" s="210"/>
      <c r="F141" s="105"/>
      <c r="G141" s="210"/>
    </row>
    <row r="142" spans="1:7" s="63" customFormat="1">
      <c r="A142" s="204" t="s">
        <v>111</v>
      </c>
      <c r="B142" s="205"/>
      <c r="C142" s="205" t="s">
        <v>113</v>
      </c>
      <c r="D142" s="150"/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362</v>
      </c>
      <c r="D143" s="105"/>
      <c r="E143" s="210"/>
      <c r="F143" s="105"/>
      <c r="G143" s="210"/>
    </row>
    <row r="144" spans="1:7" s="64" customFormat="1" ht="28">
      <c r="A144" s="262">
        <v>209</v>
      </c>
      <c r="B144" s="263"/>
      <c r="C144" s="263" t="s">
        <v>361</v>
      </c>
      <c r="D144" s="117"/>
      <c r="E144" s="276"/>
      <c r="F144" s="117"/>
      <c r="G144" s="276"/>
    </row>
    <row r="145" spans="1:7" s="62" customFormat="1">
      <c r="A145" s="257">
        <v>29</v>
      </c>
      <c r="B145" s="255"/>
      <c r="C145" s="255" t="s">
        <v>75</v>
      </c>
      <c r="D145" s="209"/>
      <c r="E145" s="210"/>
      <c r="F145" s="209"/>
      <c r="G145" s="210"/>
    </row>
    <row r="146" spans="1:7" s="62" customFormat="1">
      <c r="A146" s="211" t="s">
        <v>192</v>
      </c>
      <c r="B146" s="207"/>
      <c r="C146" s="207" t="s">
        <v>193</v>
      </c>
      <c r="D146" s="169"/>
      <c r="E146" s="174"/>
      <c r="F146" s="169"/>
      <c r="G146" s="174"/>
    </row>
    <row r="147" spans="1:7">
      <c r="A147" s="231">
        <v>2</v>
      </c>
      <c r="B147" s="14"/>
      <c r="C147" s="13" t="s">
        <v>76</v>
      </c>
      <c r="D147" s="18">
        <f>D133+D145</f>
        <v>0</v>
      </c>
      <c r="E147" s="18">
        <f>E133+E145</f>
        <v>0</v>
      </c>
      <c r="F147" s="18">
        <f>F133+F145</f>
        <v>0</v>
      </c>
      <c r="G147" s="18">
        <f>G133+G145</f>
        <v>0</v>
      </c>
    </row>
    <row r="148" spans="1:7" ht="7.5" customHeight="1"/>
    <row r="149" spans="1:7" ht="13.5" customHeight="1">
      <c r="A149" s="330" t="s">
        <v>495</v>
      </c>
      <c r="B149" s="19"/>
      <c r="C149" s="38"/>
      <c r="D149" s="19"/>
      <c r="E149" s="19"/>
      <c r="F149" s="19"/>
      <c r="G149" s="19"/>
    </row>
    <row r="150" spans="1:7">
      <c r="A150" s="307" t="s">
        <v>422</v>
      </c>
      <c r="B150" s="307"/>
      <c r="C150" s="307" t="s">
        <v>155</v>
      </c>
      <c r="D150" s="55">
        <f t="shared" ref="D150:E150" si="38">D77+SUM(D8:D12)-D30-D31+D16-D33+D59+D63-D73+D64-D74-D54+D20-D35</f>
        <v>0</v>
      </c>
      <c r="E150" s="55">
        <f t="shared" si="38"/>
        <v>0</v>
      </c>
      <c r="F150" s="55">
        <f t="shared" ref="F150:G150" si="39">F77+SUM(F8:F12)-F30-F31+F16-F33+F59+F63-F73+F64-F74-F54+F20-F35</f>
        <v>0</v>
      </c>
      <c r="G150" s="55">
        <f t="shared" si="39"/>
        <v>44050.639999999432</v>
      </c>
    </row>
    <row r="151" spans="1:7">
      <c r="A151" s="308" t="s">
        <v>423</v>
      </c>
      <c r="B151" s="308"/>
      <c r="C151" s="308" t="s">
        <v>156</v>
      </c>
      <c r="D151" s="258">
        <f t="shared" ref="D151:E151" si="40">IF(D177=0,0,D150/D177)</f>
        <v>0</v>
      </c>
      <c r="E151" s="258">
        <f t="shared" si="40"/>
        <v>0</v>
      </c>
      <c r="F151" s="258">
        <f t="shared" ref="F151:G151" si="41">IF(F177=0,0,F150/F177)</f>
        <v>0</v>
      </c>
      <c r="G151" s="258">
        <f t="shared" si="41"/>
        <v>1.4443610847626787E-2</v>
      </c>
    </row>
    <row r="152" spans="1:7" s="251" customFormat="1" ht="28">
      <c r="A152" s="310" t="s">
        <v>424</v>
      </c>
      <c r="B152" s="310"/>
      <c r="C152" s="310" t="s">
        <v>157</v>
      </c>
      <c r="D152" s="245">
        <f t="shared" ref="D152:E152" si="42">IF(D107=0,0,D150/D107)</f>
        <v>0</v>
      </c>
      <c r="E152" s="245">
        <f t="shared" si="42"/>
        <v>0</v>
      </c>
      <c r="F152" s="245">
        <f t="shared" ref="F152:G152" si="43">IF(F107=0,0,F150/F107)</f>
        <v>0</v>
      </c>
      <c r="G152" s="245">
        <f t="shared" si="43"/>
        <v>0.21432048742727894</v>
      </c>
    </row>
    <row r="153" spans="1:7" s="251" customFormat="1" ht="28">
      <c r="A153" s="311" t="s">
        <v>424</v>
      </c>
      <c r="B153" s="311"/>
      <c r="C153" s="311" t="s">
        <v>159</v>
      </c>
      <c r="D153" s="322">
        <f t="shared" ref="D153:E153" si="44">IF(0=D108,0,D150/D108)</f>
        <v>0</v>
      </c>
      <c r="E153" s="322">
        <f t="shared" si="44"/>
        <v>0</v>
      </c>
      <c r="F153" s="322">
        <f t="shared" ref="F153:G153" si="45">IF(0=F108,0,F150/F108)</f>
        <v>0</v>
      </c>
      <c r="G153" s="322">
        <f t="shared" si="45"/>
        <v>0.21345228986641829</v>
      </c>
    </row>
    <row r="154" spans="1:7" s="251" customFormat="1" ht="28">
      <c r="A154" s="309" t="s">
        <v>443</v>
      </c>
      <c r="B154" s="309"/>
      <c r="C154" s="309" t="s">
        <v>158</v>
      </c>
      <c r="D154" s="59">
        <f t="shared" ref="D154:E154" si="46">D150-D107</f>
        <v>0</v>
      </c>
      <c r="E154" s="59">
        <f t="shared" si="46"/>
        <v>0</v>
      </c>
      <c r="F154" s="59">
        <f t="shared" ref="F154:G154" si="47">F150-F107</f>
        <v>0</v>
      </c>
      <c r="G154" s="59">
        <f t="shared" si="47"/>
        <v>-161485.66000000056</v>
      </c>
    </row>
    <row r="155" spans="1:7" ht="27.5" customHeight="1">
      <c r="A155" s="321" t="s">
        <v>444</v>
      </c>
      <c r="B155" s="321"/>
      <c r="C155" s="321" t="s">
        <v>160</v>
      </c>
      <c r="D155" s="56">
        <f t="shared" ref="D155:E155" si="48">D150-D108</f>
        <v>0</v>
      </c>
      <c r="E155" s="56">
        <f t="shared" si="48"/>
        <v>0</v>
      </c>
      <c r="F155" s="56">
        <f t="shared" ref="F155:G155" si="49">F150-F108</f>
        <v>0</v>
      </c>
      <c r="G155" s="56">
        <f t="shared" si="49"/>
        <v>-162321.66000000056</v>
      </c>
    </row>
    <row r="156" spans="1:7">
      <c r="A156" s="307" t="s">
        <v>425</v>
      </c>
      <c r="B156" s="307"/>
      <c r="C156" s="307" t="s">
        <v>77</v>
      </c>
      <c r="D156" s="47">
        <f t="shared" ref="D156:E156" si="50">D135+D136-D137+D141-D142</f>
        <v>0</v>
      </c>
      <c r="E156" s="47">
        <f t="shared" si="50"/>
        <v>0</v>
      </c>
      <c r="F156" s="47">
        <f t="shared" ref="F156:G156" si="51">F135+F136-F137+F141-F142</f>
        <v>0</v>
      </c>
      <c r="G156" s="47">
        <f t="shared" si="51"/>
        <v>0</v>
      </c>
    </row>
    <row r="157" spans="1:7">
      <c r="A157" s="319" t="s">
        <v>426</v>
      </c>
      <c r="B157" s="319"/>
      <c r="C157" s="319" t="s">
        <v>122</v>
      </c>
      <c r="D157" s="241">
        <f t="shared" ref="D157:E157" si="52">IF(D177=0,0,D156/D177)</f>
        <v>0</v>
      </c>
      <c r="E157" s="241">
        <f t="shared" si="52"/>
        <v>0</v>
      </c>
      <c r="F157" s="241">
        <f t="shared" ref="F157:G157" si="53">IF(F177=0,0,F156/F177)</f>
        <v>0</v>
      </c>
      <c r="G157" s="241">
        <f t="shared" si="53"/>
        <v>0</v>
      </c>
    </row>
    <row r="158" spans="1:7">
      <c r="A158" s="307" t="s">
        <v>427</v>
      </c>
      <c r="B158" s="307"/>
      <c r="C158" s="307" t="s">
        <v>445</v>
      </c>
      <c r="D158" s="47">
        <f t="shared" ref="D158:E158" si="54">D133-D142-D111</f>
        <v>0</v>
      </c>
      <c r="E158" s="47">
        <f t="shared" si="54"/>
        <v>0</v>
      </c>
      <c r="F158" s="47">
        <f t="shared" ref="F158:G158" si="55">F133-F142-F111</f>
        <v>0</v>
      </c>
      <c r="G158" s="47">
        <f t="shared" si="55"/>
        <v>0</v>
      </c>
    </row>
    <row r="159" spans="1:7">
      <c r="A159" s="308" t="s">
        <v>428</v>
      </c>
      <c r="B159" s="308"/>
      <c r="C159" s="308" t="s">
        <v>446</v>
      </c>
      <c r="D159" s="40">
        <f t="shared" ref="D159:E159" si="56">D121-D123-D124-D142-D145</f>
        <v>0</v>
      </c>
      <c r="E159" s="40">
        <f t="shared" si="56"/>
        <v>0</v>
      </c>
      <c r="F159" s="40">
        <f t="shared" ref="F159:G159" si="57">F121-F123-F124-F142-F145</f>
        <v>0</v>
      </c>
      <c r="G159" s="40">
        <f t="shared" si="57"/>
        <v>0</v>
      </c>
    </row>
    <row r="160" spans="1:7">
      <c r="A160" s="308" t="s">
        <v>429</v>
      </c>
      <c r="B160" s="308"/>
      <c r="C160" s="308" t="s">
        <v>123</v>
      </c>
      <c r="D160" s="240" t="str">
        <f t="shared" ref="D160:E160" si="58">IF(D175=0,"-",1000*D158/D175)</f>
        <v>-</v>
      </c>
      <c r="E160" s="240" t="str">
        <f t="shared" si="58"/>
        <v>-</v>
      </c>
      <c r="F160" s="240" t="str">
        <f t="shared" ref="F160:G160" si="59">IF(F175=0,"-",1000*F158/F175)</f>
        <v>-</v>
      </c>
      <c r="G160" s="240">
        <f t="shared" si="59"/>
        <v>0</v>
      </c>
    </row>
    <row r="161" spans="1:7">
      <c r="A161" s="308" t="s">
        <v>429</v>
      </c>
      <c r="B161" s="308"/>
      <c r="C161" s="308" t="s">
        <v>124</v>
      </c>
      <c r="D161" s="40">
        <f t="shared" ref="D161:E161" si="60">IF(D175=0,0,1000*(D159/D175))</f>
        <v>0</v>
      </c>
      <c r="E161" s="40">
        <f t="shared" si="60"/>
        <v>0</v>
      </c>
      <c r="F161" s="40">
        <f t="shared" ref="F161:G161" si="61">IF(F175=0,0,1000*(F159/F175))</f>
        <v>0</v>
      </c>
      <c r="G161" s="40">
        <f t="shared" si="61"/>
        <v>0</v>
      </c>
    </row>
    <row r="162" spans="1:7">
      <c r="A162" s="319" t="s">
        <v>430</v>
      </c>
      <c r="B162" s="319"/>
      <c r="C162" s="319" t="s">
        <v>125</v>
      </c>
      <c r="D162" s="241">
        <f t="shared" ref="D162:E162" si="62">IF((D22+D23+D65+D66)=0,0,D158/(D22+D23+D65+D66))</f>
        <v>0</v>
      </c>
      <c r="E162" s="241">
        <f t="shared" si="62"/>
        <v>0</v>
      </c>
      <c r="F162" s="241">
        <f t="shared" ref="F162:G162" si="63">IF((F22+F23+F65+F66)=0,0,F158/(F22+F23+F65+F66))</f>
        <v>0</v>
      </c>
      <c r="G162" s="241">
        <f t="shared" si="63"/>
        <v>0</v>
      </c>
    </row>
    <row r="163" spans="1:7">
      <c r="A163" s="308" t="s">
        <v>447</v>
      </c>
      <c r="B163" s="308"/>
      <c r="C163" s="308" t="s">
        <v>126</v>
      </c>
      <c r="D163" s="55">
        <f t="shared" ref="D163:E163" si="64">D145</f>
        <v>0</v>
      </c>
      <c r="E163" s="55">
        <f t="shared" si="64"/>
        <v>0</v>
      </c>
      <c r="F163" s="55">
        <f t="shared" ref="F163:G163" si="65">F145</f>
        <v>0</v>
      </c>
      <c r="G163" s="55">
        <f t="shared" si="65"/>
        <v>0</v>
      </c>
    </row>
    <row r="164" spans="1:7" ht="28">
      <c r="A164" s="310" t="s">
        <v>448</v>
      </c>
      <c r="B164" s="319"/>
      <c r="C164" s="319" t="s">
        <v>127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320" t="s">
        <v>494</v>
      </c>
      <c r="B165" s="320"/>
      <c r="C165" s="320" t="s">
        <v>128</v>
      </c>
      <c r="D165" s="259">
        <f t="shared" ref="D165:E165" si="66">IF(D177=0,0,D180/D177)</f>
        <v>0</v>
      </c>
      <c r="E165" s="259">
        <f t="shared" si="66"/>
        <v>0</v>
      </c>
      <c r="F165" s="259">
        <f t="shared" ref="F165:G165" si="67">IF(F177=0,0,F180/F177)</f>
        <v>0</v>
      </c>
      <c r="G165" s="259">
        <f t="shared" si="67"/>
        <v>6.7862606500409192E-2</v>
      </c>
    </row>
    <row r="166" spans="1:7">
      <c r="A166" s="308" t="s">
        <v>449</v>
      </c>
      <c r="B166" s="308"/>
      <c r="C166" s="308" t="s">
        <v>451</v>
      </c>
      <c r="D166" s="55">
        <f t="shared" ref="D166:E166" si="68">D55</f>
        <v>0</v>
      </c>
      <c r="E166" s="55">
        <f t="shared" si="68"/>
        <v>0</v>
      </c>
      <c r="F166" s="55">
        <f t="shared" ref="F166:G166" si="69">F55</f>
        <v>0</v>
      </c>
      <c r="G166" s="55">
        <f t="shared" si="69"/>
        <v>19346.250000000007</v>
      </c>
    </row>
    <row r="167" spans="1:7" s="251" customFormat="1" ht="28">
      <c r="A167" s="310" t="s">
        <v>450</v>
      </c>
      <c r="B167" s="319"/>
      <c r="C167" s="319" t="s">
        <v>129</v>
      </c>
      <c r="D167" s="245">
        <f t="shared" ref="D167:E167" si="70">IF(0=D111,0,(D44+D45+D46+D47+D48)/D111)</f>
        <v>0</v>
      </c>
      <c r="E167" s="245">
        <f t="shared" si="70"/>
        <v>0</v>
      </c>
      <c r="F167" s="245">
        <f t="shared" ref="F167:G167" si="71">IF(0=F111,0,(F44+F45+F46+F47+F48)/F111)</f>
        <v>0</v>
      </c>
      <c r="G167" s="245">
        <f t="shared" si="71"/>
        <v>0</v>
      </c>
    </row>
    <row r="168" spans="1:7">
      <c r="A168" s="308" t="s">
        <v>432</v>
      </c>
      <c r="B168" s="307"/>
      <c r="C168" s="307" t="s">
        <v>452</v>
      </c>
      <c r="D168" s="55">
        <f t="shared" ref="D168:E168" si="72">D38-D44</f>
        <v>0</v>
      </c>
      <c r="E168" s="55">
        <f t="shared" si="72"/>
        <v>0</v>
      </c>
      <c r="F168" s="55">
        <f t="shared" ref="F168:G168" si="73">F38-F44</f>
        <v>0</v>
      </c>
      <c r="G168" s="55">
        <f t="shared" si="73"/>
        <v>30069.8</v>
      </c>
    </row>
    <row r="169" spans="1:7">
      <c r="A169" s="319" t="s">
        <v>433</v>
      </c>
      <c r="B169" s="319"/>
      <c r="C169" s="319" t="s">
        <v>130</v>
      </c>
      <c r="D169" s="258">
        <f t="shared" ref="D169:E169" si="74">IF(D177=0,0,D168/D177)</f>
        <v>0</v>
      </c>
      <c r="E169" s="258">
        <f t="shared" si="74"/>
        <v>0</v>
      </c>
      <c r="F169" s="258">
        <f t="shared" ref="F169:G169" si="75">IF(F177=0,0,F168/F177)</f>
        <v>0</v>
      </c>
      <c r="G169" s="258">
        <f t="shared" si="75"/>
        <v>9.8594819386500065E-3</v>
      </c>
    </row>
    <row r="170" spans="1:7">
      <c r="A170" s="308" t="s">
        <v>434</v>
      </c>
      <c r="B170" s="308"/>
      <c r="C170" s="308" t="s">
        <v>453</v>
      </c>
      <c r="D170" s="55">
        <f t="shared" ref="D170:E170" si="76">SUM(D82:D87)+SUM(D89:D94)</f>
        <v>0</v>
      </c>
      <c r="E170" s="55">
        <f t="shared" si="76"/>
        <v>0</v>
      </c>
      <c r="F170" s="55">
        <f t="shared" ref="F170:G170" si="77">SUM(F82:F87)+SUM(F89:F94)</f>
        <v>0</v>
      </c>
      <c r="G170" s="55">
        <f t="shared" si="77"/>
        <v>288791.3</v>
      </c>
    </row>
    <row r="171" spans="1:7">
      <c r="A171" s="308" t="s">
        <v>435</v>
      </c>
      <c r="B171" s="308"/>
      <c r="C171" s="308" t="s">
        <v>454</v>
      </c>
      <c r="D171" s="40">
        <f t="shared" ref="D171:E171" si="78">SUM(D96:D102)+SUM(D104:D105)</f>
        <v>0</v>
      </c>
      <c r="E171" s="40">
        <f t="shared" si="78"/>
        <v>0</v>
      </c>
      <c r="F171" s="40">
        <f t="shared" ref="F171:G171" si="79">SUM(F96:F102)+SUM(F104:F105)</f>
        <v>0</v>
      </c>
      <c r="G171" s="40">
        <f t="shared" si="79"/>
        <v>83255</v>
      </c>
    </row>
    <row r="172" spans="1:7">
      <c r="A172" s="320" t="s">
        <v>431</v>
      </c>
      <c r="B172" s="320"/>
      <c r="C172" s="320" t="s">
        <v>131</v>
      </c>
      <c r="D172" s="259">
        <f t="shared" ref="D172:E172" si="80">IF(D184=0,0,D170/D184)</f>
        <v>0</v>
      </c>
      <c r="E172" s="259">
        <f t="shared" si="80"/>
        <v>0</v>
      </c>
      <c r="F172" s="259">
        <f t="shared" ref="F172:G172" si="81">IF(F184=0,0,F170/F184)</f>
        <v>0</v>
      </c>
      <c r="G172" s="259">
        <f t="shared" si="81"/>
        <v>8.7817657027186302E-2</v>
      </c>
    </row>
    <row r="174" spans="1:7">
      <c r="A174" s="332" t="s">
        <v>114</v>
      </c>
      <c r="C174" s="11"/>
      <c r="D174" s="66"/>
      <c r="E174" s="66"/>
      <c r="F174" s="66"/>
      <c r="G174" s="66"/>
    </row>
    <row r="175" spans="1:7" s="62" customFormat="1">
      <c r="A175" s="61" t="s">
        <v>436</v>
      </c>
      <c r="B175" s="1"/>
      <c r="C175" s="1" t="s">
        <v>189</v>
      </c>
      <c r="D175" s="66"/>
      <c r="E175" s="66"/>
      <c r="F175" s="66"/>
      <c r="G175" s="66">
        <v>346472</v>
      </c>
    </row>
    <row r="176" spans="1:7">
      <c r="A176" s="235" t="s">
        <v>455</v>
      </c>
      <c r="B176" s="23"/>
      <c r="C176" s="23"/>
      <c r="D176" s="23"/>
      <c r="E176" s="23"/>
      <c r="F176" s="23"/>
      <c r="G176" s="23"/>
    </row>
    <row r="177" spans="1:7">
      <c r="A177" s="236" t="s">
        <v>437</v>
      </c>
      <c r="B177" s="23"/>
      <c r="C177" s="23" t="s">
        <v>459</v>
      </c>
      <c r="D177" s="39">
        <f t="shared" ref="D177:E177" si="82">SUM(D22:D32)+SUM(D44:D53)+SUM(D65:D72)+D75</f>
        <v>0</v>
      </c>
      <c r="E177" s="39">
        <f t="shared" si="82"/>
        <v>0</v>
      </c>
      <c r="F177" s="39">
        <f t="shared" ref="F177:G177" si="83">SUM(F22:F32)+SUM(F44:F53)+SUM(F65:F72)+F75</f>
        <v>0</v>
      </c>
      <c r="G177" s="39">
        <f t="shared" si="83"/>
        <v>3049835.6999999997</v>
      </c>
    </row>
    <row r="178" spans="1:7">
      <c r="A178" s="236" t="s">
        <v>438</v>
      </c>
      <c r="B178" s="23"/>
      <c r="C178" s="23" t="s">
        <v>458</v>
      </c>
      <c r="D178" s="39">
        <f t="shared" ref="D178:E178" si="84">D78-D17-D20-D59-D63-D64</f>
        <v>0</v>
      </c>
      <c r="E178" s="39">
        <f t="shared" si="84"/>
        <v>0</v>
      </c>
      <c r="F178" s="39">
        <f t="shared" ref="F178:G178" si="85">F78-F17-F20-F59-F63-F64</f>
        <v>0</v>
      </c>
      <c r="G178" s="39">
        <f t="shared" si="85"/>
        <v>3199898.8000000003</v>
      </c>
    </row>
    <row r="179" spans="1:7">
      <c r="A179" s="236"/>
      <c r="B179" s="23"/>
      <c r="C179" s="23" t="s">
        <v>456</v>
      </c>
      <c r="D179" s="39">
        <f t="shared" ref="D179:E179" si="86">D178+D170</f>
        <v>0</v>
      </c>
      <c r="E179" s="39">
        <f t="shared" si="86"/>
        <v>0</v>
      </c>
      <c r="F179" s="39">
        <f t="shared" ref="F179:G179" si="87">F178+F170</f>
        <v>0</v>
      </c>
      <c r="G179" s="39">
        <f t="shared" si="87"/>
        <v>3488690.1</v>
      </c>
    </row>
    <row r="180" spans="1:7">
      <c r="A180" s="23" t="s">
        <v>439</v>
      </c>
      <c r="B180" s="23"/>
      <c r="C180" s="23" t="s">
        <v>457</v>
      </c>
      <c r="D180" s="39">
        <f t="shared" ref="D180:E180" si="88">D38-D44+D8+D9+D10+D16-D33</f>
        <v>0</v>
      </c>
      <c r="E180" s="39">
        <f t="shared" si="88"/>
        <v>0</v>
      </c>
      <c r="F180" s="39">
        <f t="shared" ref="F180:G180" si="89">F38-F44+F8+F9+F10+F16-F33</f>
        <v>0</v>
      </c>
      <c r="G180" s="39">
        <f t="shared" si="89"/>
        <v>206969.8</v>
      </c>
    </row>
    <row r="181" spans="1:7" ht="27.5" customHeight="1">
      <c r="A181" s="239" t="s">
        <v>460</v>
      </c>
      <c r="B181" s="71"/>
      <c r="C181" s="71" t="s">
        <v>462</v>
      </c>
      <c r="D181" s="73">
        <f t="shared" ref="D181:E181" si="90">D22+D23+D24+D25+D26+D29+SUM(D44:D47)+SUM(D49:D53)-D54+D32-D33+SUM(D65:D70)+D72</f>
        <v>0</v>
      </c>
      <c r="E181" s="73">
        <f t="shared" si="90"/>
        <v>0</v>
      </c>
      <c r="F181" s="73">
        <f t="shared" ref="F181:G181" si="91">F22+F23+F24+F25+F26+F29+SUM(F44:F47)+SUM(F49:F53)-F54+F32-F33+SUM(F65:F70)+F72</f>
        <v>0</v>
      </c>
      <c r="G181" s="73">
        <f t="shared" si="91"/>
        <v>3043419.3</v>
      </c>
    </row>
    <row r="182" spans="1:7">
      <c r="A182" s="237" t="s">
        <v>440</v>
      </c>
      <c r="B182" s="71"/>
      <c r="C182" s="71" t="s">
        <v>461</v>
      </c>
      <c r="D182" s="73">
        <f t="shared" ref="D182:E182" si="92">D181+D171</f>
        <v>0</v>
      </c>
      <c r="E182" s="73">
        <f t="shared" si="92"/>
        <v>0</v>
      </c>
      <c r="F182" s="73">
        <f t="shared" ref="F182:G182" si="93">F181+F171</f>
        <v>0</v>
      </c>
      <c r="G182" s="73">
        <f t="shared" si="93"/>
        <v>3126674.3</v>
      </c>
    </row>
    <row r="183" spans="1:7">
      <c r="A183" s="237" t="s">
        <v>441</v>
      </c>
      <c r="B183" s="71"/>
      <c r="C183" s="71" t="s">
        <v>492</v>
      </c>
      <c r="D183" s="73">
        <f>D4+D5-D7+D38+D39+D40+D41+D43+D13-D16+D57+D58+D60+D62</f>
        <v>0</v>
      </c>
      <c r="E183" s="73">
        <f t="shared" ref="E183:G183" si="94">E4+E5-E7+E38+E39+E40+E41+E43+E13-E16+E57+E58+E60+E62</f>
        <v>0</v>
      </c>
      <c r="F183" s="73">
        <f t="shared" si="94"/>
        <v>0</v>
      </c>
      <c r="G183" s="73">
        <f t="shared" si="94"/>
        <v>2999742.12</v>
      </c>
    </row>
    <row r="184" spans="1:7">
      <c r="A184" s="237" t="s">
        <v>442</v>
      </c>
      <c r="B184" s="71"/>
      <c r="C184" s="71" t="s">
        <v>463</v>
      </c>
      <c r="D184" s="73">
        <f t="shared" ref="D184:E184" si="95">D183+D170</f>
        <v>0</v>
      </c>
      <c r="E184" s="73">
        <f t="shared" si="95"/>
        <v>0</v>
      </c>
      <c r="F184" s="73">
        <f t="shared" ref="F184:G184" si="96">F183+F170</f>
        <v>0</v>
      </c>
      <c r="G184" s="73">
        <f t="shared" si="96"/>
        <v>3288533.42</v>
      </c>
    </row>
    <row r="185" spans="1:7">
      <c r="A185" s="237"/>
      <c r="B185" s="71"/>
      <c r="C185" s="71" t="s">
        <v>464</v>
      </c>
      <c r="D185" s="73">
        <f t="shared" ref="D185:E186" si="97">D181-D183</f>
        <v>0</v>
      </c>
      <c r="E185" s="73">
        <f t="shared" si="97"/>
        <v>0</v>
      </c>
      <c r="F185" s="73">
        <f t="shared" ref="F185:G185" si="98">F181-F183</f>
        <v>0</v>
      </c>
      <c r="G185" s="73">
        <f t="shared" si="98"/>
        <v>43677.179999999702</v>
      </c>
    </row>
    <row r="186" spans="1:7">
      <c r="A186" s="237"/>
      <c r="B186" s="71"/>
      <c r="C186" s="71" t="s">
        <v>465</v>
      </c>
      <c r="D186" s="73">
        <f t="shared" si="97"/>
        <v>0</v>
      </c>
      <c r="E186" s="73">
        <f t="shared" si="97"/>
        <v>0</v>
      </c>
      <c r="F186" s="73">
        <f t="shared" ref="F186:G186" si="99">F182-F184</f>
        <v>0</v>
      </c>
      <c r="G186" s="73">
        <f t="shared" si="99"/>
        <v>-161859.12000000011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I43"/>
  <sheetViews>
    <sheetView view="pageLayout" topLeftCell="A25" zoomScaleNormal="115" workbookViewId="0">
      <selection activeCell="K44" sqref="K44:N48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503</v>
      </c>
      <c r="C1" s="374" t="s">
        <v>172</v>
      </c>
      <c r="D1" s="375" t="s">
        <v>514</v>
      </c>
      <c r="E1" s="374" t="s">
        <v>2</v>
      </c>
      <c r="F1" s="375" t="s">
        <v>514</v>
      </c>
      <c r="G1" s="374" t="s">
        <v>172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591</v>
      </c>
      <c r="C3" s="433"/>
      <c r="D3" s="384"/>
      <c r="E3" s="385" t="s">
        <v>470</v>
      </c>
      <c r="F3" s="384"/>
      <c r="G3" s="385"/>
      <c r="H3" s="384"/>
      <c r="I3" s="380" t="s">
        <v>588</v>
      </c>
    </row>
    <row r="4" spans="1:9">
      <c r="A4" s="372" t="s">
        <v>518</v>
      </c>
      <c r="B4" s="387" t="s">
        <v>41</v>
      </c>
      <c r="C4" s="388">
        <v>2874797.5</v>
      </c>
      <c r="D4" s="389">
        <f t="shared" ref="D4:D16" si="0">CHOOSE((C4&lt;&gt;0)+1,"  -",(E4-C4)/C4)</f>
        <v>-0.15015158458987107</v>
      </c>
      <c r="E4" s="388">
        <v>2443142.1</v>
      </c>
      <c r="F4" s="389">
        <f t="shared" ref="F4:F27" si="1">CHOOSE((E4&lt;&gt;0)+1,"  -",(G4-E4)/E4)</f>
        <v>0.26388942624336098</v>
      </c>
      <c r="G4" s="388">
        <v>3087861.4670000002</v>
      </c>
      <c r="H4" s="389">
        <f t="shared" ref="H4:H16" si="2">CHOOSE((G4&lt;&gt;0)+1,"  -",(I4-G4)/G4)</f>
        <v>-0.21655536498198744</v>
      </c>
      <c r="I4" s="390">
        <v>2419168.5</v>
      </c>
    </row>
    <row r="5" spans="1:9">
      <c r="A5" s="391" t="s">
        <v>519</v>
      </c>
      <c r="B5" s="382" t="s">
        <v>592</v>
      </c>
      <c r="C5" s="392">
        <v>490849.8</v>
      </c>
      <c r="D5" s="393">
        <f t="shared" si="0"/>
        <v>6.0340046996046497E-2</v>
      </c>
      <c r="E5" s="392">
        <v>520467.7</v>
      </c>
      <c r="F5" s="393">
        <f t="shared" si="1"/>
        <v>-1.1070335392571021E-2</v>
      </c>
      <c r="G5" s="392">
        <v>514705.94799999997</v>
      </c>
      <c r="H5" s="393">
        <f t="shared" si="2"/>
        <v>0.57742416452510092</v>
      </c>
      <c r="I5" s="394">
        <v>811909.6</v>
      </c>
    </row>
    <row r="6" spans="1:9">
      <c r="A6" s="391" t="s">
        <v>298</v>
      </c>
      <c r="B6" s="382" t="s">
        <v>593</v>
      </c>
      <c r="C6" s="392">
        <v>72087.8</v>
      </c>
      <c r="D6" s="393">
        <f t="shared" si="0"/>
        <v>-5.2763435699244611E-2</v>
      </c>
      <c r="E6" s="392">
        <v>68284.2</v>
      </c>
      <c r="F6" s="393">
        <f t="shared" si="1"/>
        <v>0.20600222306185034</v>
      </c>
      <c r="G6" s="392">
        <v>82350.896999999997</v>
      </c>
      <c r="H6" s="393">
        <f t="shared" si="2"/>
        <v>-0.24079636922473352</v>
      </c>
      <c r="I6" s="394">
        <v>62521.1</v>
      </c>
    </row>
    <row r="7" spans="1:9">
      <c r="A7" s="391" t="s">
        <v>522</v>
      </c>
      <c r="B7" s="382" t="s">
        <v>594</v>
      </c>
      <c r="C7" s="392">
        <v>69722.399999999994</v>
      </c>
      <c r="D7" s="393">
        <f t="shared" si="0"/>
        <v>0.23478824595825734</v>
      </c>
      <c r="E7" s="392">
        <v>86092.4</v>
      </c>
      <c r="F7" s="393">
        <f t="shared" si="1"/>
        <v>-0.31299582773856915</v>
      </c>
      <c r="G7" s="392">
        <v>59145.838000000003</v>
      </c>
      <c r="H7" s="393">
        <f t="shared" si="2"/>
        <v>7.2858245748415887E-2</v>
      </c>
      <c r="I7" s="394">
        <v>63455.1</v>
      </c>
    </row>
    <row r="8" spans="1:9">
      <c r="A8" s="391" t="s">
        <v>524</v>
      </c>
      <c r="B8" s="382" t="s">
        <v>595</v>
      </c>
      <c r="C8" s="392">
        <v>174665.5</v>
      </c>
      <c r="D8" s="393">
        <f t="shared" si="0"/>
        <v>-0.41123232693348144</v>
      </c>
      <c r="E8" s="392">
        <v>102837.4</v>
      </c>
      <c r="F8" s="393">
        <f t="shared" si="1"/>
        <v>0.23171291767392022</v>
      </c>
      <c r="G8" s="392">
        <v>126666.15399999999</v>
      </c>
      <c r="H8" s="393">
        <f t="shared" si="2"/>
        <v>-0.99999763156936139</v>
      </c>
      <c r="I8" s="394">
        <v>0.30000000000000004</v>
      </c>
    </row>
    <row r="9" spans="1:9">
      <c r="A9" s="391" t="s">
        <v>526</v>
      </c>
      <c r="B9" s="382" t="s">
        <v>596</v>
      </c>
      <c r="C9" s="392">
        <v>169148.6</v>
      </c>
      <c r="D9" s="393">
        <f t="shared" si="0"/>
        <v>8.4655740573673047E-2</v>
      </c>
      <c r="E9" s="392">
        <v>183468</v>
      </c>
      <c r="F9" s="393">
        <f t="shared" si="1"/>
        <v>-1.9411559509015957E-3</v>
      </c>
      <c r="G9" s="392">
        <v>183111.86</v>
      </c>
      <c r="H9" s="393">
        <f t="shared" si="2"/>
        <v>9.6008745692387307E-2</v>
      </c>
      <c r="I9" s="394">
        <v>200692.2</v>
      </c>
    </row>
    <row r="10" spans="1:9">
      <c r="A10" s="391" t="s">
        <v>528</v>
      </c>
      <c r="B10" s="382" t="s">
        <v>597</v>
      </c>
      <c r="C10" s="392">
        <v>4946308.7</v>
      </c>
      <c r="D10" s="393">
        <f t="shared" si="0"/>
        <v>2.1565576770410627E-2</v>
      </c>
      <c r="E10" s="392">
        <v>5052978.7</v>
      </c>
      <c r="F10" s="393">
        <f t="shared" si="1"/>
        <v>1.8183696084054325E-2</v>
      </c>
      <c r="G10" s="392">
        <v>5144860.5290000001</v>
      </c>
      <c r="H10" s="393">
        <f t="shared" si="2"/>
        <v>4.464075745210544E-2</v>
      </c>
      <c r="I10" s="394">
        <v>5374531</v>
      </c>
    </row>
    <row r="11" spans="1:9">
      <c r="A11" s="391" t="s">
        <v>598</v>
      </c>
      <c r="B11" s="382" t="s">
        <v>599</v>
      </c>
      <c r="C11" s="392">
        <v>0</v>
      </c>
      <c r="D11" s="393" t="str">
        <f t="shared" si="0"/>
        <v xml:space="preserve">  -</v>
      </c>
      <c r="E11" s="392">
        <v>0</v>
      </c>
      <c r="F11" s="393" t="str">
        <f t="shared" si="1"/>
        <v xml:space="preserve">  -</v>
      </c>
      <c r="G11" s="392">
        <v>0</v>
      </c>
      <c r="H11" s="393" t="str">
        <f t="shared" si="2"/>
        <v xml:space="preserve">  -</v>
      </c>
      <c r="I11" s="394">
        <v>1079519.7</v>
      </c>
    </row>
    <row r="12" spans="1:9">
      <c r="A12" s="391" t="s">
        <v>600</v>
      </c>
      <c r="B12" s="382" t="s">
        <v>601</v>
      </c>
      <c r="C12" s="392">
        <v>0</v>
      </c>
      <c r="D12" s="393" t="str">
        <f t="shared" si="0"/>
        <v xml:space="preserve">  -</v>
      </c>
      <c r="E12" s="392">
        <v>0</v>
      </c>
      <c r="F12" s="393" t="str">
        <f t="shared" si="1"/>
        <v xml:space="preserve">  -</v>
      </c>
      <c r="G12" s="392">
        <v>0</v>
      </c>
      <c r="H12" s="393" t="str">
        <f t="shared" si="2"/>
        <v xml:space="preserve">  -</v>
      </c>
      <c r="I12" s="394">
        <v>315661.3</v>
      </c>
    </row>
    <row r="13" spans="1:9">
      <c r="A13" s="391" t="s">
        <v>602</v>
      </c>
      <c r="B13" s="382" t="s">
        <v>603</v>
      </c>
      <c r="C13" s="392">
        <v>2404081.9</v>
      </c>
      <c r="D13" s="393">
        <f t="shared" si="0"/>
        <v>-6.7027666569928427E-3</v>
      </c>
      <c r="E13" s="392">
        <v>2387967.9</v>
      </c>
      <c r="F13" s="393">
        <f t="shared" si="1"/>
        <v>-5.9002819929029858E-3</v>
      </c>
      <c r="G13" s="392">
        <v>2373878.2159999995</v>
      </c>
      <c r="H13" s="393">
        <f t="shared" si="2"/>
        <v>-1</v>
      </c>
      <c r="I13" s="394">
        <v>0</v>
      </c>
    </row>
    <row r="14" spans="1:9">
      <c r="A14" s="391" t="s">
        <v>604</v>
      </c>
      <c r="B14" s="382" t="s">
        <v>605</v>
      </c>
      <c r="C14" s="392">
        <v>0</v>
      </c>
      <c r="D14" s="393" t="str">
        <f t="shared" si="0"/>
        <v xml:space="preserve">  -</v>
      </c>
      <c r="E14" s="392">
        <v>0</v>
      </c>
      <c r="F14" s="393" t="str">
        <f t="shared" si="1"/>
        <v xml:space="preserve">  -</v>
      </c>
      <c r="G14" s="392">
        <v>0</v>
      </c>
      <c r="H14" s="393" t="str">
        <f t="shared" si="2"/>
        <v xml:space="preserve">  -</v>
      </c>
      <c r="I14" s="394">
        <v>128500</v>
      </c>
    </row>
    <row r="15" spans="1:9">
      <c r="A15" s="391" t="s">
        <v>606</v>
      </c>
      <c r="B15" s="382" t="s">
        <v>607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5230</v>
      </c>
    </row>
    <row r="16" spans="1:9">
      <c r="A16" s="391" t="s">
        <v>608</v>
      </c>
      <c r="B16" s="382" t="s">
        <v>609</v>
      </c>
      <c r="C16" s="392">
        <v>165673.29999999999</v>
      </c>
      <c r="D16" s="393">
        <f t="shared" si="0"/>
        <v>6.8217389283608265E-2</v>
      </c>
      <c r="E16" s="392">
        <v>176975.1</v>
      </c>
      <c r="F16" s="393">
        <f t="shared" si="1"/>
        <v>3.1686435210377083E-2</v>
      </c>
      <c r="G16" s="392">
        <v>182582.81004000001</v>
      </c>
      <c r="H16" s="393">
        <f t="shared" si="2"/>
        <v>-1</v>
      </c>
      <c r="I16" s="394">
        <v>0</v>
      </c>
    </row>
    <row r="17" spans="1:9">
      <c r="A17" s="391" t="s">
        <v>542</v>
      </c>
      <c r="B17" s="382" t="s">
        <v>610</v>
      </c>
      <c r="C17" s="392">
        <v>56900.1</v>
      </c>
      <c r="D17" s="393">
        <f>CHOOSE((C17&lt;&gt;0)+1,"  -",(E17-C17)/C17)</f>
        <v>0.36302396656596386</v>
      </c>
      <c r="E17" s="392">
        <v>77556.2</v>
      </c>
      <c r="F17" s="393">
        <f t="shared" si="1"/>
        <v>0.91152038134926694</v>
      </c>
      <c r="G17" s="392">
        <v>148250.25700000001</v>
      </c>
      <c r="H17" s="393">
        <f>CHOOSE((G17&lt;&gt;0)+1,"  -",(I17-G17)/G17)</f>
        <v>-0.68409228457526394</v>
      </c>
      <c r="I17" s="394">
        <v>46833.4</v>
      </c>
    </row>
    <row r="18" spans="1:9">
      <c r="A18" s="391">
        <v>389</v>
      </c>
      <c r="B18" s="382" t="s">
        <v>61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/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45</v>
      </c>
      <c r="C19" s="397">
        <v>7983.3</v>
      </c>
      <c r="D19" s="393">
        <f t="shared" ref="D19:D27" si="3">CHOOSE((C19&lt;&gt;0)+1,"  -",(E19-C19)/C19)</f>
        <v>-0.1380757330928313</v>
      </c>
      <c r="E19" s="397">
        <v>6881</v>
      </c>
      <c r="F19" s="393">
        <f t="shared" si="1"/>
        <v>3.3832146490335703E-2</v>
      </c>
      <c r="G19" s="397">
        <v>7113.799</v>
      </c>
      <c r="H19" s="393">
        <f t="shared" ref="H19:H27" si="4">CHOOSE((G19&lt;&gt;0)+1,"  -",(I19-G19)/G19)</f>
        <v>-1.1386180576651068E-2</v>
      </c>
      <c r="I19" s="398">
        <v>7032.8</v>
      </c>
    </row>
    <row r="20" spans="1:9">
      <c r="A20" s="399" t="s">
        <v>546</v>
      </c>
      <c r="B20" s="400" t="s">
        <v>611</v>
      </c>
      <c r="C20" s="401">
        <f>C19+C18+C17+C10+C9+C8+C7+C5+C4</f>
        <v>8790375.9000000004</v>
      </c>
      <c r="D20" s="402">
        <f t="shared" si="3"/>
        <v>-3.6056751566221248E-2</v>
      </c>
      <c r="E20" s="401">
        <f>E19+E18+E17+E10+E9+E8+E7+E5+E4</f>
        <v>8473423.5000000019</v>
      </c>
      <c r="F20" s="402">
        <f t="shared" si="1"/>
        <v>9.4211312818248696E-2</v>
      </c>
      <c r="G20" s="401">
        <f>G19+G18+G17+G10+G9+G8+G7+G5+G4</f>
        <v>9271715.8520000018</v>
      </c>
      <c r="H20" s="402">
        <f t="shared" si="4"/>
        <v>-3.754353105255228E-2</v>
      </c>
      <c r="I20" s="434">
        <f>I19+I18+I17+I10+I9+I8+I7+I5+I4</f>
        <v>8923622.8999999985</v>
      </c>
    </row>
    <row r="21" spans="1:9">
      <c r="A21" s="403" t="s">
        <v>548</v>
      </c>
      <c r="B21" s="404" t="s">
        <v>612</v>
      </c>
      <c r="C21" s="388">
        <v>5060850.0999999996</v>
      </c>
      <c r="D21" s="393">
        <f t="shared" si="3"/>
        <v>-6.2384795787569294E-2</v>
      </c>
      <c r="E21" s="388">
        <v>4745130</v>
      </c>
      <c r="F21" s="393">
        <f t="shared" si="1"/>
        <v>0.13514725687178228</v>
      </c>
      <c r="G21" s="388">
        <v>5386421.3030000003</v>
      </c>
      <c r="H21" s="393">
        <f t="shared" si="4"/>
        <v>-0.11698329327656758</v>
      </c>
      <c r="I21" s="390">
        <v>4756300</v>
      </c>
    </row>
    <row r="22" spans="1:9">
      <c r="A22" s="405" t="s">
        <v>550</v>
      </c>
      <c r="B22" s="378" t="s">
        <v>613</v>
      </c>
      <c r="C22" s="392">
        <v>381319.1</v>
      </c>
      <c r="D22" s="393">
        <f t="shared" si="3"/>
        <v>-0.14454848970324324</v>
      </c>
      <c r="E22" s="392">
        <v>326200</v>
      </c>
      <c r="F22" s="393">
        <f t="shared" si="1"/>
        <v>0.14590260882893924</v>
      </c>
      <c r="G22" s="392">
        <v>373793.43099999998</v>
      </c>
      <c r="H22" s="393">
        <f t="shared" si="4"/>
        <v>0.72025495011976293</v>
      </c>
      <c r="I22" s="394">
        <v>643020</v>
      </c>
    </row>
    <row r="23" spans="1:9">
      <c r="A23" s="405" t="s">
        <v>552</v>
      </c>
      <c r="B23" s="378" t="s">
        <v>614</v>
      </c>
      <c r="C23" s="392">
        <v>289837.95</v>
      </c>
      <c r="D23" s="393">
        <f t="shared" si="3"/>
        <v>-2.9884457849636403E-2</v>
      </c>
      <c r="E23" s="392">
        <v>281176.3</v>
      </c>
      <c r="F23" s="393">
        <f t="shared" si="1"/>
        <v>4.8097585038283854E-2</v>
      </c>
      <c r="G23" s="392">
        <v>294700.201</v>
      </c>
      <c r="H23" s="393">
        <f t="shared" si="4"/>
        <v>-0.18969346071128063</v>
      </c>
      <c r="I23" s="394">
        <v>238797.5</v>
      </c>
    </row>
    <row r="24" spans="1:9">
      <c r="A24" s="405" t="s">
        <v>554</v>
      </c>
      <c r="B24" s="378" t="s">
        <v>615</v>
      </c>
      <c r="C24" s="392">
        <v>502053.4</v>
      </c>
      <c r="D24" s="393">
        <f t="shared" si="3"/>
        <v>8.0756349822548052E-3</v>
      </c>
      <c r="E24" s="392">
        <v>506107.8</v>
      </c>
      <c r="F24" s="393">
        <f t="shared" si="1"/>
        <v>9.4162350392544808E-2</v>
      </c>
      <c r="G24" s="392">
        <v>553764.1</v>
      </c>
      <c r="H24" s="393">
        <f t="shared" si="4"/>
        <v>-2.0193797322722758E-2</v>
      </c>
      <c r="I24" s="394">
        <v>542581.5</v>
      </c>
    </row>
    <row r="25" spans="1:9">
      <c r="A25" s="405" t="s">
        <v>556</v>
      </c>
      <c r="B25" s="378" t="s">
        <v>597</v>
      </c>
      <c r="C25" s="392">
        <v>2507698.5</v>
      </c>
      <c r="D25" s="393">
        <f t="shared" si="3"/>
        <v>5.0413157722110904E-3</v>
      </c>
      <c r="E25" s="392">
        <v>2520340.6</v>
      </c>
      <c r="F25" s="393">
        <f t="shared" si="1"/>
        <v>3.6860649310652624E-2</v>
      </c>
      <c r="G25" s="392">
        <v>2613241.9909999999</v>
      </c>
      <c r="H25" s="393">
        <f t="shared" si="4"/>
        <v>2.8323710262927501E-2</v>
      </c>
      <c r="I25" s="394">
        <v>2687258.6999999997</v>
      </c>
    </row>
    <row r="26" spans="1:9">
      <c r="A26" s="406" t="s">
        <v>558</v>
      </c>
      <c r="B26" s="378" t="s">
        <v>616</v>
      </c>
      <c r="C26" s="392">
        <v>47083.3</v>
      </c>
      <c r="D26" s="393">
        <f t="shared" si="3"/>
        <v>0.89886647707361189</v>
      </c>
      <c r="E26" s="392">
        <v>89404.9</v>
      </c>
      <c r="F26" s="393">
        <f t="shared" si="1"/>
        <v>-0.43448447456459321</v>
      </c>
      <c r="G26" s="392">
        <v>50559.858999999997</v>
      </c>
      <c r="H26" s="393">
        <f t="shared" si="4"/>
        <v>0.43832877382035423</v>
      </c>
      <c r="I26" s="394">
        <v>72721.7</v>
      </c>
    </row>
    <row r="27" spans="1:9">
      <c r="A27" s="407">
        <v>489</v>
      </c>
      <c r="B27" s="378" t="s">
        <v>63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45</v>
      </c>
      <c r="C28" s="397">
        <v>7983.3</v>
      </c>
      <c r="D28" s="393">
        <f>CHOOSE((C28&lt;&gt;0)+1,"  -",(E28-C28)/C28)</f>
        <v>-0.1380757330928313</v>
      </c>
      <c r="E28" s="397">
        <v>6881</v>
      </c>
      <c r="F28" s="393">
        <f>CHOOSE((E28&lt;&gt;0)+1,"  -",(G28-E28)/E28)</f>
        <v>3.3832146490335703E-2</v>
      </c>
      <c r="G28" s="397">
        <v>7113.799</v>
      </c>
      <c r="H28" s="393">
        <f>CHOOSE((G28&lt;&gt;0)+1,"  -",(I28-G28)/G28)</f>
        <v>-1.1386180576651068E-2</v>
      </c>
      <c r="I28" s="398">
        <v>7032.8</v>
      </c>
    </row>
    <row r="29" spans="1:9">
      <c r="A29" s="410" t="s">
        <v>562</v>
      </c>
      <c r="B29" s="411" t="s">
        <v>617</v>
      </c>
      <c r="C29" s="401">
        <f t="shared" ref="C29" si="5">SUM(C21:C28)</f>
        <v>8796825.6500000022</v>
      </c>
      <c r="D29" s="412">
        <f>CHOOSE((C29&lt;&gt;0)+1,"  -",(E29-C29)/C29)</f>
        <v>-3.6556942560297595E-2</v>
      </c>
      <c r="E29" s="401">
        <f t="shared" ref="E29" si="6">SUM(E21:E28)</f>
        <v>8475240.5999999996</v>
      </c>
      <c r="F29" s="413">
        <f>CHOOSE((E29&lt;&gt;0)+1,"  -",(G29-E29)/E29)</f>
        <v>9.4906342127915613E-2</v>
      </c>
      <c r="G29" s="401">
        <f t="shared" ref="G29" si="7">SUM(G21:G28)</f>
        <v>9279594.6840000004</v>
      </c>
      <c r="H29" s="412">
        <f>CHOOSE((G29&lt;&gt;0)+1,"  -",(I29-G29)/G29)</f>
        <v>-3.5764760779071231E-2</v>
      </c>
      <c r="I29" s="434">
        <f t="shared" ref="I29" si="8">SUM(I21:I28)</f>
        <v>8947712.1999999993</v>
      </c>
    </row>
    <row r="30" spans="1:9">
      <c r="A30" s="414" t="s">
        <v>564</v>
      </c>
      <c r="B30" s="415" t="s">
        <v>618</v>
      </c>
      <c r="C30" s="416">
        <f t="shared" ref="C30" si="9">C29-C20</f>
        <v>6449.7500000018626</v>
      </c>
      <c r="D30" s="417"/>
      <c r="E30" s="416">
        <f t="shared" ref="E30" si="10">E29-E20</f>
        <v>1817.0999999977648</v>
      </c>
      <c r="F30" s="418"/>
      <c r="G30" s="416">
        <f t="shared" ref="G30" si="11">G29-G20</f>
        <v>7878.8319999985397</v>
      </c>
      <c r="H30" s="417"/>
      <c r="I30" s="435">
        <f t="shared" ref="I30" si="12">I29-I20</f>
        <v>24089.300000000745</v>
      </c>
    </row>
    <row r="31" spans="1:9">
      <c r="A31" s="419"/>
      <c r="B31" s="404" t="s">
        <v>619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620</v>
      </c>
      <c r="C32" s="392">
        <v>264188</v>
      </c>
      <c r="D32" s="393">
        <f t="shared" ref="D32:D42" si="13">CHOOSE((C32&lt;&gt;0)+1,"  -",(E32-C32)/C32)</f>
        <v>3.3748694111768889E-2</v>
      </c>
      <c r="E32" s="392">
        <v>273104</v>
      </c>
      <c r="F32" s="393">
        <f t="shared" ref="F32:F42" si="14">CHOOSE((E32&lt;&gt;0)+1,"  -",(G32-E32)/E32)</f>
        <v>-0.10758396486320228</v>
      </c>
      <c r="G32" s="392">
        <v>243722.38886000001</v>
      </c>
      <c r="H32" s="393">
        <f t="shared" ref="H32:H42" si="15">CHOOSE((G32&lt;&gt;0)+1,"  -",(I32-G32)/G32)</f>
        <v>0.59510581616412273</v>
      </c>
      <c r="I32" s="394">
        <v>388763</v>
      </c>
    </row>
    <row r="33" spans="1:9">
      <c r="A33" s="406" t="s">
        <v>569</v>
      </c>
      <c r="B33" s="378" t="s">
        <v>621</v>
      </c>
      <c r="C33" s="392">
        <v>0</v>
      </c>
      <c r="D33" s="393" t="str">
        <f t="shared" si="13"/>
        <v xml:space="preserve">  -</v>
      </c>
      <c r="E33" s="392">
        <v>0</v>
      </c>
      <c r="F33" s="393" t="str">
        <f t="shared" si="14"/>
        <v xml:space="preserve">  -</v>
      </c>
      <c r="G33" s="392">
        <v>0</v>
      </c>
      <c r="H33" s="393" t="str">
        <f t="shared" si="15"/>
        <v xml:space="preserve">  -</v>
      </c>
      <c r="I33" s="394">
        <v>0</v>
      </c>
    </row>
    <row r="34" spans="1:9">
      <c r="A34" s="405" t="s">
        <v>571</v>
      </c>
      <c r="B34" s="378" t="s">
        <v>622</v>
      </c>
      <c r="C34" s="392">
        <v>42123</v>
      </c>
      <c r="D34" s="393">
        <f t="shared" si="13"/>
        <v>0.58794482824110339</v>
      </c>
      <c r="E34" s="392">
        <v>66889</v>
      </c>
      <c r="F34" s="393">
        <f t="shared" si="14"/>
        <v>-0.46222393368117332</v>
      </c>
      <c r="G34" s="392">
        <v>35971.3033</v>
      </c>
      <c r="H34" s="393">
        <f t="shared" si="15"/>
        <v>-1</v>
      </c>
      <c r="I34" s="394">
        <v>0</v>
      </c>
    </row>
    <row r="35" spans="1:9">
      <c r="A35" s="410" t="s">
        <v>573</v>
      </c>
      <c r="B35" s="411" t="s">
        <v>623</v>
      </c>
      <c r="C35" s="401">
        <f t="shared" ref="C35" si="16">SUM(C32:C34)</f>
        <v>306311</v>
      </c>
      <c r="D35" s="412">
        <f t="shared" si="13"/>
        <v>0.10996013855199455</v>
      </c>
      <c r="E35" s="401">
        <f t="shared" ref="E35" si="17">SUM(E32:E34)</f>
        <v>339993</v>
      </c>
      <c r="F35" s="412">
        <f t="shared" si="14"/>
        <v>-0.17735455682911125</v>
      </c>
      <c r="G35" s="401">
        <f t="shared" ref="G35" si="18">SUM(G32:G34)</f>
        <v>279693.69215999998</v>
      </c>
      <c r="H35" s="412">
        <f t="shared" si="15"/>
        <v>0.3899598414168256</v>
      </c>
      <c r="I35" s="434">
        <f t="shared" ref="I35" si="19">SUM(I32:I34)</f>
        <v>388763</v>
      </c>
    </row>
    <row r="36" spans="1:9">
      <c r="A36" s="405" t="s">
        <v>575</v>
      </c>
      <c r="B36" s="378" t="s">
        <v>624</v>
      </c>
      <c r="C36" s="392"/>
      <c r="D36" s="393" t="str">
        <f t="shared" si="13"/>
        <v xml:space="preserve">  -</v>
      </c>
      <c r="E36" s="392">
        <v>1800</v>
      </c>
      <c r="F36" s="393">
        <f t="shared" si="14"/>
        <v>0.44722222222222224</v>
      </c>
      <c r="G36" s="392">
        <v>2605</v>
      </c>
      <c r="H36" s="393">
        <f t="shared" si="15"/>
        <v>6.5021113243761999</v>
      </c>
      <c r="I36" s="394">
        <v>19543</v>
      </c>
    </row>
    <row r="37" spans="1:9">
      <c r="A37" s="405" t="s">
        <v>577</v>
      </c>
      <c r="B37" s="378" t="s">
        <v>625</v>
      </c>
      <c r="C37" s="392">
        <v>48423</v>
      </c>
      <c r="D37" s="393">
        <f t="shared" si="13"/>
        <v>-0.64287631910455778</v>
      </c>
      <c r="E37" s="392">
        <v>17293</v>
      </c>
      <c r="F37" s="393">
        <f t="shared" si="14"/>
        <v>1.0924073324466548</v>
      </c>
      <c r="G37" s="392">
        <v>36184</v>
      </c>
      <c r="H37" s="393">
        <f t="shared" si="15"/>
        <v>-1</v>
      </c>
      <c r="I37" s="394">
        <v>0</v>
      </c>
    </row>
    <row r="38" spans="1:9">
      <c r="A38" s="410" t="s">
        <v>579</v>
      </c>
      <c r="B38" s="411" t="s">
        <v>626</v>
      </c>
      <c r="C38" s="401">
        <f t="shared" ref="C38" si="20">SUM(C36:C37)</f>
        <v>48423</v>
      </c>
      <c r="D38" s="412">
        <f t="shared" si="13"/>
        <v>-0.60570390103876259</v>
      </c>
      <c r="E38" s="401">
        <f t="shared" ref="E38" si="21">SUM(E36:E37)</f>
        <v>19093</v>
      </c>
      <c r="F38" s="412">
        <f t="shared" si="14"/>
        <v>1.031582255276803</v>
      </c>
      <c r="G38" s="401">
        <f t="shared" ref="G38" si="22">SUM(G36:G37)</f>
        <v>38789</v>
      </c>
      <c r="H38" s="412">
        <f t="shared" si="15"/>
        <v>-0.49617159503983088</v>
      </c>
      <c r="I38" s="434">
        <f t="shared" ref="I38" si="23">SUM(I36:I37)</f>
        <v>19543</v>
      </c>
    </row>
    <row r="39" spans="1:9">
      <c r="A39" s="423" t="s">
        <v>581</v>
      </c>
      <c r="B39" s="424" t="s">
        <v>68</v>
      </c>
      <c r="C39" s="425">
        <f t="shared" ref="C39" si="24">C35-C38</f>
        <v>257888</v>
      </c>
      <c r="D39" s="426">
        <f t="shared" si="13"/>
        <v>0.24433862762129296</v>
      </c>
      <c r="E39" s="425">
        <f t="shared" ref="E39" si="25">E35-E38</f>
        <v>320900</v>
      </c>
      <c r="F39" s="426">
        <f t="shared" si="14"/>
        <v>-0.24928422511685891</v>
      </c>
      <c r="G39" s="425">
        <f t="shared" ref="G39" si="26">G35-G38</f>
        <v>240904.69215999998</v>
      </c>
      <c r="H39" s="426">
        <f t="shared" si="15"/>
        <v>0.53263930515217095</v>
      </c>
      <c r="I39" s="436">
        <f t="shared" ref="I39" si="27">I35-I38</f>
        <v>369220</v>
      </c>
    </row>
    <row r="40" spans="1:9">
      <c r="A40" s="442" t="s">
        <v>582</v>
      </c>
      <c r="B40" s="378" t="s">
        <v>155</v>
      </c>
      <c r="C40" s="392">
        <f>C9+C30+C18-C27</f>
        <v>175598.35000000187</v>
      </c>
      <c r="D40" s="393">
        <f t="shared" si="13"/>
        <v>5.5164242716379701E-2</v>
      </c>
      <c r="E40" s="392">
        <f>E9+E30+E18-E27</f>
        <v>185285.09999999776</v>
      </c>
      <c r="F40" s="393">
        <f t="shared" si="14"/>
        <v>3.0793582430539906E-2</v>
      </c>
      <c r="G40" s="392">
        <f>G9+G30+G18-G27</f>
        <v>190990.69199999853</v>
      </c>
      <c r="H40" s="393">
        <f t="shared" si="15"/>
        <v>0.17692384715796775</v>
      </c>
      <c r="I40" s="394">
        <f>I9+I30+I18-I27</f>
        <v>224781.50000000076</v>
      </c>
    </row>
    <row r="41" spans="1:9">
      <c r="A41" s="442" t="s">
        <v>582</v>
      </c>
      <c r="B41" s="378" t="s">
        <v>627</v>
      </c>
      <c r="C41" s="392">
        <f t="shared" ref="C41" si="28">C40-C39</f>
        <v>-82289.649999998132</v>
      </c>
      <c r="D41" s="393">
        <f t="shared" si="13"/>
        <v>0.64801891853963789</v>
      </c>
      <c r="E41" s="392">
        <f t="shared" ref="E41" si="29">E40-E39</f>
        <v>-135614.90000000224</v>
      </c>
      <c r="F41" s="393">
        <f t="shared" si="14"/>
        <v>-0.63194309651815084</v>
      </c>
      <c r="G41" s="392">
        <f t="shared" ref="G41" si="30">G40-G39</f>
        <v>-49914.000160001451</v>
      </c>
      <c r="H41" s="393">
        <f t="shared" si="15"/>
        <v>1.8937472359858054</v>
      </c>
      <c r="I41" s="394">
        <f t="shared" ref="I41" si="31">I40-I39</f>
        <v>-144438.49999999924</v>
      </c>
    </row>
    <row r="42" spans="1:9">
      <c r="A42" s="443" t="s">
        <v>582</v>
      </c>
      <c r="B42" s="409" t="s">
        <v>628</v>
      </c>
      <c r="C42" s="397">
        <f>C35+C20-C8-C9-C17-C18-C19</f>
        <v>8687989.4000000004</v>
      </c>
      <c r="D42" s="428">
        <f t="shared" si="13"/>
        <v>-2.8236164744860084E-2</v>
      </c>
      <c r="E42" s="397">
        <f>E35+E20-E8-E9-E17-E18-E19</f>
        <v>8442673.9000000022</v>
      </c>
      <c r="F42" s="428">
        <f t="shared" si="14"/>
        <v>7.6231011855142264E-2</v>
      </c>
      <c r="G42" s="397">
        <f>G35+G20-G8-G9-G17-G18-G19</f>
        <v>9086267.4741600025</v>
      </c>
      <c r="H42" s="428">
        <f t="shared" si="15"/>
        <v>-3.1300282806867698E-3</v>
      </c>
      <c r="I42" s="398">
        <f>I35+I20-I8-I9-I17-I18-I19</f>
        <v>9057827.1999999974</v>
      </c>
    </row>
    <row r="43" spans="1:9">
      <c r="A43" s="443" t="s">
        <v>582</v>
      </c>
      <c r="B43" s="409" t="s">
        <v>629</v>
      </c>
      <c r="C43" s="429">
        <f t="shared" ref="C43" si="32">IF(0&gt;C40,"negativ",C40/C39)</f>
        <v>0.68090934824420624</v>
      </c>
      <c r="D43" s="430"/>
      <c r="E43" s="429">
        <f t="shared" ref="E43" si="33">IF(0&gt;E40,"negativ",E40/E39)</f>
        <v>0.57739202243688925</v>
      </c>
      <c r="F43" s="430"/>
      <c r="G43" s="429">
        <f t="shared" ref="G43" si="34">IF(0&gt;G40,"negativ",G40/G39)</f>
        <v>0.79280602751045459</v>
      </c>
      <c r="H43" s="430"/>
      <c r="I43" s="437">
        <f t="shared" ref="I43" si="35">IF(0&gt;I40,"negativ",I40/I39)</f>
        <v>0.60880098586208964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50"/>
  </sheetPr>
  <dimension ref="A1:AX186"/>
  <sheetViews>
    <sheetView view="pageLayout" zoomScaleNormal="100" workbookViewId="0"/>
  </sheetViews>
  <sheetFormatPr baseColWidth="10" defaultColWidth="11.5" defaultRowHeight="13"/>
  <cols>
    <col min="1" max="1" width="16.33203125" style="6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0" s="2" customFormat="1" ht="18" customHeight="1">
      <c r="A1" s="219" t="s">
        <v>219</v>
      </c>
      <c r="B1" s="44" t="s">
        <v>502</v>
      </c>
      <c r="C1" s="44" t="s">
        <v>503</v>
      </c>
      <c r="D1" s="28" t="s">
        <v>172</v>
      </c>
      <c r="E1" s="24" t="s">
        <v>2</v>
      </c>
      <c r="F1" s="28" t="s">
        <v>172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20"/>
      <c r="B2" s="26"/>
      <c r="C2" s="42" t="s">
        <v>215</v>
      </c>
      <c r="D2" s="29">
        <v>2012</v>
      </c>
      <c r="E2" s="27">
        <v>2013</v>
      </c>
      <c r="F2" s="29">
        <v>2013</v>
      </c>
      <c r="G2" s="27">
        <v>2014</v>
      </c>
    </row>
    <row r="3" spans="1:50" ht="15" customHeight="1">
      <c r="A3" s="800" t="s">
        <v>40</v>
      </c>
      <c r="B3" s="797"/>
      <c r="C3" s="797"/>
      <c r="E3" s="85" t="s">
        <v>470</v>
      </c>
      <c r="G3" s="85" t="s">
        <v>470</v>
      </c>
    </row>
    <row r="4" spans="1:50" s="62" customFormat="1" ht="12.75" customHeight="1">
      <c r="A4" s="160">
        <v>30</v>
      </c>
      <c r="B4" s="96"/>
      <c r="C4" s="97" t="s">
        <v>41</v>
      </c>
      <c r="D4" s="98"/>
      <c r="E4" s="100"/>
      <c r="F4" s="98"/>
      <c r="G4" s="345">
        <v>2419168.5</v>
      </c>
    </row>
    <row r="5" spans="1:50" s="62" customFormat="1" ht="12.75" customHeight="1">
      <c r="A5" s="145">
        <v>31</v>
      </c>
      <c r="B5" s="102"/>
      <c r="C5" s="103" t="s">
        <v>42</v>
      </c>
      <c r="D5" s="105"/>
      <c r="E5" s="106"/>
      <c r="F5" s="105"/>
      <c r="G5" s="346">
        <v>806909.6</v>
      </c>
    </row>
    <row r="6" spans="1:50" s="62" customFormat="1" ht="12.75" customHeight="1">
      <c r="A6" s="107" t="s">
        <v>298</v>
      </c>
      <c r="B6" s="108"/>
      <c r="C6" s="109" t="s">
        <v>299</v>
      </c>
      <c r="D6" s="150"/>
      <c r="E6" s="155"/>
      <c r="F6" s="150"/>
      <c r="G6" s="347">
        <v>62521.1</v>
      </c>
    </row>
    <row r="7" spans="1:50" s="62" customFormat="1" ht="12.75" customHeight="1">
      <c r="A7" s="107" t="s">
        <v>415</v>
      </c>
      <c r="B7" s="108"/>
      <c r="C7" s="109" t="s">
        <v>414</v>
      </c>
      <c r="D7" s="150"/>
      <c r="E7" s="155"/>
      <c r="F7" s="150"/>
      <c r="G7" s="347">
        <v>80016.5</v>
      </c>
    </row>
    <row r="8" spans="1:50" s="62" customFormat="1" ht="12.75" customHeight="1">
      <c r="A8" s="145">
        <v>330</v>
      </c>
      <c r="B8" s="102"/>
      <c r="C8" s="103" t="s">
        <v>300</v>
      </c>
      <c r="D8" s="105"/>
      <c r="E8" s="113"/>
      <c r="F8" s="105"/>
      <c r="G8" s="348">
        <v>167815</v>
      </c>
    </row>
    <row r="9" spans="1:50" s="62" customFormat="1" ht="12.75" customHeight="1">
      <c r="A9" s="145">
        <v>332</v>
      </c>
      <c r="B9" s="102"/>
      <c r="C9" s="103" t="s">
        <v>301</v>
      </c>
      <c r="D9" s="105"/>
      <c r="E9" s="113"/>
      <c r="F9" s="105"/>
      <c r="G9" s="348">
        <v>0</v>
      </c>
    </row>
    <row r="10" spans="1:50" s="62" customFormat="1" ht="12.75" customHeight="1">
      <c r="A10" s="145">
        <v>339</v>
      </c>
      <c r="B10" s="102"/>
      <c r="C10" s="103" t="s">
        <v>302</v>
      </c>
      <c r="D10" s="105"/>
      <c r="E10" s="113"/>
      <c r="F10" s="105"/>
      <c r="G10" s="348">
        <v>0</v>
      </c>
    </row>
    <row r="11" spans="1:50" s="203" customFormat="1" ht="28.25" customHeight="1">
      <c r="A11" s="114">
        <v>350</v>
      </c>
      <c r="B11" s="216"/>
      <c r="C11" s="116" t="s">
        <v>303</v>
      </c>
      <c r="D11" s="117"/>
      <c r="E11" s="249"/>
      <c r="F11" s="117"/>
      <c r="G11" s="363">
        <v>14971.9</v>
      </c>
    </row>
    <row r="12" spans="1:50" s="63" customFormat="1" ht="28">
      <c r="A12" s="114">
        <v>351</v>
      </c>
      <c r="B12" s="115"/>
      <c r="C12" s="116" t="s">
        <v>304</v>
      </c>
      <c r="D12" s="119"/>
      <c r="E12" s="296"/>
      <c r="F12" s="119"/>
      <c r="G12" s="349">
        <v>31861.5</v>
      </c>
    </row>
    <row r="13" spans="1:50" s="62" customFormat="1" ht="12.75" customHeight="1">
      <c r="A13" s="145">
        <v>36</v>
      </c>
      <c r="B13" s="102"/>
      <c r="C13" s="103" t="s">
        <v>43</v>
      </c>
      <c r="D13" s="150"/>
      <c r="E13" s="113"/>
      <c r="F13" s="150"/>
      <c r="G13" s="348">
        <v>4946831.8</v>
      </c>
    </row>
    <row r="14" spans="1:50" s="62" customFormat="1" ht="12.75" customHeight="1">
      <c r="A14" s="121" t="s">
        <v>177</v>
      </c>
      <c r="B14" s="102"/>
      <c r="C14" s="122" t="s">
        <v>179</v>
      </c>
      <c r="D14" s="150"/>
      <c r="E14" s="113"/>
      <c r="F14" s="150"/>
      <c r="G14" s="348">
        <v>1079519.7</v>
      </c>
    </row>
    <row r="15" spans="1:50" s="62" customFormat="1" ht="12.75" customHeight="1">
      <c r="A15" s="121" t="s">
        <v>178</v>
      </c>
      <c r="B15" s="102"/>
      <c r="C15" s="122" t="s">
        <v>180</v>
      </c>
      <c r="D15" s="150"/>
      <c r="E15" s="113"/>
      <c r="F15" s="150"/>
      <c r="G15" s="348">
        <v>315661.3</v>
      </c>
    </row>
    <row r="16" spans="1:50" s="64" customFormat="1" ht="26.25" customHeight="1">
      <c r="A16" s="121" t="s">
        <v>147</v>
      </c>
      <c r="B16" s="123"/>
      <c r="C16" s="122" t="s">
        <v>149</v>
      </c>
      <c r="D16" s="125"/>
      <c r="E16" s="127"/>
      <c r="F16" s="125"/>
      <c r="G16" s="350">
        <v>32877.199999999997</v>
      </c>
    </row>
    <row r="17" spans="1:7" s="65" customFormat="1">
      <c r="A17" s="145">
        <v>37</v>
      </c>
      <c r="B17" s="102"/>
      <c r="C17" s="103" t="s">
        <v>44</v>
      </c>
      <c r="D17" s="128"/>
      <c r="E17" s="157"/>
      <c r="F17" s="128"/>
      <c r="G17" s="351">
        <v>460576.4</v>
      </c>
    </row>
    <row r="18" spans="1:7" s="65" customFormat="1">
      <c r="A18" s="112" t="s">
        <v>200</v>
      </c>
      <c r="B18" s="108"/>
      <c r="C18" s="109" t="s">
        <v>201</v>
      </c>
      <c r="D18" s="129"/>
      <c r="E18" s="157"/>
      <c r="F18" s="129"/>
      <c r="G18" s="351">
        <v>128500</v>
      </c>
    </row>
    <row r="19" spans="1:7" s="65" customFormat="1">
      <c r="A19" s="112" t="s">
        <v>216</v>
      </c>
      <c r="B19" s="108"/>
      <c r="C19" s="109" t="s">
        <v>202</v>
      </c>
      <c r="D19" s="129"/>
      <c r="E19" s="157"/>
      <c r="F19" s="129"/>
      <c r="G19" s="351">
        <v>5230</v>
      </c>
    </row>
    <row r="20" spans="1:7" s="62" customFormat="1" ht="12.75" customHeight="1">
      <c r="A20" s="222">
        <v>39</v>
      </c>
      <c r="B20" s="132"/>
      <c r="C20" s="133" t="s">
        <v>45</v>
      </c>
      <c r="D20" s="135"/>
      <c r="E20" s="159"/>
      <c r="F20" s="135"/>
      <c r="G20" s="352">
        <v>7032.8</v>
      </c>
    </row>
    <row r="21" spans="1:7" ht="12.75" customHeight="1">
      <c r="A21" s="223"/>
      <c r="B21" s="7"/>
      <c r="C21" s="8" t="s">
        <v>478</v>
      </c>
      <c r="D21" s="15">
        <f t="shared" ref="D21:E21" si="0">D4+D5+SUM(D8:D13)+D17</f>
        <v>0</v>
      </c>
      <c r="E21" s="15">
        <f t="shared" si="0"/>
        <v>0</v>
      </c>
      <c r="F21" s="15">
        <f t="shared" ref="F21:G21" si="1">F4+F5+SUM(F8:F13)+F17</f>
        <v>0</v>
      </c>
      <c r="G21" s="15">
        <f t="shared" si="1"/>
        <v>8848134.7000000011</v>
      </c>
    </row>
    <row r="22" spans="1:7" s="203" customFormat="1" ht="12.75" customHeight="1">
      <c r="A22" s="114" t="s">
        <v>416</v>
      </c>
      <c r="B22" s="216"/>
      <c r="C22" s="116" t="s">
        <v>305</v>
      </c>
      <c r="D22" s="117"/>
      <c r="E22" s="218"/>
      <c r="F22" s="117"/>
      <c r="G22" s="363">
        <v>4756300</v>
      </c>
    </row>
    <row r="23" spans="1:7" s="203" customFormat="1" ht="14">
      <c r="A23" s="114" t="s">
        <v>417</v>
      </c>
      <c r="B23" s="216"/>
      <c r="C23" s="116" t="s">
        <v>306</v>
      </c>
      <c r="D23" s="117"/>
      <c r="E23" s="218"/>
      <c r="F23" s="117"/>
      <c r="G23" s="363">
        <v>643020</v>
      </c>
    </row>
    <row r="24" spans="1:7" s="67" customFormat="1" ht="12.75" customHeight="1">
      <c r="A24" s="145">
        <v>41</v>
      </c>
      <c r="B24" s="102"/>
      <c r="C24" s="103" t="s">
        <v>46</v>
      </c>
      <c r="D24" s="105"/>
      <c r="E24" s="141"/>
      <c r="F24" s="105"/>
      <c r="G24" s="348">
        <v>97617.600000000006</v>
      </c>
    </row>
    <row r="25" spans="1:7" s="62" customFormat="1" ht="12.75" customHeight="1">
      <c r="A25" s="224">
        <v>42</v>
      </c>
      <c r="B25" s="162"/>
      <c r="C25" s="103" t="s">
        <v>47</v>
      </c>
      <c r="D25" s="105"/>
      <c r="E25" s="141"/>
      <c r="F25" s="105"/>
      <c r="G25" s="348">
        <v>403047.2</v>
      </c>
    </row>
    <row r="26" spans="1:7" s="68" customFormat="1" ht="12.75" customHeight="1">
      <c r="A26" s="114">
        <v>430</v>
      </c>
      <c r="B26" s="102"/>
      <c r="C26" s="103" t="s">
        <v>491</v>
      </c>
      <c r="D26" s="128"/>
      <c r="E26" s="144"/>
      <c r="F26" s="128"/>
      <c r="G26" s="351">
        <v>29791.7</v>
      </c>
    </row>
    <row r="27" spans="1:7" s="68" customFormat="1" ht="12.75" customHeight="1">
      <c r="A27" s="114">
        <v>431</v>
      </c>
      <c r="B27" s="102"/>
      <c r="C27" s="103" t="s">
        <v>419</v>
      </c>
      <c r="D27" s="128"/>
      <c r="E27" s="144"/>
      <c r="F27" s="128"/>
      <c r="G27" s="351">
        <v>0</v>
      </c>
    </row>
    <row r="28" spans="1:7" s="68" customFormat="1" ht="12.75" customHeight="1">
      <c r="A28" s="114">
        <v>432</v>
      </c>
      <c r="B28" s="102"/>
      <c r="C28" s="103" t="s">
        <v>420</v>
      </c>
      <c r="D28" s="128"/>
      <c r="E28" s="144"/>
      <c r="F28" s="128"/>
      <c r="G28" s="351">
        <v>0</v>
      </c>
    </row>
    <row r="29" spans="1:7" s="68" customFormat="1" ht="12.75" customHeight="1">
      <c r="A29" s="114">
        <v>439</v>
      </c>
      <c r="B29" s="102"/>
      <c r="C29" s="103" t="s">
        <v>421</v>
      </c>
      <c r="D29" s="128"/>
      <c r="E29" s="144"/>
      <c r="F29" s="128"/>
      <c r="G29" s="351">
        <v>12125</v>
      </c>
    </row>
    <row r="30" spans="1:7" s="62" customFormat="1" ht="28">
      <c r="A30" s="114">
        <v>450</v>
      </c>
      <c r="B30" s="115"/>
      <c r="C30" s="116" t="s">
        <v>307</v>
      </c>
      <c r="D30" s="104"/>
      <c r="E30" s="106"/>
      <c r="F30" s="104"/>
      <c r="G30" s="346">
        <v>11970.3</v>
      </c>
    </row>
    <row r="31" spans="1:7" s="63" customFormat="1" ht="28">
      <c r="A31" s="114">
        <v>451</v>
      </c>
      <c r="B31" s="115"/>
      <c r="C31" s="116" t="s">
        <v>48</v>
      </c>
      <c r="D31" s="117"/>
      <c r="E31" s="141"/>
      <c r="F31" s="117"/>
      <c r="G31" s="348">
        <v>60751.4</v>
      </c>
    </row>
    <row r="32" spans="1:7" s="69" customFormat="1" ht="12.75" customHeight="1">
      <c r="A32" s="145">
        <v>46</v>
      </c>
      <c r="B32" s="102"/>
      <c r="C32" s="103" t="s">
        <v>49</v>
      </c>
      <c r="D32" s="163"/>
      <c r="E32" s="141"/>
      <c r="F32" s="163"/>
      <c r="G32" s="348">
        <v>2226682.2999999998</v>
      </c>
    </row>
    <row r="33" spans="1:7" s="64" customFormat="1" ht="14">
      <c r="A33" s="121" t="s">
        <v>51</v>
      </c>
      <c r="B33" s="215"/>
      <c r="C33" s="122" t="s">
        <v>50</v>
      </c>
      <c r="D33" s="124"/>
      <c r="E33" s="217"/>
      <c r="F33" s="124"/>
      <c r="G33" s="364">
        <v>0</v>
      </c>
    </row>
    <row r="34" spans="1:7" s="62" customFormat="1" ht="15" customHeight="1">
      <c r="A34" s="145">
        <v>47</v>
      </c>
      <c r="B34" s="102"/>
      <c r="C34" s="103" t="s">
        <v>44</v>
      </c>
      <c r="D34" s="105"/>
      <c r="E34" s="141"/>
      <c r="F34" s="105"/>
      <c r="G34" s="348">
        <v>460576.4</v>
      </c>
    </row>
    <row r="35" spans="1:7" s="62" customFormat="1" ht="15" customHeight="1">
      <c r="A35" s="222">
        <v>49</v>
      </c>
      <c r="B35" s="132"/>
      <c r="C35" s="133" t="s">
        <v>45</v>
      </c>
      <c r="D35" s="135"/>
      <c r="E35" s="147"/>
      <c r="F35" s="135"/>
      <c r="G35" s="352">
        <v>7032.8</v>
      </c>
    </row>
    <row r="36" spans="1:7" s="4" customFormat="1" ht="13.5" customHeight="1">
      <c r="A36" s="223"/>
      <c r="B36" s="10"/>
      <c r="C36" s="8" t="s">
        <v>477</v>
      </c>
      <c r="D36" s="15">
        <f>D22+D23+D24+D25+D26+D27+D28+D29+D30+D31+D32+D34</f>
        <v>0</v>
      </c>
      <c r="E36" s="15">
        <f>E22+E23+E24+E25+E26+E27+E28+E29+E30+E31+E32+E34</f>
        <v>0</v>
      </c>
      <c r="F36" s="15">
        <f>F22+F23+F24+F25+F26+F27+F28+F29+F30+F31+F32+F34</f>
        <v>0</v>
      </c>
      <c r="G36" s="15">
        <f>G22+G23+G24+G25+G26+G27+G28+G29+G30+G31+G32+G34</f>
        <v>8701881.9000000004</v>
      </c>
    </row>
    <row r="37" spans="1:7" s="5" customFormat="1" ht="15" customHeight="1">
      <c r="A37" s="223"/>
      <c r="B37" s="10"/>
      <c r="C37" s="8" t="s">
        <v>52</v>
      </c>
      <c r="D37" s="16">
        <f t="shared" ref="D37:E37" si="2">D36-D21</f>
        <v>0</v>
      </c>
      <c r="E37" s="16">
        <f t="shared" si="2"/>
        <v>0</v>
      </c>
      <c r="F37" s="16">
        <f t="shared" ref="F37:G37" si="3">F36-F21</f>
        <v>0</v>
      </c>
      <c r="G37" s="16">
        <f t="shared" si="3"/>
        <v>-146252.80000000075</v>
      </c>
    </row>
    <row r="38" spans="1:7" s="63" customFormat="1" ht="15" customHeight="1">
      <c r="A38" s="145">
        <v>340</v>
      </c>
      <c r="B38" s="102"/>
      <c r="C38" s="103" t="s">
        <v>101</v>
      </c>
      <c r="D38" s="105"/>
      <c r="E38" s="141"/>
      <c r="F38" s="105"/>
      <c r="G38" s="348">
        <v>63455.1</v>
      </c>
    </row>
    <row r="39" spans="1:7" s="63" customFormat="1" ht="15" customHeight="1">
      <c r="A39" s="145">
        <v>341</v>
      </c>
      <c r="B39" s="102"/>
      <c r="C39" s="103" t="s">
        <v>308</v>
      </c>
      <c r="D39" s="105"/>
      <c r="E39" s="141"/>
      <c r="F39" s="105"/>
      <c r="G39" s="348">
        <v>-0.5</v>
      </c>
    </row>
    <row r="40" spans="1:7" s="64" customFormat="1" ht="15" customHeight="1">
      <c r="A40" s="114">
        <v>342</v>
      </c>
      <c r="B40" s="216"/>
      <c r="C40" s="116" t="s">
        <v>309</v>
      </c>
      <c r="D40" s="117"/>
      <c r="E40" s="218"/>
      <c r="F40" s="117"/>
      <c r="G40" s="363">
        <v>5000</v>
      </c>
    </row>
    <row r="41" spans="1:7" s="63" customFormat="1" ht="15" customHeight="1">
      <c r="A41" s="145">
        <v>343</v>
      </c>
      <c r="B41" s="102"/>
      <c r="C41" s="103" t="s">
        <v>310</v>
      </c>
      <c r="D41" s="105"/>
      <c r="E41" s="141"/>
      <c r="F41" s="105"/>
      <c r="G41" s="348">
        <v>0</v>
      </c>
    </row>
    <row r="42" spans="1:7" s="64" customFormat="1" ht="15" customHeight="1">
      <c r="A42" s="114">
        <v>344</v>
      </c>
      <c r="B42" s="216"/>
      <c r="C42" s="116" t="s">
        <v>311</v>
      </c>
      <c r="D42" s="117"/>
      <c r="E42" s="218"/>
      <c r="F42" s="117"/>
      <c r="G42" s="363">
        <v>0.8</v>
      </c>
    </row>
    <row r="43" spans="1:7" s="63" customFormat="1" ht="15" customHeight="1">
      <c r="A43" s="145">
        <v>349</v>
      </c>
      <c r="B43" s="102"/>
      <c r="C43" s="103" t="s">
        <v>312</v>
      </c>
      <c r="D43" s="105"/>
      <c r="E43" s="141"/>
      <c r="F43" s="105"/>
      <c r="G43" s="348">
        <v>0</v>
      </c>
    </row>
    <row r="44" spans="1:7" s="62" customFormat="1" ht="15" customHeight="1">
      <c r="A44" s="145">
        <v>440</v>
      </c>
      <c r="B44" s="102"/>
      <c r="C44" s="103" t="s">
        <v>102</v>
      </c>
      <c r="D44" s="105"/>
      <c r="E44" s="141"/>
      <c r="F44" s="105"/>
      <c r="G44" s="348">
        <v>35883.699999999997</v>
      </c>
    </row>
    <row r="45" spans="1:7" s="203" customFormat="1" ht="15" customHeight="1">
      <c r="A45" s="114">
        <v>441</v>
      </c>
      <c r="B45" s="216"/>
      <c r="C45" s="116" t="s">
        <v>103</v>
      </c>
      <c r="D45" s="117"/>
      <c r="E45" s="139"/>
      <c r="F45" s="117"/>
      <c r="G45" s="365">
        <v>0</v>
      </c>
    </row>
    <row r="46" spans="1:7" s="203" customFormat="1" ht="15" customHeight="1">
      <c r="A46" s="114">
        <v>442</v>
      </c>
      <c r="B46" s="216"/>
      <c r="C46" s="116" t="s">
        <v>104</v>
      </c>
      <c r="D46" s="117"/>
      <c r="E46" s="218"/>
      <c r="F46" s="117"/>
      <c r="G46" s="363">
        <v>31875.5</v>
      </c>
    </row>
    <row r="47" spans="1:7" s="62" customFormat="1" ht="15" customHeight="1">
      <c r="A47" s="145">
        <v>443</v>
      </c>
      <c r="B47" s="102"/>
      <c r="C47" s="103" t="s">
        <v>105</v>
      </c>
      <c r="D47" s="105"/>
      <c r="E47" s="172"/>
      <c r="F47" s="105"/>
      <c r="G47" s="366">
        <v>11034</v>
      </c>
    </row>
    <row r="48" spans="1:7" s="62" customFormat="1" ht="15" customHeight="1">
      <c r="A48" s="145">
        <v>444</v>
      </c>
      <c r="B48" s="102"/>
      <c r="C48" s="103" t="s">
        <v>106</v>
      </c>
      <c r="D48" s="105"/>
      <c r="E48" s="172"/>
      <c r="F48" s="105"/>
      <c r="G48" s="366">
        <v>0</v>
      </c>
    </row>
    <row r="49" spans="1:7" s="62" customFormat="1" ht="15" customHeight="1">
      <c r="A49" s="145">
        <v>445</v>
      </c>
      <c r="B49" s="102"/>
      <c r="C49" s="103" t="s">
        <v>107</v>
      </c>
      <c r="D49" s="105"/>
      <c r="E49" s="141"/>
      <c r="F49" s="105"/>
      <c r="G49" s="348">
        <v>119686</v>
      </c>
    </row>
    <row r="50" spans="1:7" s="62" customFormat="1" ht="15" customHeight="1">
      <c r="A50" s="145">
        <v>446</v>
      </c>
      <c r="B50" s="102"/>
      <c r="C50" s="103" t="s">
        <v>313</v>
      </c>
      <c r="D50" s="105"/>
      <c r="E50" s="141"/>
      <c r="F50" s="105"/>
      <c r="G50" s="348">
        <v>51</v>
      </c>
    </row>
    <row r="51" spans="1:7" s="203" customFormat="1" ht="15" customHeight="1">
      <c r="A51" s="114">
        <v>447</v>
      </c>
      <c r="B51" s="216"/>
      <c r="C51" s="116" t="s">
        <v>314</v>
      </c>
      <c r="D51" s="117"/>
      <c r="E51" s="218"/>
      <c r="F51" s="117"/>
      <c r="G51" s="363">
        <v>40077.300000000003</v>
      </c>
    </row>
    <row r="52" spans="1:7" s="62" customFormat="1" ht="15" customHeight="1">
      <c r="A52" s="145">
        <v>448</v>
      </c>
      <c r="B52" s="102"/>
      <c r="C52" s="103" t="s">
        <v>108</v>
      </c>
      <c r="D52" s="105"/>
      <c r="E52" s="172"/>
      <c r="F52" s="105"/>
      <c r="G52" s="366">
        <v>190</v>
      </c>
    </row>
    <row r="53" spans="1:7" s="203" customFormat="1" ht="15" customHeight="1">
      <c r="A53" s="114">
        <v>449</v>
      </c>
      <c r="B53" s="216"/>
      <c r="C53" s="116" t="s">
        <v>194</v>
      </c>
      <c r="D53" s="117"/>
      <c r="E53" s="139"/>
      <c r="F53" s="117"/>
      <c r="G53" s="365">
        <v>0</v>
      </c>
    </row>
    <row r="54" spans="1:7" s="63" customFormat="1" ht="13.5" customHeight="1">
      <c r="A54" s="166" t="s">
        <v>54</v>
      </c>
      <c r="B54" s="167"/>
      <c r="C54" s="167" t="s">
        <v>53</v>
      </c>
      <c r="D54" s="169"/>
      <c r="E54" s="173"/>
      <c r="F54" s="169"/>
      <c r="G54" s="367">
        <v>0</v>
      </c>
    </row>
    <row r="55" spans="1:7" ht="15" customHeight="1">
      <c r="A55" s="225"/>
      <c r="B55" s="10"/>
      <c r="C55" s="8" t="s">
        <v>55</v>
      </c>
      <c r="D55" s="15">
        <f t="shared" ref="D55:E55" si="4">SUM(D44:D53)-SUM(D38:D43)</f>
        <v>0</v>
      </c>
      <c r="E55" s="15">
        <f t="shared" si="4"/>
        <v>0</v>
      </c>
      <c r="F55" s="15">
        <f t="shared" ref="F55:G55" si="5">SUM(F44:F53)-SUM(F38:F43)</f>
        <v>0</v>
      </c>
      <c r="G55" s="15">
        <f t="shared" si="5"/>
        <v>170342.09999999998</v>
      </c>
    </row>
    <row r="56" spans="1:7" ht="14.25" customHeight="1">
      <c r="A56" s="225"/>
      <c r="B56" s="10"/>
      <c r="C56" s="8" t="s">
        <v>56</v>
      </c>
      <c r="D56" s="15">
        <f t="shared" ref="D56:E56" si="6">D55+D37</f>
        <v>0</v>
      </c>
      <c r="E56" s="15">
        <f t="shared" si="6"/>
        <v>0</v>
      </c>
      <c r="F56" s="15">
        <f t="shared" ref="F56:G56" si="7">F55+F37</f>
        <v>0</v>
      </c>
      <c r="G56" s="15">
        <f t="shared" si="7"/>
        <v>24089.299999999232</v>
      </c>
    </row>
    <row r="57" spans="1:7" s="62" customFormat="1" ht="15.75" customHeight="1">
      <c r="A57" s="293">
        <v>380</v>
      </c>
      <c r="B57" s="286"/>
      <c r="C57" s="287" t="s">
        <v>486</v>
      </c>
      <c r="D57" s="288"/>
      <c r="E57" s="291"/>
      <c r="F57" s="288"/>
      <c r="G57" s="368">
        <v>0</v>
      </c>
    </row>
    <row r="58" spans="1:7" s="62" customFormat="1" ht="15.75" customHeight="1">
      <c r="A58" s="293">
        <v>381</v>
      </c>
      <c r="B58" s="286"/>
      <c r="C58" s="287" t="s">
        <v>487</v>
      </c>
      <c r="D58" s="288"/>
      <c r="E58" s="291"/>
      <c r="F58" s="288"/>
      <c r="G58" s="368">
        <v>0</v>
      </c>
    </row>
    <row r="59" spans="1:7" s="63" customFormat="1" ht="27.5" customHeight="1">
      <c r="A59" s="114">
        <v>383</v>
      </c>
      <c r="B59" s="115"/>
      <c r="C59" s="116" t="s">
        <v>59</v>
      </c>
      <c r="D59" s="270"/>
      <c r="E59" s="165"/>
      <c r="F59" s="270"/>
      <c r="G59" s="355">
        <v>0</v>
      </c>
    </row>
    <row r="60" spans="1:7" s="63" customFormat="1" ht="14">
      <c r="A60" s="114">
        <v>3840</v>
      </c>
      <c r="B60" s="115"/>
      <c r="C60" s="116" t="s">
        <v>315</v>
      </c>
      <c r="D60" s="118"/>
      <c r="E60" s="149"/>
      <c r="F60" s="118"/>
      <c r="G60" s="349">
        <v>0</v>
      </c>
    </row>
    <row r="61" spans="1:7" s="63" customFormat="1" ht="26.5" customHeight="1">
      <c r="A61" s="114">
        <v>3841</v>
      </c>
      <c r="B61" s="115"/>
      <c r="C61" s="116" t="s">
        <v>316</v>
      </c>
      <c r="D61" s="118"/>
      <c r="E61" s="149"/>
      <c r="F61" s="118"/>
      <c r="G61" s="349">
        <v>0</v>
      </c>
    </row>
    <row r="62" spans="1:7" s="63" customFormat="1" ht="14">
      <c r="A62" s="177">
        <v>386</v>
      </c>
      <c r="B62" s="178"/>
      <c r="C62" s="179" t="s">
        <v>317</v>
      </c>
      <c r="D62" s="118"/>
      <c r="E62" s="149"/>
      <c r="F62" s="118"/>
      <c r="G62" s="349">
        <v>0</v>
      </c>
    </row>
    <row r="63" spans="1:7" s="63" customFormat="1" ht="27.5" customHeight="1">
      <c r="A63" s="114">
        <v>387</v>
      </c>
      <c r="B63" s="115"/>
      <c r="C63" s="116" t="s">
        <v>60</v>
      </c>
      <c r="D63" s="118"/>
      <c r="E63" s="149"/>
      <c r="F63" s="118"/>
      <c r="G63" s="349">
        <v>0</v>
      </c>
    </row>
    <row r="64" spans="1:7" s="63" customFormat="1">
      <c r="A64" s="145">
        <v>389</v>
      </c>
      <c r="B64" s="294"/>
      <c r="C64" s="103" t="s">
        <v>61</v>
      </c>
      <c r="D64" s="105"/>
      <c r="E64" s="141"/>
      <c r="F64" s="105"/>
      <c r="G64" s="348">
        <v>0</v>
      </c>
    </row>
    <row r="65" spans="1:7" s="203" customFormat="1" ht="14">
      <c r="A65" s="114" t="s">
        <v>471</v>
      </c>
      <c r="B65" s="216"/>
      <c r="C65" s="116" t="s">
        <v>318</v>
      </c>
      <c r="D65" s="117"/>
      <c r="E65" s="218"/>
      <c r="F65" s="117"/>
      <c r="G65" s="363">
        <v>0</v>
      </c>
    </row>
    <row r="66" spans="1:7" s="95" customFormat="1" ht="28">
      <c r="A66" s="114" t="s">
        <v>472</v>
      </c>
      <c r="B66" s="111"/>
      <c r="C66" s="116" t="s">
        <v>319</v>
      </c>
      <c r="D66" s="270"/>
      <c r="E66" s="165"/>
      <c r="F66" s="270"/>
      <c r="G66" s="355">
        <v>0</v>
      </c>
    </row>
    <row r="67" spans="1:7" s="62" customFormat="1">
      <c r="A67" s="114">
        <v>481</v>
      </c>
      <c r="B67" s="102"/>
      <c r="C67" s="103" t="s">
        <v>320</v>
      </c>
      <c r="D67" s="105"/>
      <c r="E67" s="141"/>
      <c r="F67" s="105"/>
      <c r="G67" s="348">
        <v>0</v>
      </c>
    </row>
    <row r="68" spans="1:7" s="62" customFormat="1">
      <c r="A68" s="114">
        <v>482</v>
      </c>
      <c r="B68" s="102"/>
      <c r="C68" s="103" t="s">
        <v>321</v>
      </c>
      <c r="D68" s="105"/>
      <c r="E68" s="141"/>
      <c r="F68" s="105"/>
      <c r="G68" s="348">
        <v>0</v>
      </c>
    </row>
    <row r="69" spans="1:7" s="62" customFormat="1">
      <c r="A69" s="114">
        <v>483</v>
      </c>
      <c r="B69" s="102"/>
      <c r="C69" s="103" t="s">
        <v>322</v>
      </c>
      <c r="D69" s="105"/>
      <c r="E69" s="141"/>
      <c r="F69" s="105"/>
      <c r="G69" s="348">
        <v>0</v>
      </c>
    </row>
    <row r="70" spans="1:7" s="62" customFormat="1">
      <c r="A70" s="114">
        <v>484</v>
      </c>
      <c r="B70" s="102"/>
      <c r="C70" s="103" t="s">
        <v>323</v>
      </c>
      <c r="D70" s="105"/>
      <c r="E70" s="141"/>
      <c r="F70" s="105"/>
      <c r="G70" s="348">
        <v>0</v>
      </c>
    </row>
    <row r="71" spans="1:7" s="203" customFormat="1" ht="28">
      <c r="A71" s="114">
        <v>485</v>
      </c>
      <c r="B71" s="216"/>
      <c r="C71" s="116" t="s">
        <v>324</v>
      </c>
      <c r="D71" s="117"/>
      <c r="E71" s="218"/>
      <c r="F71" s="117"/>
      <c r="G71" s="363">
        <v>0</v>
      </c>
    </row>
    <row r="72" spans="1:7" s="62" customFormat="1">
      <c r="A72" s="114">
        <v>486</v>
      </c>
      <c r="B72" s="102"/>
      <c r="C72" s="103" t="s">
        <v>325</v>
      </c>
      <c r="D72" s="105"/>
      <c r="E72" s="141"/>
      <c r="F72" s="105"/>
      <c r="G72" s="348">
        <v>0</v>
      </c>
    </row>
    <row r="73" spans="1:7" s="64" customFormat="1" ht="28">
      <c r="A73" s="114">
        <v>487</v>
      </c>
      <c r="B73" s="215"/>
      <c r="C73" s="116" t="s">
        <v>62</v>
      </c>
      <c r="D73" s="117"/>
      <c r="E73" s="218"/>
      <c r="F73" s="117"/>
      <c r="G73" s="363">
        <v>0</v>
      </c>
    </row>
    <row r="74" spans="1:7" s="63" customFormat="1" ht="15" customHeight="1">
      <c r="A74" s="114">
        <v>489</v>
      </c>
      <c r="B74" s="182"/>
      <c r="C74" s="133" t="s">
        <v>63</v>
      </c>
      <c r="D74" s="117"/>
      <c r="E74" s="218"/>
      <c r="F74" s="117"/>
      <c r="G74" s="363">
        <v>0</v>
      </c>
    </row>
    <row r="75" spans="1:7" s="63" customFormat="1">
      <c r="A75" s="181" t="s">
        <v>383</v>
      </c>
      <c r="B75" s="182"/>
      <c r="C75" s="167" t="s">
        <v>384</v>
      </c>
      <c r="D75" s="105"/>
      <c r="E75" s="141"/>
      <c r="F75" s="105"/>
      <c r="G75" s="348">
        <v>0</v>
      </c>
    </row>
    <row r="76" spans="1:7">
      <c r="A76" s="223"/>
      <c r="B76" s="7"/>
      <c r="C76" s="8" t="s">
        <v>65</v>
      </c>
      <c r="D76" s="15">
        <f t="shared" ref="D76:E76" si="8">SUM(D65:D74)-SUM(D57:D64)</f>
        <v>0</v>
      </c>
      <c r="E76" s="15">
        <f t="shared" si="8"/>
        <v>0</v>
      </c>
      <c r="F76" s="15">
        <f t="shared" ref="F76:G76" si="9">SUM(F65:F74)-SUM(F57:F64)</f>
        <v>0</v>
      </c>
      <c r="G76" s="15">
        <f t="shared" si="9"/>
        <v>0</v>
      </c>
    </row>
    <row r="77" spans="1:7">
      <c r="A77" s="226"/>
      <c r="B77" s="9"/>
      <c r="C77" s="8" t="s">
        <v>66</v>
      </c>
      <c r="D77" s="15">
        <f t="shared" ref="D77:E77" si="10">D56+D76</f>
        <v>0</v>
      </c>
      <c r="E77" s="15">
        <f t="shared" si="10"/>
        <v>0</v>
      </c>
      <c r="F77" s="15">
        <f t="shared" ref="F77:G77" si="11">F56+F76</f>
        <v>0</v>
      </c>
      <c r="G77" s="15">
        <f t="shared" si="11"/>
        <v>24089.299999999232</v>
      </c>
    </row>
    <row r="78" spans="1:7">
      <c r="A78" s="227">
        <v>3</v>
      </c>
      <c r="B78" s="35"/>
      <c r="C78" s="36" t="s">
        <v>479</v>
      </c>
      <c r="D78" s="37">
        <f t="shared" ref="D78:E78" si="12">D20+D21+SUM(D38:D43)+SUM(D57:D64)</f>
        <v>0</v>
      </c>
      <c r="E78" s="37">
        <f t="shared" si="12"/>
        <v>0</v>
      </c>
      <c r="F78" s="37">
        <f t="shared" ref="F78:G78" si="13">F20+F21+SUM(F38:F43)+SUM(F57:F64)</f>
        <v>0</v>
      </c>
      <c r="G78" s="37">
        <f t="shared" si="13"/>
        <v>8923622.9000000022</v>
      </c>
    </row>
    <row r="79" spans="1:7">
      <c r="A79" s="227">
        <v>4</v>
      </c>
      <c r="B79" s="35"/>
      <c r="C79" s="36" t="s">
        <v>480</v>
      </c>
      <c r="D79" s="37">
        <f t="shared" ref="D79:E79" si="14">D35+D36+SUM(D44:D53)+SUM(D65:D74)</f>
        <v>0</v>
      </c>
      <c r="E79" s="37">
        <f t="shared" si="14"/>
        <v>0</v>
      </c>
      <c r="F79" s="37">
        <f t="shared" ref="F79:G79" si="15">F35+F36+SUM(F44:F53)+SUM(F65:F74)</f>
        <v>0</v>
      </c>
      <c r="G79" s="37">
        <f t="shared" si="15"/>
        <v>8947712.2000000011</v>
      </c>
    </row>
    <row r="80" spans="1:7">
      <c r="C80" s="11"/>
      <c r="D80" s="17"/>
      <c r="E80" s="86"/>
      <c r="F80" s="17"/>
      <c r="G80" s="86"/>
    </row>
    <row r="81" spans="1:7">
      <c r="A81" s="801" t="s">
        <v>67</v>
      </c>
      <c r="B81" s="799"/>
      <c r="C81" s="799"/>
      <c r="D81" s="88"/>
      <c r="E81" s="88"/>
      <c r="F81" s="88"/>
      <c r="G81" s="88"/>
    </row>
    <row r="82" spans="1:7" s="62" customFormat="1">
      <c r="A82" s="186">
        <v>50</v>
      </c>
      <c r="B82" s="187"/>
      <c r="C82" s="187" t="s">
        <v>326</v>
      </c>
      <c r="D82" s="105"/>
      <c r="E82" s="141"/>
      <c r="F82" s="105"/>
      <c r="G82" s="348">
        <v>388763</v>
      </c>
    </row>
    <row r="83" spans="1:7" s="62" customFormat="1">
      <c r="A83" s="186">
        <v>51</v>
      </c>
      <c r="B83" s="187"/>
      <c r="C83" s="187" t="s">
        <v>327</v>
      </c>
      <c r="D83" s="105"/>
      <c r="E83" s="141"/>
      <c r="F83" s="105"/>
      <c r="G83" s="141"/>
    </row>
    <row r="84" spans="1:7" s="62" customFormat="1">
      <c r="A84" s="186">
        <v>52</v>
      </c>
      <c r="B84" s="187"/>
      <c r="C84" s="187" t="s">
        <v>328</v>
      </c>
      <c r="D84" s="105"/>
      <c r="E84" s="141"/>
      <c r="F84" s="105"/>
      <c r="G84" s="141"/>
    </row>
    <row r="85" spans="1:7" s="62" customFormat="1">
      <c r="A85" s="188">
        <v>54</v>
      </c>
      <c r="B85" s="189"/>
      <c r="C85" s="189" t="s">
        <v>142</v>
      </c>
      <c r="D85" s="150"/>
      <c r="E85" s="141"/>
      <c r="F85" s="150"/>
      <c r="G85" s="141"/>
    </row>
    <row r="86" spans="1:7" s="62" customFormat="1">
      <c r="A86" s="188">
        <v>55</v>
      </c>
      <c r="B86" s="189"/>
      <c r="C86" s="189" t="s">
        <v>182</v>
      </c>
      <c r="D86" s="150"/>
      <c r="E86" s="141"/>
      <c r="F86" s="150"/>
      <c r="G86" s="141"/>
    </row>
    <row r="87" spans="1:7" s="62" customFormat="1">
      <c r="A87" s="188">
        <v>56</v>
      </c>
      <c r="B87" s="189"/>
      <c r="C87" s="189" t="s">
        <v>329</v>
      </c>
      <c r="D87" s="150"/>
      <c r="E87" s="141"/>
      <c r="F87" s="150"/>
      <c r="G87" s="141"/>
    </row>
    <row r="88" spans="1:7" s="62" customFormat="1">
      <c r="A88" s="186">
        <v>57</v>
      </c>
      <c r="B88" s="187"/>
      <c r="C88" s="187" t="s">
        <v>152</v>
      </c>
      <c r="D88" s="105"/>
      <c r="E88" s="141"/>
      <c r="F88" s="105"/>
      <c r="G88" s="141"/>
    </row>
    <row r="89" spans="1:7" s="203" customFormat="1" ht="28">
      <c r="A89" s="192">
        <v>580</v>
      </c>
      <c r="B89" s="193"/>
      <c r="C89" s="193" t="s">
        <v>330</v>
      </c>
      <c r="D89" s="117"/>
      <c r="E89" s="218"/>
      <c r="F89" s="117"/>
      <c r="G89" s="218"/>
    </row>
    <row r="90" spans="1:7" s="203" customFormat="1" ht="28">
      <c r="A90" s="192">
        <v>582</v>
      </c>
      <c r="B90" s="193"/>
      <c r="C90" s="193" t="s">
        <v>331</v>
      </c>
      <c r="D90" s="117"/>
      <c r="E90" s="218"/>
      <c r="F90" s="117"/>
      <c r="G90" s="218"/>
    </row>
    <row r="91" spans="1:7" s="62" customFormat="1">
      <c r="A91" s="186">
        <v>584</v>
      </c>
      <c r="B91" s="187"/>
      <c r="C91" s="187" t="s">
        <v>332</v>
      </c>
      <c r="D91" s="105"/>
      <c r="E91" s="141"/>
      <c r="F91" s="105"/>
      <c r="G91" s="141"/>
    </row>
    <row r="92" spans="1:7" s="203" customFormat="1" ht="28">
      <c r="A92" s="192">
        <v>585</v>
      </c>
      <c r="B92" s="193"/>
      <c r="C92" s="193" t="s">
        <v>333</v>
      </c>
      <c r="D92" s="117"/>
      <c r="E92" s="218"/>
      <c r="F92" s="117"/>
      <c r="G92" s="218"/>
    </row>
    <row r="93" spans="1:7" s="62" customFormat="1">
      <c r="A93" s="186">
        <v>586</v>
      </c>
      <c r="B93" s="187"/>
      <c r="C93" s="187" t="s">
        <v>334</v>
      </c>
      <c r="D93" s="105"/>
      <c r="E93" s="141"/>
      <c r="F93" s="105"/>
      <c r="G93" s="141"/>
    </row>
    <row r="94" spans="1:7" s="62" customFormat="1">
      <c r="A94" s="190">
        <v>589</v>
      </c>
      <c r="B94" s="191"/>
      <c r="C94" s="191" t="s">
        <v>335</v>
      </c>
      <c r="D94" s="135"/>
      <c r="E94" s="147"/>
      <c r="F94" s="135"/>
      <c r="G94" s="147"/>
    </row>
    <row r="95" spans="1:7">
      <c r="A95" s="41">
        <v>5</v>
      </c>
      <c r="B95" s="32"/>
      <c r="C95" s="32" t="s">
        <v>135</v>
      </c>
      <c r="D95" s="33">
        <f t="shared" ref="D95:E95" si="16">SUM(D82:D94)</f>
        <v>0</v>
      </c>
      <c r="E95" s="33">
        <f t="shared" si="16"/>
        <v>0</v>
      </c>
      <c r="F95" s="33">
        <f t="shared" ref="F95:G95" si="17">SUM(F82:F94)</f>
        <v>0</v>
      </c>
      <c r="G95" s="33">
        <f t="shared" si="17"/>
        <v>388763</v>
      </c>
    </row>
    <row r="96" spans="1:7" s="203" customFormat="1" ht="14">
      <c r="A96" s="192">
        <v>60</v>
      </c>
      <c r="B96" s="193"/>
      <c r="C96" s="193" t="s">
        <v>336</v>
      </c>
      <c r="D96" s="117"/>
      <c r="E96" s="218"/>
      <c r="F96" s="117"/>
      <c r="G96" s="363">
        <v>19543</v>
      </c>
    </row>
    <row r="97" spans="1:7" s="203" customFormat="1" ht="14">
      <c r="A97" s="192">
        <v>61</v>
      </c>
      <c r="B97" s="193"/>
      <c r="C97" s="193" t="s">
        <v>337</v>
      </c>
      <c r="D97" s="117"/>
      <c r="E97" s="218"/>
      <c r="F97" s="117"/>
      <c r="G97" s="218"/>
    </row>
    <row r="98" spans="1:7" s="62" customFormat="1">
      <c r="A98" s="186">
        <v>62</v>
      </c>
      <c r="B98" s="187"/>
      <c r="C98" s="187" t="s">
        <v>338</v>
      </c>
      <c r="D98" s="105"/>
      <c r="E98" s="141"/>
      <c r="F98" s="105"/>
      <c r="G98" s="141"/>
    </row>
    <row r="99" spans="1:7" s="62" customFormat="1">
      <c r="A99" s="186">
        <v>63</v>
      </c>
      <c r="B99" s="187"/>
      <c r="C99" s="187" t="s">
        <v>339</v>
      </c>
      <c r="D99" s="105"/>
      <c r="E99" s="141"/>
      <c r="F99" s="105"/>
      <c r="G99" s="141"/>
    </row>
    <row r="100" spans="1:7" s="62" customFormat="1">
      <c r="A100" s="186">
        <v>64</v>
      </c>
      <c r="B100" s="187"/>
      <c r="C100" s="187" t="s">
        <v>183</v>
      </c>
      <c r="D100" s="105"/>
      <c r="E100" s="141"/>
      <c r="F100" s="105"/>
      <c r="G100" s="141"/>
    </row>
    <row r="101" spans="1:7" s="62" customFormat="1">
      <c r="A101" s="186">
        <v>65</v>
      </c>
      <c r="B101" s="187"/>
      <c r="C101" s="187" t="s">
        <v>184</v>
      </c>
      <c r="D101" s="105"/>
      <c r="E101" s="141"/>
      <c r="F101" s="105"/>
      <c r="G101" s="141"/>
    </row>
    <row r="102" spans="1:7" s="203" customFormat="1" ht="14">
      <c r="A102" s="192">
        <v>66</v>
      </c>
      <c r="B102" s="193"/>
      <c r="C102" s="193" t="s">
        <v>340</v>
      </c>
      <c r="D102" s="117"/>
      <c r="E102" s="218"/>
      <c r="F102" s="117"/>
      <c r="G102" s="218"/>
    </row>
    <row r="103" spans="1:7" s="62" customFormat="1">
      <c r="A103" s="186">
        <v>67</v>
      </c>
      <c r="B103" s="187"/>
      <c r="C103" s="187" t="s">
        <v>152</v>
      </c>
      <c r="D103" s="105"/>
      <c r="E103" s="138"/>
      <c r="F103" s="105"/>
      <c r="G103" s="138"/>
    </row>
    <row r="104" spans="1:7" s="62" customFormat="1" ht="42">
      <c r="A104" s="192" t="s">
        <v>268</v>
      </c>
      <c r="B104" s="187"/>
      <c r="C104" s="193" t="s">
        <v>341</v>
      </c>
      <c r="D104" s="105"/>
      <c r="E104" s="141"/>
      <c r="F104" s="105"/>
      <c r="G104" s="141"/>
    </row>
    <row r="105" spans="1:7" s="62" customFormat="1" ht="56.5" customHeight="1">
      <c r="A105" s="194" t="s">
        <v>363</v>
      </c>
      <c r="B105" s="191"/>
      <c r="C105" s="195" t="s">
        <v>342</v>
      </c>
      <c r="D105" s="135"/>
      <c r="E105" s="147"/>
      <c r="F105" s="135"/>
      <c r="G105" s="147"/>
    </row>
    <row r="106" spans="1:7">
      <c r="A106" s="41">
        <v>6</v>
      </c>
      <c r="B106" s="32"/>
      <c r="C106" s="32" t="s">
        <v>195</v>
      </c>
      <c r="D106" s="33">
        <f t="shared" ref="D106:E106" si="18">SUM(D96:D105)</f>
        <v>0</v>
      </c>
      <c r="E106" s="33">
        <f t="shared" si="18"/>
        <v>0</v>
      </c>
      <c r="F106" s="33">
        <f t="shared" ref="F106:G106" si="19">SUM(F96:F105)</f>
        <v>0</v>
      </c>
      <c r="G106" s="33">
        <f t="shared" si="19"/>
        <v>19543</v>
      </c>
    </row>
    <row r="107" spans="1:7">
      <c r="A107" s="228" t="s">
        <v>387</v>
      </c>
      <c r="B107" s="31"/>
      <c r="C107" s="32" t="s">
        <v>68</v>
      </c>
      <c r="D107" s="33">
        <f t="shared" ref="D107:E107" si="20">(D95-D88)-(D106-D103)</f>
        <v>0</v>
      </c>
      <c r="E107" s="33">
        <f t="shared" si="20"/>
        <v>0</v>
      </c>
      <c r="F107" s="33">
        <f t="shared" ref="F107:G107" si="21">(F95-F88)-(F106-F103)</f>
        <v>0</v>
      </c>
      <c r="G107" s="33">
        <f t="shared" si="21"/>
        <v>369220</v>
      </c>
    </row>
    <row r="108" spans="1:7">
      <c r="A108" s="229" t="s">
        <v>407</v>
      </c>
      <c r="B108" s="30"/>
      <c r="C108" s="49" t="s">
        <v>144</v>
      </c>
      <c r="D108" s="33">
        <f t="shared" ref="D108:E108" si="22">D107-D85-D86+D100+D101</f>
        <v>0</v>
      </c>
      <c r="E108" s="33">
        <f t="shared" si="22"/>
        <v>0</v>
      </c>
      <c r="F108" s="33">
        <f t="shared" ref="F108:G108" si="23">F107-F85-F86+F100+F101</f>
        <v>0</v>
      </c>
      <c r="G108" s="33">
        <f t="shared" si="23"/>
        <v>369220</v>
      </c>
    </row>
    <row r="109" spans="1:7">
      <c r="C109" s="11"/>
      <c r="D109" s="17"/>
      <c r="E109" s="17"/>
      <c r="F109" s="17"/>
      <c r="G109" s="17"/>
    </row>
    <row r="110" spans="1:7">
      <c r="A110" s="230" t="s">
        <v>109</v>
      </c>
      <c r="B110" s="12"/>
      <c r="C110" s="21"/>
      <c r="D110" s="17"/>
      <c r="E110" s="17"/>
      <c r="F110" s="17"/>
      <c r="G110" s="17"/>
    </row>
    <row r="111" spans="1:7" s="62" customFormat="1">
      <c r="A111" s="256">
        <v>10</v>
      </c>
      <c r="B111" s="253"/>
      <c r="C111" s="253" t="s">
        <v>69</v>
      </c>
      <c r="D111" s="336">
        <f t="shared" ref="D111:E111" si="24">D112+D117</f>
        <v>0</v>
      </c>
      <c r="E111" s="337">
        <f t="shared" si="24"/>
        <v>0</v>
      </c>
      <c r="F111" s="336">
        <f t="shared" ref="F111:G111" si="25">F112+F117</f>
        <v>0</v>
      </c>
      <c r="G111" s="337">
        <f t="shared" si="25"/>
        <v>0</v>
      </c>
    </row>
    <row r="112" spans="1:7" s="62" customFormat="1">
      <c r="A112" s="254" t="s">
        <v>288</v>
      </c>
      <c r="B112" s="255"/>
      <c r="C112" s="255" t="s">
        <v>473</v>
      </c>
      <c r="D112" s="336">
        <f t="shared" ref="D112:E112" si="26">D113+D114+D115+D116</f>
        <v>0</v>
      </c>
      <c r="E112" s="337">
        <f t="shared" si="26"/>
        <v>0</v>
      </c>
      <c r="F112" s="336">
        <f t="shared" ref="F112:G112" si="27">F113+F114+F115+F116</f>
        <v>0</v>
      </c>
      <c r="G112" s="337">
        <f t="shared" si="27"/>
        <v>0</v>
      </c>
    </row>
    <row r="113" spans="1:7" s="62" customFormat="1">
      <c r="A113" s="212" t="s">
        <v>466</v>
      </c>
      <c r="B113" s="206"/>
      <c r="C113" s="206" t="s">
        <v>343</v>
      </c>
      <c r="D113" s="105"/>
      <c r="E113" s="113"/>
      <c r="F113" s="105"/>
      <c r="G113" s="113"/>
    </row>
    <row r="114" spans="1:7" s="95" customFormat="1" ht="15" customHeight="1">
      <c r="A114" s="262">
        <v>102</v>
      </c>
      <c r="B114" s="265"/>
      <c r="C114" s="265" t="s">
        <v>344</v>
      </c>
      <c r="D114" s="270"/>
      <c r="E114" s="271"/>
      <c r="F114" s="270"/>
      <c r="G114" s="271"/>
    </row>
    <row r="115" spans="1:7" s="62" customFormat="1">
      <c r="A115" s="212">
        <v>104</v>
      </c>
      <c r="B115" s="206"/>
      <c r="C115" s="206" t="s">
        <v>345</v>
      </c>
      <c r="D115" s="105"/>
      <c r="E115" s="113"/>
      <c r="F115" s="105"/>
      <c r="G115" s="113"/>
    </row>
    <row r="116" spans="1:7" s="62" customFormat="1">
      <c r="A116" s="212">
        <v>106</v>
      </c>
      <c r="B116" s="206"/>
      <c r="C116" s="206" t="s">
        <v>482</v>
      </c>
      <c r="D116" s="105"/>
      <c r="E116" s="113"/>
      <c r="F116" s="105"/>
      <c r="G116" s="113"/>
    </row>
    <row r="117" spans="1:7" s="62" customFormat="1">
      <c r="A117" s="254" t="s">
        <v>292</v>
      </c>
      <c r="B117" s="255"/>
      <c r="C117" s="255" t="s">
        <v>474</v>
      </c>
      <c r="D117" s="336">
        <f t="shared" ref="D117:E117" si="28">D118+D119+D120</f>
        <v>0</v>
      </c>
      <c r="E117" s="337">
        <f t="shared" si="28"/>
        <v>0</v>
      </c>
      <c r="F117" s="336">
        <f t="shared" ref="F117:G117" si="29">F118+F119+F120</f>
        <v>0</v>
      </c>
      <c r="G117" s="337">
        <f t="shared" si="29"/>
        <v>0</v>
      </c>
    </row>
    <row r="118" spans="1:7" s="62" customFormat="1">
      <c r="A118" s="212">
        <v>107</v>
      </c>
      <c r="B118" s="206"/>
      <c r="C118" s="206" t="s">
        <v>346</v>
      </c>
      <c r="D118" s="105"/>
      <c r="E118" s="113"/>
      <c r="F118" s="105"/>
      <c r="G118" s="113"/>
    </row>
    <row r="119" spans="1:7" s="62" customFormat="1">
      <c r="A119" s="212">
        <v>108</v>
      </c>
      <c r="B119" s="206"/>
      <c r="C119" s="206" t="s">
        <v>347</v>
      </c>
      <c r="D119" s="105"/>
      <c r="E119" s="113"/>
      <c r="F119" s="105"/>
      <c r="G119" s="113"/>
    </row>
    <row r="120" spans="1:7" s="203" customFormat="1" ht="28">
      <c r="A120" s="262">
        <v>109</v>
      </c>
      <c r="B120" s="263"/>
      <c r="C120" s="263" t="s">
        <v>348</v>
      </c>
      <c r="D120" s="117"/>
      <c r="E120" s="249"/>
      <c r="F120" s="117"/>
      <c r="G120" s="249"/>
    </row>
    <row r="121" spans="1:7" s="62" customFormat="1">
      <c r="A121" s="254">
        <v>14</v>
      </c>
      <c r="B121" s="255"/>
      <c r="C121" s="255" t="s">
        <v>70</v>
      </c>
      <c r="D121" s="336">
        <f t="shared" ref="D121:E121" si="30">SUM(D122:D130)</f>
        <v>0</v>
      </c>
      <c r="E121" s="336">
        <f t="shared" si="30"/>
        <v>0</v>
      </c>
      <c r="F121" s="336">
        <f t="shared" ref="F121:G121" si="31">SUM(F122:F130)</f>
        <v>0</v>
      </c>
      <c r="G121" s="336">
        <f t="shared" si="31"/>
        <v>0</v>
      </c>
    </row>
    <row r="122" spans="1:7" s="62" customFormat="1">
      <c r="A122" s="212" t="s">
        <v>467</v>
      </c>
      <c r="B122" s="206"/>
      <c r="C122" s="206" t="s">
        <v>349</v>
      </c>
      <c r="D122" s="105"/>
      <c r="E122" s="113"/>
      <c r="F122" s="105"/>
      <c r="G122" s="113"/>
    </row>
    <row r="123" spans="1:7" s="62" customFormat="1">
      <c r="A123" s="212">
        <v>144</v>
      </c>
      <c r="B123" s="206"/>
      <c r="C123" s="206" t="s">
        <v>142</v>
      </c>
      <c r="D123" s="105"/>
      <c r="E123" s="113"/>
      <c r="F123" s="105"/>
      <c r="G123" s="113"/>
    </row>
    <row r="124" spans="1:7" s="62" customFormat="1">
      <c r="A124" s="212">
        <v>145</v>
      </c>
      <c r="B124" s="206"/>
      <c r="C124" s="206" t="s">
        <v>143</v>
      </c>
      <c r="D124" s="105"/>
      <c r="E124" s="210"/>
      <c r="F124" s="105"/>
      <c r="G124" s="210"/>
    </row>
    <row r="125" spans="1:7" s="62" customFormat="1">
      <c r="A125" s="212">
        <v>146</v>
      </c>
      <c r="B125" s="206"/>
      <c r="C125" s="206" t="s">
        <v>350</v>
      </c>
      <c r="D125" s="105"/>
      <c r="E125" s="210"/>
      <c r="F125" s="105"/>
      <c r="G125" s="210"/>
    </row>
    <row r="126" spans="1:7" s="203" customFormat="1" ht="29.5" customHeight="1">
      <c r="A126" s="262" t="s">
        <v>468</v>
      </c>
      <c r="B126" s="263"/>
      <c r="C126" s="263" t="s">
        <v>351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352</v>
      </c>
      <c r="D127" s="105"/>
      <c r="E127" s="210"/>
      <c r="F127" s="105"/>
      <c r="G127" s="210"/>
    </row>
    <row r="128" spans="1:7" s="203" customFormat="1" ht="14">
      <c r="A128" s="262">
        <v>1485</v>
      </c>
      <c r="B128" s="263"/>
      <c r="C128" s="263" t="s">
        <v>353</v>
      </c>
      <c r="D128" s="117"/>
      <c r="E128" s="276"/>
      <c r="F128" s="117"/>
      <c r="G128" s="276"/>
    </row>
    <row r="129" spans="1:7" s="203" customFormat="1" ht="28">
      <c r="A129" s="262">
        <v>1486</v>
      </c>
      <c r="B129" s="263"/>
      <c r="C129" s="263" t="s">
        <v>354</v>
      </c>
      <c r="D129" s="117"/>
      <c r="E129" s="276"/>
      <c r="F129" s="117"/>
      <c r="G129" s="276"/>
    </row>
    <row r="130" spans="1:7" s="203" customFormat="1" ht="14">
      <c r="A130" s="304">
        <v>1489</v>
      </c>
      <c r="B130" s="305"/>
      <c r="C130" s="305" t="s">
        <v>355</v>
      </c>
      <c r="D130" s="278"/>
      <c r="E130" s="306"/>
      <c r="F130" s="278"/>
      <c r="G130" s="306"/>
    </row>
    <row r="131" spans="1:7">
      <c r="A131" s="231">
        <v>1</v>
      </c>
      <c r="B131" s="14"/>
      <c r="C131" s="13" t="s">
        <v>71</v>
      </c>
      <c r="D131" s="18">
        <f>D111+D121</f>
        <v>0</v>
      </c>
      <c r="E131" s="18">
        <f>E111+E121</f>
        <v>0</v>
      </c>
      <c r="F131" s="18">
        <f>F111+F121</f>
        <v>0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6">
        <v>20</v>
      </c>
      <c r="B133" s="253"/>
      <c r="C133" s="253" t="s">
        <v>72</v>
      </c>
      <c r="D133" s="338">
        <f t="shared" ref="D133:E133" si="32">D134+D140</f>
        <v>0</v>
      </c>
      <c r="E133" s="339">
        <f t="shared" si="32"/>
        <v>0</v>
      </c>
      <c r="F133" s="338">
        <f t="shared" ref="F133:G133" si="33">F134+F140</f>
        <v>0</v>
      </c>
      <c r="G133" s="339">
        <f t="shared" si="33"/>
        <v>0</v>
      </c>
    </row>
    <row r="134" spans="1:7" s="62" customFormat="1">
      <c r="A134" s="257" t="s">
        <v>286</v>
      </c>
      <c r="B134" s="255"/>
      <c r="C134" s="255" t="s">
        <v>356</v>
      </c>
      <c r="D134" s="336">
        <f t="shared" ref="D134:E134" si="34">D135+D136+D138+D139</f>
        <v>0</v>
      </c>
      <c r="E134" s="337">
        <f t="shared" si="34"/>
        <v>0</v>
      </c>
      <c r="F134" s="336">
        <f t="shared" ref="F134:G134" si="35">F135+F136+F138+F139</f>
        <v>0</v>
      </c>
      <c r="G134" s="337">
        <f t="shared" si="35"/>
        <v>0</v>
      </c>
    </row>
    <row r="135" spans="1:7" s="63" customFormat="1">
      <c r="A135" s="208">
        <v>200</v>
      </c>
      <c r="B135" s="206"/>
      <c r="C135" s="206" t="s">
        <v>73</v>
      </c>
      <c r="D135" s="105"/>
      <c r="E135" s="113"/>
      <c r="F135" s="105"/>
      <c r="G135" s="113"/>
    </row>
    <row r="136" spans="1:7" s="63" customFormat="1">
      <c r="A136" s="208">
        <v>201</v>
      </c>
      <c r="B136" s="206"/>
      <c r="C136" s="206" t="s">
        <v>357</v>
      </c>
      <c r="D136" s="105"/>
      <c r="E136" s="113"/>
      <c r="F136" s="105"/>
      <c r="G136" s="113"/>
    </row>
    <row r="137" spans="1:7" s="63" customFormat="1">
      <c r="A137" s="204" t="s">
        <v>110</v>
      </c>
      <c r="B137" s="205"/>
      <c r="C137" s="205" t="s">
        <v>112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358</v>
      </c>
      <c r="D138" s="105"/>
      <c r="E138" s="210"/>
      <c r="F138" s="105"/>
      <c r="G138" s="210"/>
    </row>
    <row r="139" spans="1:7" s="63" customFormat="1">
      <c r="A139" s="208">
        <v>205</v>
      </c>
      <c r="B139" s="206"/>
      <c r="C139" s="206" t="s">
        <v>359</v>
      </c>
      <c r="D139" s="105"/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360</v>
      </c>
      <c r="D140" s="336">
        <f t="shared" ref="D140:E140" si="36">D141+D143+D144</f>
        <v>0</v>
      </c>
      <c r="E140" s="337">
        <f t="shared" si="36"/>
        <v>0</v>
      </c>
      <c r="F140" s="336">
        <f t="shared" ref="F140:G140" si="37">F141+F143+F144</f>
        <v>0</v>
      </c>
      <c r="G140" s="337">
        <f t="shared" si="37"/>
        <v>0</v>
      </c>
    </row>
    <row r="141" spans="1:7" s="63" customFormat="1">
      <c r="A141" s="208">
        <v>206</v>
      </c>
      <c r="B141" s="206"/>
      <c r="C141" s="206" t="s">
        <v>74</v>
      </c>
      <c r="D141" s="105"/>
      <c r="E141" s="210"/>
      <c r="F141" s="105"/>
      <c r="G141" s="210"/>
    </row>
    <row r="142" spans="1:7" s="63" customFormat="1">
      <c r="A142" s="204" t="s">
        <v>111</v>
      </c>
      <c r="B142" s="205"/>
      <c r="C142" s="205" t="s">
        <v>113</v>
      </c>
      <c r="D142" s="150"/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362</v>
      </c>
      <c r="D143" s="105"/>
      <c r="E143" s="210"/>
      <c r="F143" s="105"/>
      <c r="G143" s="210"/>
    </row>
    <row r="144" spans="1:7" s="64" customFormat="1" ht="28">
      <c r="A144" s="262">
        <v>209</v>
      </c>
      <c r="B144" s="263"/>
      <c r="C144" s="263" t="s">
        <v>361</v>
      </c>
      <c r="D144" s="117"/>
      <c r="E144" s="276"/>
      <c r="F144" s="117"/>
      <c r="G144" s="276"/>
    </row>
    <row r="145" spans="1:7" s="62" customFormat="1">
      <c r="A145" s="257">
        <v>29</v>
      </c>
      <c r="B145" s="255"/>
      <c r="C145" s="255" t="s">
        <v>75</v>
      </c>
      <c r="D145" s="209"/>
      <c r="E145" s="210"/>
      <c r="F145" s="209"/>
      <c r="G145" s="210"/>
    </row>
    <row r="146" spans="1:7" s="62" customFormat="1">
      <c r="A146" s="211" t="s">
        <v>192</v>
      </c>
      <c r="B146" s="207"/>
      <c r="C146" s="207" t="s">
        <v>193</v>
      </c>
      <c r="D146" s="169"/>
      <c r="E146" s="174"/>
      <c r="F146" s="169"/>
      <c r="G146" s="174"/>
    </row>
    <row r="147" spans="1:7">
      <c r="A147" s="231">
        <v>2</v>
      </c>
      <c r="B147" s="14"/>
      <c r="C147" s="13" t="s">
        <v>76</v>
      </c>
      <c r="D147" s="18">
        <f>D133+D145</f>
        <v>0</v>
      </c>
      <c r="E147" s="18">
        <f>E133+E145</f>
        <v>0</v>
      </c>
      <c r="F147" s="18">
        <f>F133+F145</f>
        <v>0</v>
      </c>
      <c r="G147" s="18">
        <f>G133+G145</f>
        <v>0</v>
      </c>
    </row>
    <row r="148" spans="1:7" ht="7.5" customHeight="1"/>
    <row r="149" spans="1:7" ht="13.5" customHeight="1">
      <c r="A149" s="330" t="s">
        <v>495</v>
      </c>
      <c r="B149" s="19"/>
      <c r="C149" s="38"/>
      <c r="D149" s="19"/>
      <c r="E149" s="19"/>
      <c r="F149" s="19"/>
      <c r="G149" s="19"/>
    </row>
    <row r="150" spans="1:7">
      <c r="A150" s="307" t="s">
        <v>422</v>
      </c>
      <c r="B150" s="307"/>
      <c r="C150" s="307" t="s">
        <v>155</v>
      </c>
      <c r="D150" s="55">
        <f t="shared" ref="D150:E150" si="38">D77+SUM(D8:D12)-D30-D31+D16-D33+D59+D63-D73+D64-D74-D54+D20-D35</f>
        <v>0</v>
      </c>
      <c r="E150" s="55">
        <f t="shared" si="38"/>
        <v>0</v>
      </c>
      <c r="F150" s="55">
        <f t="shared" ref="F150:G150" si="39">F77+SUM(F8:F12)-F30-F31+F16-F33+F59+F63-F73+F64-F74-F54+F20-F35</f>
        <v>0</v>
      </c>
      <c r="G150" s="55">
        <f t="shared" si="39"/>
        <v>198893.19999999925</v>
      </c>
    </row>
    <row r="151" spans="1:7">
      <c r="A151" s="308" t="s">
        <v>423</v>
      </c>
      <c r="B151" s="308"/>
      <c r="C151" s="308" t="s">
        <v>156</v>
      </c>
      <c r="D151" s="258">
        <f t="shared" ref="D151:E151" si="40">IF(D177=0,0,D150/D177)</f>
        <v>0</v>
      </c>
      <c r="E151" s="258">
        <f t="shared" si="40"/>
        <v>0</v>
      </c>
      <c r="F151" s="258">
        <f t="shared" ref="F151:G151" si="41">IF(F177=0,0,F150/F177)</f>
        <v>0</v>
      </c>
      <c r="G151" s="258">
        <f t="shared" si="41"/>
        <v>2.3454101913620538E-2</v>
      </c>
    </row>
    <row r="152" spans="1:7" s="251" customFormat="1" ht="28">
      <c r="A152" s="310" t="s">
        <v>424</v>
      </c>
      <c r="B152" s="310"/>
      <c r="C152" s="310" t="s">
        <v>157</v>
      </c>
      <c r="D152" s="245">
        <f t="shared" ref="D152:E152" si="42">IF(D107=0,0,D150/D107)</f>
        <v>0</v>
      </c>
      <c r="E152" s="245">
        <f t="shared" si="42"/>
        <v>0</v>
      </c>
      <c r="F152" s="245">
        <f t="shared" ref="F152:G152" si="43">IF(F107=0,0,F150/F107)</f>
        <v>0</v>
      </c>
      <c r="G152" s="245">
        <f t="shared" si="43"/>
        <v>0.53868479497318467</v>
      </c>
    </row>
    <row r="153" spans="1:7" s="251" customFormat="1" ht="28">
      <c r="A153" s="311" t="s">
        <v>424</v>
      </c>
      <c r="B153" s="311"/>
      <c r="C153" s="311" t="s">
        <v>159</v>
      </c>
      <c r="D153" s="322">
        <f t="shared" ref="D153:E153" si="44">IF(0=D108,0,D150/D108)</f>
        <v>0</v>
      </c>
      <c r="E153" s="322">
        <f t="shared" si="44"/>
        <v>0</v>
      </c>
      <c r="F153" s="322">
        <f t="shared" ref="F153:G153" si="45">IF(0=F108,0,F150/F108)</f>
        <v>0</v>
      </c>
      <c r="G153" s="322">
        <f t="shared" si="45"/>
        <v>0.53868479497318467</v>
      </c>
    </row>
    <row r="154" spans="1:7" s="251" customFormat="1" ht="28">
      <c r="A154" s="309" t="s">
        <v>443</v>
      </c>
      <c r="B154" s="309"/>
      <c r="C154" s="309" t="s">
        <v>158</v>
      </c>
      <c r="D154" s="59">
        <f t="shared" ref="D154:E154" si="46">D150-D107</f>
        <v>0</v>
      </c>
      <c r="E154" s="59">
        <f t="shared" si="46"/>
        <v>0</v>
      </c>
      <c r="F154" s="59">
        <f t="shared" ref="F154:G154" si="47">F150-F107</f>
        <v>0</v>
      </c>
      <c r="G154" s="59">
        <f t="shared" si="47"/>
        <v>-170326.80000000075</v>
      </c>
    </row>
    <row r="155" spans="1:7" ht="27.5" customHeight="1">
      <c r="A155" s="321" t="s">
        <v>444</v>
      </c>
      <c r="B155" s="321"/>
      <c r="C155" s="321" t="s">
        <v>160</v>
      </c>
      <c r="D155" s="56">
        <f t="shared" ref="D155:E155" si="48">D150-D108</f>
        <v>0</v>
      </c>
      <c r="E155" s="56">
        <f t="shared" si="48"/>
        <v>0</v>
      </c>
      <c r="F155" s="56">
        <f t="shared" ref="F155:G155" si="49">F150-F108</f>
        <v>0</v>
      </c>
      <c r="G155" s="56">
        <f t="shared" si="49"/>
        <v>-170326.80000000075</v>
      </c>
    </row>
    <row r="156" spans="1:7">
      <c r="A156" s="307" t="s">
        <v>425</v>
      </c>
      <c r="B156" s="307"/>
      <c r="C156" s="307" t="s">
        <v>77</v>
      </c>
      <c r="D156" s="47">
        <f t="shared" ref="D156:E156" si="50">D135+D136-D137+D141-D142</f>
        <v>0</v>
      </c>
      <c r="E156" s="47">
        <f t="shared" si="50"/>
        <v>0</v>
      </c>
      <c r="F156" s="47">
        <f t="shared" ref="F156:G156" si="51">F135+F136-F137+F141-F142</f>
        <v>0</v>
      </c>
      <c r="G156" s="47">
        <f t="shared" si="51"/>
        <v>0</v>
      </c>
    </row>
    <row r="157" spans="1:7">
      <c r="A157" s="319" t="s">
        <v>426</v>
      </c>
      <c r="B157" s="319"/>
      <c r="C157" s="319" t="s">
        <v>122</v>
      </c>
      <c r="D157" s="241">
        <f t="shared" ref="D157:E157" si="52">IF(D177=0,0,D156/D177)</f>
        <v>0</v>
      </c>
      <c r="E157" s="241">
        <f t="shared" si="52"/>
        <v>0</v>
      </c>
      <c r="F157" s="241">
        <f t="shared" ref="F157:G157" si="53">IF(F177=0,0,F156/F177)</f>
        <v>0</v>
      </c>
      <c r="G157" s="241">
        <f t="shared" si="53"/>
        <v>0</v>
      </c>
    </row>
    <row r="158" spans="1:7">
      <c r="A158" s="307" t="s">
        <v>427</v>
      </c>
      <c r="B158" s="307"/>
      <c r="C158" s="307" t="s">
        <v>445</v>
      </c>
      <c r="D158" s="47">
        <f t="shared" ref="D158:E158" si="54">D133-D142-D111</f>
        <v>0</v>
      </c>
      <c r="E158" s="47">
        <f t="shared" si="54"/>
        <v>0</v>
      </c>
      <c r="F158" s="47">
        <f t="shared" ref="F158:G158" si="55">F133-F142-F111</f>
        <v>0</v>
      </c>
      <c r="G158" s="47">
        <f t="shared" si="55"/>
        <v>0</v>
      </c>
    </row>
    <row r="159" spans="1:7">
      <c r="A159" s="308" t="s">
        <v>428</v>
      </c>
      <c r="B159" s="308"/>
      <c r="C159" s="308" t="s">
        <v>446</v>
      </c>
      <c r="D159" s="40">
        <f t="shared" ref="D159:E159" si="56">D121-D123-D124-D142-D145</f>
        <v>0</v>
      </c>
      <c r="E159" s="40">
        <f t="shared" si="56"/>
        <v>0</v>
      </c>
      <c r="F159" s="40">
        <f t="shared" ref="F159:G159" si="57">F121-F123-F124-F142-F145</f>
        <v>0</v>
      </c>
      <c r="G159" s="40">
        <f t="shared" si="57"/>
        <v>0</v>
      </c>
    </row>
    <row r="160" spans="1:7">
      <c r="A160" s="308" t="s">
        <v>429</v>
      </c>
      <c r="B160" s="308"/>
      <c r="C160" s="308" t="s">
        <v>123</v>
      </c>
      <c r="D160" s="240" t="str">
        <f t="shared" ref="D160:E160" si="58">IF(D175=0,"-",1000*D158/D175)</f>
        <v>-</v>
      </c>
      <c r="E160" s="240" t="str">
        <f t="shared" si="58"/>
        <v>-</v>
      </c>
      <c r="F160" s="240" t="str">
        <f t="shared" ref="F160:G160" si="59">IF(F175=0,"-",1000*F158/F175)</f>
        <v>-</v>
      </c>
      <c r="G160" s="240">
        <f t="shared" si="59"/>
        <v>0</v>
      </c>
    </row>
    <row r="161" spans="1:7">
      <c r="A161" s="308" t="s">
        <v>429</v>
      </c>
      <c r="B161" s="308"/>
      <c r="C161" s="308" t="s">
        <v>124</v>
      </c>
      <c r="D161" s="40">
        <f t="shared" ref="D161:E161" si="60">IF(D175=0,0,1000*(D159/D175))</f>
        <v>0</v>
      </c>
      <c r="E161" s="40">
        <f t="shared" si="60"/>
        <v>0</v>
      </c>
      <c r="F161" s="40">
        <f t="shared" ref="F161:G161" si="61">IF(F175=0,0,1000*(F159/F175))</f>
        <v>0</v>
      </c>
      <c r="G161" s="40">
        <f t="shared" si="61"/>
        <v>0</v>
      </c>
    </row>
    <row r="162" spans="1:7">
      <c r="A162" s="319" t="s">
        <v>430</v>
      </c>
      <c r="B162" s="319"/>
      <c r="C162" s="319" t="s">
        <v>125</v>
      </c>
      <c r="D162" s="241">
        <f t="shared" ref="D162:E162" si="62">IF((D22+D23+D65+D66)=0,0,D158/(D22+D23+D65+D66))</f>
        <v>0</v>
      </c>
      <c r="E162" s="241">
        <f t="shared" si="62"/>
        <v>0</v>
      </c>
      <c r="F162" s="241">
        <f t="shared" ref="F162:G162" si="63">IF((F22+F23+F65+F66)=0,0,F158/(F22+F23+F65+F66))</f>
        <v>0</v>
      </c>
      <c r="G162" s="241">
        <f t="shared" si="63"/>
        <v>0</v>
      </c>
    </row>
    <row r="163" spans="1:7">
      <c r="A163" s="308" t="s">
        <v>447</v>
      </c>
      <c r="B163" s="308"/>
      <c r="C163" s="308" t="s">
        <v>126</v>
      </c>
      <c r="D163" s="55">
        <f t="shared" ref="D163:E163" si="64">D145</f>
        <v>0</v>
      </c>
      <c r="E163" s="55">
        <f t="shared" si="64"/>
        <v>0</v>
      </c>
      <c r="F163" s="55">
        <f t="shared" ref="F163:G163" si="65">F145</f>
        <v>0</v>
      </c>
      <c r="G163" s="55">
        <f t="shared" si="65"/>
        <v>0</v>
      </c>
    </row>
    <row r="164" spans="1:7" ht="28">
      <c r="A164" s="310" t="s">
        <v>448</v>
      </c>
      <c r="B164" s="319"/>
      <c r="C164" s="319" t="s">
        <v>127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320" t="s">
        <v>494</v>
      </c>
      <c r="B165" s="320"/>
      <c r="C165" s="320" t="s">
        <v>128</v>
      </c>
      <c r="D165" s="259">
        <f t="shared" ref="D165:E165" si="66">IF(D177=0,0,D180/D177)</f>
        <v>0</v>
      </c>
      <c r="E165" s="259">
        <f t="shared" si="66"/>
        <v>0</v>
      </c>
      <c r="F165" s="259">
        <f t="shared" ref="F165:G165" si="67">IF(F177=0,0,F180/F177)</f>
        <v>0</v>
      </c>
      <c r="G165" s="259">
        <f t="shared" si="67"/>
        <v>2.6917550411828722E-2</v>
      </c>
    </row>
    <row r="166" spans="1:7">
      <c r="A166" s="308" t="s">
        <v>449</v>
      </c>
      <c r="B166" s="308"/>
      <c r="C166" s="308" t="s">
        <v>451</v>
      </c>
      <c r="D166" s="55">
        <f t="shared" ref="D166:E166" si="68">D55</f>
        <v>0</v>
      </c>
      <c r="E166" s="55">
        <f t="shared" si="68"/>
        <v>0</v>
      </c>
      <c r="F166" s="55">
        <f t="shared" ref="F166:G166" si="69">F55</f>
        <v>0</v>
      </c>
      <c r="G166" s="55">
        <f t="shared" si="69"/>
        <v>170342.09999999998</v>
      </c>
    </row>
    <row r="167" spans="1:7" s="251" customFormat="1" ht="28">
      <c r="A167" s="310" t="s">
        <v>450</v>
      </c>
      <c r="B167" s="319"/>
      <c r="C167" s="319" t="s">
        <v>129</v>
      </c>
      <c r="D167" s="245">
        <f t="shared" ref="D167:E167" si="70">IF(0=D111,0,(D44+D45+D46+D47+D48)/D111)</f>
        <v>0</v>
      </c>
      <c r="E167" s="245">
        <f t="shared" si="70"/>
        <v>0</v>
      </c>
      <c r="F167" s="245">
        <f t="shared" ref="F167:G167" si="71">IF(0=F111,0,(F44+F45+F46+F47+F48)/F111)</f>
        <v>0</v>
      </c>
      <c r="G167" s="245">
        <f t="shared" si="71"/>
        <v>0</v>
      </c>
    </row>
    <row r="168" spans="1:7">
      <c r="A168" s="308" t="s">
        <v>432</v>
      </c>
      <c r="B168" s="307"/>
      <c r="C168" s="307" t="s">
        <v>452</v>
      </c>
      <c r="D168" s="55">
        <f t="shared" ref="D168:E168" si="72">D38-D44</f>
        <v>0</v>
      </c>
      <c r="E168" s="55">
        <f t="shared" si="72"/>
        <v>0</v>
      </c>
      <c r="F168" s="55">
        <f t="shared" ref="F168:G168" si="73">F38-F44</f>
        <v>0</v>
      </c>
      <c r="G168" s="55">
        <f t="shared" si="73"/>
        <v>27571.4</v>
      </c>
    </row>
    <row r="169" spans="1:7">
      <c r="A169" s="319" t="s">
        <v>433</v>
      </c>
      <c r="B169" s="319"/>
      <c r="C169" s="319" t="s">
        <v>130</v>
      </c>
      <c r="D169" s="258">
        <f t="shared" ref="D169:E169" si="74">IF(D177=0,0,D168/D177)</f>
        <v>0</v>
      </c>
      <c r="E169" s="258">
        <f t="shared" si="74"/>
        <v>0</v>
      </c>
      <c r="F169" s="258">
        <f t="shared" ref="F169:G169" si="75">IF(F177=0,0,F168/F177)</f>
        <v>0</v>
      </c>
      <c r="G169" s="258">
        <f t="shared" si="75"/>
        <v>3.2513048485378069E-3</v>
      </c>
    </row>
    <row r="170" spans="1:7">
      <c r="A170" s="308" t="s">
        <v>434</v>
      </c>
      <c r="B170" s="308"/>
      <c r="C170" s="308" t="s">
        <v>453</v>
      </c>
      <c r="D170" s="55">
        <f t="shared" ref="D170:E170" si="76">SUM(D82:D87)+SUM(D89:D94)</f>
        <v>0</v>
      </c>
      <c r="E170" s="55">
        <f t="shared" si="76"/>
        <v>0</v>
      </c>
      <c r="F170" s="55">
        <f t="shared" ref="F170:G170" si="77">SUM(F82:F87)+SUM(F89:F94)</f>
        <v>0</v>
      </c>
      <c r="G170" s="55">
        <f t="shared" si="77"/>
        <v>388763</v>
      </c>
    </row>
    <row r="171" spans="1:7">
      <c r="A171" s="308" t="s">
        <v>435</v>
      </c>
      <c r="B171" s="308"/>
      <c r="C171" s="308" t="s">
        <v>454</v>
      </c>
      <c r="D171" s="40">
        <f t="shared" ref="D171:E171" si="78">SUM(D96:D102)+SUM(D104:D105)</f>
        <v>0</v>
      </c>
      <c r="E171" s="40">
        <f t="shared" si="78"/>
        <v>0</v>
      </c>
      <c r="F171" s="40">
        <f t="shared" ref="F171:G171" si="79">SUM(F96:F102)+SUM(F104:F105)</f>
        <v>0</v>
      </c>
      <c r="G171" s="40">
        <f t="shared" si="79"/>
        <v>19543</v>
      </c>
    </row>
    <row r="172" spans="1:7">
      <c r="A172" s="320" t="s">
        <v>431</v>
      </c>
      <c r="B172" s="320"/>
      <c r="C172" s="320" t="s">
        <v>131</v>
      </c>
      <c r="D172" s="259">
        <f t="shared" ref="D172:E172" si="80">IF(D184=0,0,D170/D184)</f>
        <v>0</v>
      </c>
      <c r="E172" s="259">
        <f t="shared" si="80"/>
        <v>0</v>
      </c>
      <c r="F172" s="259">
        <f t="shared" ref="F172:G172" si="81">IF(F184=0,0,F170/F184)</f>
        <v>0</v>
      </c>
      <c r="G172" s="259">
        <f t="shared" si="81"/>
        <v>4.5644279484261661E-2</v>
      </c>
    </row>
    <row r="174" spans="1:7">
      <c r="A174" s="332" t="s">
        <v>114</v>
      </c>
      <c r="C174" s="11"/>
      <c r="D174" s="66"/>
      <c r="E174" s="66"/>
      <c r="F174" s="66"/>
      <c r="G174" s="66"/>
    </row>
    <row r="175" spans="1:7" s="62" customFormat="1">
      <c r="A175" s="61" t="s">
        <v>436</v>
      </c>
      <c r="B175" s="1"/>
      <c r="C175" s="1" t="s">
        <v>189</v>
      </c>
      <c r="D175" s="66"/>
      <c r="E175" s="66"/>
      <c r="F175" s="66"/>
      <c r="G175" s="66">
        <v>743317</v>
      </c>
    </row>
    <row r="176" spans="1:7">
      <c r="A176" s="235" t="s">
        <v>455</v>
      </c>
      <c r="B176" s="23"/>
      <c r="C176" s="23"/>
      <c r="D176" s="23"/>
      <c r="E176" s="23"/>
      <c r="F176" s="23"/>
      <c r="G176" s="23"/>
    </row>
    <row r="177" spans="1:7">
      <c r="A177" s="236" t="s">
        <v>437</v>
      </c>
      <c r="B177" s="23"/>
      <c r="C177" s="23" t="s">
        <v>459</v>
      </c>
      <c r="D177" s="39">
        <f t="shared" ref="D177:E177" si="82">SUM(D22:D32)+SUM(D44:D53)+SUM(D65:D72)+D75</f>
        <v>0</v>
      </c>
      <c r="E177" s="39">
        <f t="shared" si="82"/>
        <v>0</v>
      </c>
      <c r="F177" s="39">
        <f t="shared" ref="F177:G177" si="83">SUM(F22:F32)+SUM(F44:F53)+SUM(F65:F72)+F75</f>
        <v>0</v>
      </c>
      <c r="G177" s="39">
        <f t="shared" si="83"/>
        <v>8480103</v>
      </c>
    </row>
    <row r="178" spans="1:7">
      <c r="A178" s="236" t="s">
        <v>438</v>
      </c>
      <c r="B178" s="23"/>
      <c r="C178" s="23" t="s">
        <v>458</v>
      </c>
      <c r="D178" s="39">
        <f t="shared" ref="D178:E178" si="84">D78-D17-D20-D59-D63-D64</f>
        <v>0</v>
      </c>
      <c r="E178" s="39">
        <f t="shared" si="84"/>
        <v>0</v>
      </c>
      <c r="F178" s="39">
        <f t="shared" ref="F178:G178" si="85">F78-F17-F20-F59-F63-F64</f>
        <v>0</v>
      </c>
      <c r="G178" s="39">
        <f t="shared" si="85"/>
        <v>8456013.7000000011</v>
      </c>
    </row>
    <row r="179" spans="1:7">
      <c r="A179" s="236"/>
      <c r="B179" s="23"/>
      <c r="C179" s="23" t="s">
        <v>456</v>
      </c>
      <c r="D179" s="39">
        <f t="shared" ref="D179:E179" si="86">D178+D170</f>
        <v>0</v>
      </c>
      <c r="E179" s="39">
        <f t="shared" si="86"/>
        <v>0</v>
      </c>
      <c r="F179" s="39">
        <f t="shared" ref="F179:G179" si="87">F178+F170</f>
        <v>0</v>
      </c>
      <c r="G179" s="39">
        <f t="shared" si="87"/>
        <v>8844776.7000000011</v>
      </c>
    </row>
    <row r="180" spans="1:7">
      <c r="A180" s="23" t="s">
        <v>439</v>
      </c>
      <c r="B180" s="23"/>
      <c r="C180" s="23" t="s">
        <v>457</v>
      </c>
      <c r="D180" s="39">
        <f t="shared" ref="D180:E180" si="88">D38-D44+D8+D9+D10+D16-D33</f>
        <v>0</v>
      </c>
      <c r="E180" s="39">
        <f t="shared" si="88"/>
        <v>0</v>
      </c>
      <c r="F180" s="39">
        <f t="shared" ref="F180:G180" si="89">F38-F44+F8+F9+F10+F16-F33</f>
        <v>0</v>
      </c>
      <c r="G180" s="39">
        <f t="shared" si="89"/>
        <v>228263.59999999998</v>
      </c>
    </row>
    <row r="181" spans="1:7" ht="27.5" customHeight="1">
      <c r="A181" s="239" t="s">
        <v>460</v>
      </c>
      <c r="B181" s="71"/>
      <c r="C181" s="71" t="s">
        <v>462</v>
      </c>
      <c r="D181" s="73">
        <f t="shared" ref="D181:E181" si="90">D22+D23+D24+D25+D26+D29+SUM(D44:D47)+SUM(D49:D53)-D54+D32-D33+SUM(D65:D70)+D72</f>
        <v>0</v>
      </c>
      <c r="E181" s="73">
        <f t="shared" si="90"/>
        <v>0</v>
      </c>
      <c r="F181" s="73">
        <f t="shared" ref="F181:G181" si="91">F22+F23+F24+F25+F26+F29+SUM(F44:F47)+SUM(F49:F53)-F54+F32-F33+SUM(F65:F70)+F72</f>
        <v>0</v>
      </c>
      <c r="G181" s="73">
        <f t="shared" si="91"/>
        <v>8407381.3000000007</v>
      </c>
    </row>
    <row r="182" spans="1:7">
      <c r="A182" s="237" t="s">
        <v>440</v>
      </c>
      <c r="B182" s="71"/>
      <c r="C182" s="71" t="s">
        <v>461</v>
      </c>
      <c r="D182" s="73">
        <f t="shared" ref="D182:E182" si="92">D181+D171</f>
        <v>0</v>
      </c>
      <c r="E182" s="73">
        <f t="shared" si="92"/>
        <v>0</v>
      </c>
      <c r="F182" s="73">
        <f t="shared" ref="F182:G182" si="93">F181+F171</f>
        <v>0</v>
      </c>
      <c r="G182" s="73">
        <f t="shared" si="93"/>
        <v>8426924.3000000007</v>
      </c>
    </row>
    <row r="183" spans="1:7">
      <c r="A183" s="237" t="s">
        <v>441</v>
      </c>
      <c r="B183" s="71"/>
      <c r="C183" s="71" t="s">
        <v>492</v>
      </c>
      <c r="D183" s="73">
        <f>D4+D5-D7+D38+D39+D40+D41+D43+D13-D16+D57+D58+D60+D62</f>
        <v>0</v>
      </c>
      <c r="E183" s="73">
        <f t="shared" ref="E183:G183" si="94">E4+E5-E7+E38+E39+E40+E41+E43+E13-E16+E57+E58+E60+E62</f>
        <v>0</v>
      </c>
      <c r="F183" s="73">
        <f t="shared" si="94"/>
        <v>0</v>
      </c>
      <c r="G183" s="73">
        <f t="shared" si="94"/>
        <v>8128470.7999999998</v>
      </c>
    </row>
    <row r="184" spans="1:7">
      <c r="A184" s="237" t="s">
        <v>442</v>
      </c>
      <c r="B184" s="71"/>
      <c r="C184" s="71" t="s">
        <v>463</v>
      </c>
      <c r="D184" s="73">
        <f t="shared" ref="D184:E184" si="95">D183+D170</f>
        <v>0</v>
      </c>
      <c r="E184" s="73">
        <f t="shared" si="95"/>
        <v>0</v>
      </c>
      <c r="F184" s="73">
        <f t="shared" ref="F184:G184" si="96">F183+F170</f>
        <v>0</v>
      </c>
      <c r="G184" s="73">
        <f t="shared" si="96"/>
        <v>8517233.8000000007</v>
      </c>
    </row>
    <row r="185" spans="1:7">
      <c r="A185" s="237"/>
      <c r="B185" s="71"/>
      <c r="C185" s="71" t="s">
        <v>464</v>
      </c>
      <c r="D185" s="73">
        <f t="shared" ref="D185:E186" si="97">D181-D183</f>
        <v>0</v>
      </c>
      <c r="E185" s="73">
        <f t="shared" si="97"/>
        <v>0</v>
      </c>
      <c r="F185" s="73">
        <f t="shared" ref="F185:G185" si="98">F181-F183</f>
        <v>0</v>
      </c>
      <c r="G185" s="73">
        <f t="shared" si="98"/>
        <v>278910.50000000093</v>
      </c>
    </row>
    <row r="186" spans="1:7">
      <c r="A186" s="237"/>
      <c r="B186" s="71"/>
      <c r="C186" s="71" t="s">
        <v>465</v>
      </c>
      <c r="D186" s="73">
        <f t="shared" si="97"/>
        <v>0</v>
      </c>
      <c r="E186" s="73">
        <f t="shared" si="97"/>
        <v>0</v>
      </c>
      <c r="F186" s="73">
        <f t="shared" ref="F186:G186" si="99">F182-F184</f>
        <v>0</v>
      </c>
      <c r="G186" s="73">
        <f t="shared" si="99"/>
        <v>-90309.5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186"/>
  <sheetViews>
    <sheetView view="pageLayout" topLeftCell="A166" zoomScaleNormal="115" workbookViewId="0">
      <selection activeCell="F183" sqref="F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8" s="77" customFormat="1" ht="18" customHeight="1">
      <c r="A1" s="45" t="s">
        <v>3</v>
      </c>
      <c r="B1" s="94" t="s">
        <v>209</v>
      </c>
      <c r="C1" s="94" t="s">
        <v>210</v>
      </c>
      <c r="D1" s="28" t="s">
        <v>37</v>
      </c>
      <c r="E1" s="24" t="s">
        <v>2</v>
      </c>
      <c r="F1" s="28" t="s">
        <v>37</v>
      </c>
      <c r="G1" s="24" t="s">
        <v>2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</row>
    <row r="2" spans="1:48" s="82" customFormat="1" ht="15" customHeight="1">
      <c r="A2" s="78"/>
      <c r="B2" s="79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8" ht="15" customHeight="1">
      <c r="A3" s="796" t="s">
        <v>24</v>
      </c>
      <c r="B3" s="797"/>
      <c r="C3" s="797"/>
      <c r="E3" s="85" t="s">
        <v>470</v>
      </c>
      <c r="G3" s="85" t="s">
        <v>470</v>
      </c>
    </row>
    <row r="4" spans="1:48" s="62" customFormat="1" ht="12.75" customHeight="1">
      <c r="A4" s="148">
        <v>30</v>
      </c>
      <c r="B4" s="96"/>
      <c r="C4" s="97" t="s">
        <v>1</v>
      </c>
      <c r="D4" s="98">
        <v>627218.83745999995</v>
      </c>
      <c r="E4" s="100">
        <v>632104.23800000001</v>
      </c>
      <c r="F4" s="100">
        <v>612285.10719999997</v>
      </c>
      <c r="G4" s="100">
        <v>628344.77599999995</v>
      </c>
    </row>
    <row r="5" spans="1:48" s="62" customFormat="1" ht="12.75" customHeight="1">
      <c r="A5" s="101">
        <v>31</v>
      </c>
      <c r="B5" s="102"/>
      <c r="C5" s="103" t="s">
        <v>4</v>
      </c>
      <c r="D5" s="105">
        <v>219817.70624</v>
      </c>
      <c r="E5" s="106">
        <v>227524.79500000001</v>
      </c>
      <c r="F5" s="105">
        <v>225901.65070999999</v>
      </c>
      <c r="G5" s="106">
        <v>228229.041</v>
      </c>
    </row>
    <row r="6" spans="1:48" s="62" customFormat="1" ht="12.75" customHeight="1">
      <c r="A6" s="107" t="s">
        <v>229</v>
      </c>
      <c r="B6" s="108"/>
      <c r="C6" s="109" t="s">
        <v>230</v>
      </c>
      <c r="D6" s="150">
        <v>42188.451999999997</v>
      </c>
      <c r="E6" s="155">
        <v>37316.762000000002</v>
      </c>
      <c r="F6" s="150">
        <v>45264.879430000001</v>
      </c>
      <c r="G6" s="155">
        <v>38610.972999999998</v>
      </c>
    </row>
    <row r="7" spans="1:48" s="62" customFormat="1" ht="12.75" customHeight="1">
      <c r="A7" s="107" t="s">
        <v>371</v>
      </c>
      <c r="B7" s="108"/>
      <c r="C7" s="109" t="s">
        <v>372</v>
      </c>
      <c r="D7" s="150">
        <v>150</v>
      </c>
      <c r="E7" s="155">
        <v>0</v>
      </c>
      <c r="F7" s="150">
        <v>309.149</v>
      </c>
      <c r="G7" s="155">
        <v>50</v>
      </c>
    </row>
    <row r="8" spans="1:48" s="62" customFormat="1" ht="12.75" customHeight="1">
      <c r="A8" s="145">
        <v>330</v>
      </c>
      <c r="B8" s="102"/>
      <c r="C8" s="103" t="s">
        <v>231</v>
      </c>
      <c r="D8" s="105">
        <v>116744.584</v>
      </c>
      <c r="E8" s="113">
        <v>120252.755</v>
      </c>
      <c r="F8" s="105">
        <v>116933.61345999999</v>
      </c>
      <c r="G8" s="113">
        <v>121544.56737999999</v>
      </c>
    </row>
    <row r="9" spans="1:48" s="62" customFormat="1" ht="12.75" customHeight="1">
      <c r="A9" s="145">
        <v>332</v>
      </c>
      <c r="B9" s="102"/>
      <c r="C9" s="103" t="s">
        <v>232</v>
      </c>
      <c r="D9" s="105">
        <v>11041.653</v>
      </c>
      <c r="E9" s="113">
        <v>12580.212</v>
      </c>
      <c r="F9" s="105">
        <v>11864.733459999999</v>
      </c>
      <c r="G9" s="113">
        <v>12390.04</v>
      </c>
    </row>
    <row r="10" spans="1:48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48" s="62" customFormat="1" ht="12.75" customHeight="1">
      <c r="A11" s="101">
        <v>350</v>
      </c>
      <c r="B11" s="102"/>
      <c r="C11" s="103" t="s">
        <v>234</v>
      </c>
      <c r="D11" s="105">
        <v>7786.2309999999998</v>
      </c>
      <c r="E11" s="113">
        <v>0</v>
      </c>
      <c r="F11" s="105">
        <v>15068.06086</v>
      </c>
      <c r="G11" s="113">
        <v>2200</v>
      </c>
    </row>
    <row r="12" spans="1:48" s="63" customFormat="1" ht="14">
      <c r="A12" s="114">
        <v>351</v>
      </c>
      <c r="B12" s="115"/>
      <c r="C12" s="116" t="s">
        <v>272</v>
      </c>
      <c r="D12" s="119">
        <v>0</v>
      </c>
      <c r="E12" s="296">
        <v>0</v>
      </c>
      <c r="F12" s="119">
        <v>0</v>
      </c>
      <c r="G12" s="296">
        <v>0</v>
      </c>
    </row>
    <row r="13" spans="1:48" s="62" customFormat="1" ht="12.75" customHeight="1">
      <c r="A13" s="101">
        <v>36</v>
      </c>
      <c r="B13" s="102"/>
      <c r="C13" s="103" t="s">
        <v>5</v>
      </c>
      <c r="D13" s="104">
        <v>1656856.02</v>
      </c>
      <c r="E13" s="113">
        <v>1684018.7180000001</v>
      </c>
      <c r="F13" s="104">
        <v>1715778.4315800001</v>
      </c>
      <c r="G13" s="113">
        <v>1685659.372</v>
      </c>
    </row>
    <row r="14" spans="1:48" s="62" customFormat="1" ht="12.75" customHeight="1">
      <c r="A14" s="121" t="s">
        <v>173</v>
      </c>
      <c r="B14" s="102"/>
      <c r="C14" s="122" t="s">
        <v>174</v>
      </c>
      <c r="D14" s="104">
        <v>299549.00599999999</v>
      </c>
      <c r="E14" s="113">
        <v>345707.42</v>
      </c>
      <c r="F14" s="104">
        <v>289897.92881999997</v>
      </c>
      <c r="G14" s="113">
        <v>363403.48599999998</v>
      </c>
    </row>
    <row r="15" spans="1:48" s="62" customFormat="1" ht="12.75" customHeight="1">
      <c r="A15" s="121" t="s">
        <v>175</v>
      </c>
      <c r="B15" s="102"/>
      <c r="C15" s="122" t="s">
        <v>176</v>
      </c>
      <c r="D15" s="104">
        <v>63109.809000000001</v>
      </c>
      <c r="E15" s="113">
        <v>5319.2939999999999</v>
      </c>
      <c r="F15" s="104">
        <v>87128.333029999994</v>
      </c>
      <c r="G15" s="113">
        <v>5463.76</v>
      </c>
    </row>
    <row r="16" spans="1:48" s="64" customFormat="1" ht="26.25" customHeight="1">
      <c r="A16" s="121" t="s">
        <v>146</v>
      </c>
      <c r="B16" s="123"/>
      <c r="C16" s="122" t="s">
        <v>148</v>
      </c>
      <c r="D16" s="126">
        <v>20959.667000000001</v>
      </c>
      <c r="E16" s="127">
        <v>22327.62</v>
      </c>
      <c r="F16" s="126">
        <v>22821.01108</v>
      </c>
      <c r="G16" s="127">
        <v>23156.116000000002</v>
      </c>
    </row>
    <row r="17" spans="1:7" s="83" customFormat="1">
      <c r="A17" s="101">
        <v>37</v>
      </c>
      <c r="B17" s="102"/>
      <c r="C17" s="103" t="s">
        <v>6</v>
      </c>
      <c r="D17" s="104">
        <v>448243.06300000002</v>
      </c>
      <c r="E17" s="157">
        <v>445049.326</v>
      </c>
      <c r="F17" s="104">
        <v>464650.73230999999</v>
      </c>
      <c r="G17" s="157">
        <v>467384.85</v>
      </c>
    </row>
    <row r="18" spans="1:7" s="83" customFormat="1">
      <c r="A18" s="112" t="s">
        <v>196</v>
      </c>
      <c r="B18" s="108"/>
      <c r="C18" s="109" t="s">
        <v>197</v>
      </c>
      <c r="D18" s="104">
        <v>963.779</v>
      </c>
      <c r="E18" s="157">
        <v>800</v>
      </c>
      <c r="F18" s="104">
        <v>937.62424999999996</v>
      </c>
      <c r="G18" s="157">
        <v>778.5</v>
      </c>
    </row>
    <row r="19" spans="1:7" s="83" customFormat="1">
      <c r="A19" s="112" t="s">
        <v>198</v>
      </c>
      <c r="B19" s="108"/>
      <c r="C19" s="109" t="s">
        <v>199</v>
      </c>
      <c r="D19" s="104">
        <v>1346.3620000000001</v>
      </c>
      <c r="E19" s="157">
        <v>3126.9459999999999</v>
      </c>
      <c r="F19" s="104">
        <v>2556.75846</v>
      </c>
      <c r="G19" s="157">
        <v>2939.2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414769.86900000001</v>
      </c>
      <c r="E20" s="159">
        <v>417642.55800000002</v>
      </c>
      <c r="F20" s="134">
        <v>434725.15944999998</v>
      </c>
      <c r="G20" s="159">
        <v>422421.40700000001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3087708.0946999998</v>
      </c>
      <c r="E21" s="15">
        <f t="shared" si="0"/>
        <v>3121530.0440000002</v>
      </c>
      <c r="F21" s="15">
        <f t="shared" ref="F21:G21" si="1">F4+F5+SUM(F8:F13)+F17</f>
        <v>3162482.3295799997</v>
      </c>
      <c r="G21" s="15">
        <f t="shared" si="1"/>
        <v>3145752.6463799998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844737.78</v>
      </c>
      <c r="E22" s="141">
        <v>923032.53</v>
      </c>
      <c r="F22" s="105">
        <v>903845.01940999995</v>
      </c>
      <c r="G22" s="113">
        <v>954274.40067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203982.07500000001</v>
      </c>
      <c r="E23" s="141">
        <v>200182</v>
      </c>
      <c r="F23" s="105">
        <v>203732.37515000001</v>
      </c>
      <c r="G23" s="113">
        <v>204660</v>
      </c>
    </row>
    <row r="24" spans="1:7" s="84" customFormat="1" ht="12.75" customHeight="1">
      <c r="A24" s="101">
        <v>41</v>
      </c>
      <c r="B24" s="102"/>
      <c r="C24" s="103" t="s">
        <v>9</v>
      </c>
      <c r="D24" s="152">
        <v>57851.743000000002</v>
      </c>
      <c r="E24" s="141">
        <v>52893</v>
      </c>
      <c r="F24" s="105">
        <v>59048.134100000003</v>
      </c>
      <c r="G24" s="113">
        <v>55241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205721.67300000001</v>
      </c>
      <c r="E25" s="141">
        <v>201890.935</v>
      </c>
      <c r="F25" s="105">
        <v>203958.65096</v>
      </c>
      <c r="G25" s="113">
        <v>204948.87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280.73</v>
      </c>
      <c r="E26" s="144">
        <v>250</v>
      </c>
      <c r="F26" s="128">
        <v>264.81774999999999</v>
      </c>
      <c r="G26" s="157">
        <v>253.2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256.596</v>
      </c>
      <c r="E27" s="144">
        <v>0</v>
      </c>
      <c r="F27" s="128">
        <v>873.18949999999995</v>
      </c>
      <c r="G27" s="157">
        <v>10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>
        <v>0</v>
      </c>
      <c r="F28" s="128">
        <v>0</v>
      </c>
      <c r="G28" s="157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0</v>
      </c>
      <c r="E29" s="144">
        <v>0</v>
      </c>
      <c r="F29" s="128">
        <v>0</v>
      </c>
      <c r="G29" s="157">
        <v>0</v>
      </c>
    </row>
    <row r="30" spans="1:7" s="62" customFormat="1" ht="14">
      <c r="A30" s="114">
        <v>450</v>
      </c>
      <c r="B30" s="115"/>
      <c r="C30" s="116" t="s">
        <v>271</v>
      </c>
      <c r="D30" s="104">
        <v>5320.0619999999999</v>
      </c>
      <c r="E30" s="106">
        <v>1456.1869999999999</v>
      </c>
      <c r="F30" s="104">
        <v>13523.992130000001</v>
      </c>
      <c r="G30" s="106">
        <v>914.3</v>
      </c>
    </row>
    <row r="31" spans="1:7" s="63" customFormat="1" ht="14">
      <c r="A31" s="114">
        <v>451</v>
      </c>
      <c r="B31" s="115"/>
      <c r="C31" s="116" t="s">
        <v>14</v>
      </c>
      <c r="D31" s="279">
        <v>0</v>
      </c>
      <c r="E31" s="141">
        <v>0</v>
      </c>
      <c r="F31" s="117">
        <v>0</v>
      </c>
      <c r="G31" s="113">
        <v>0</v>
      </c>
    </row>
    <row r="32" spans="1:7" s="62" customFormat="1" ht="12.75" customHeight="1">
      <c r="A32" s="101">
        <v>46</v>
      </c>
      <c r="B32" s="102"/>
      <c r="C32" s="103" t="s">
        <v>15</v>
      </c>
      <c r="D32" s="152">
        <v>1175686.892</v>
      </c>
      <c r="E32" s="141">
        <v>1203384.845</v>
      </c>
      <c r="F32" s="105">
        <v>1221854.1309700001</v>
      </c>
      <c r="G32" s="113">
        <v>1187590.4222200001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13702.967000000001</v>
      </c>
      <c r="E33" s="143">
        <v>15184.431</v>
      </c>
      <c r="F33" s="105">
        <v>15578.53606</v>
      </c>
      <c r="G33" s="155">
        <v>16303.155000000001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448243.06300000002</v>
      </c>
      <c r="E34" s="141">
        <v>445049.326</v>
      </c>
      <c r="F34" s="105">
        <v>464650.73230999999</v>
      </c>
      <c r="G34" s="113">
        <v>467384.85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414769.86900000001</v>
      </c>
      <c r="E35" s="151">
        <v>417642.55800000002</v>
      </c>
      <c r="F35" s="134">
        <v>434725.15944999998</v>
      </c>
      <c r="G35" s="136">
        <v>422421.40700000001</v>
      </c>
    </row>
    <row r="36" spans="1:7" ht="13.5" customHeight="1">
      <c r="A36" s="7"/>
      <c r="B36" s="10"/>
      <c r="C36" s="8" t="s">
        <v>476</v>
      </c>
      <c r="D36" s="15">
        <f t="shared" ref="D36:E36" si="2">D22+D23+D24+D25+D26+D27+D28+D29+D30+D31+D32+D34</f>
        <v>2942080.6140000001</v>
      </c>
      <c r="E36" s="15">
        <f t="shared" si="2"/>
        <v>3028138.8229999999</v>
      </c>
      <c r="F36" s="15">
        <f t="shared" ref="F36:G36" si="3">F22+F23+F24+F25+F26+F27+F28+F29+F30+F31+F32+F34</f>
        <v>3071751.0422799997</v>
      </c>
      <c r="G36" s="15">
        <f t="shared" si="3"/>
        <v>3075277.0428900002</v>
      </c>
    </row>
    <row r="37" spans="1:7" s="11" customFormat="1" ht="15" customHeight="1">
      <c r="A37" s="7"/>
      <c r="B37" s="10"/>
      <c r="C37" s="8" t="s">
        <v>19</v>
      </c>
      <c r="D37" s="16">
        <f t="shared" ref="D37:E37" si="4">D36-D21</f>
        <v>-145627.48069999972</v>
      </c>
      <c r="E37" s="16">
        <f t="shared" si="4"/>
        <v>-93391.221000000369</v>
      </c>
      <c r="F37" s="16">
        <f t="shared" ref="F37:G37" si="5">F36-F21</f>
        <v>-90731.287299999967</v>
      </c>
      <c r="G37" s="16">
        <f t="shared" si="5"/>
        <v>-70475.603489999659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31982.508000000002</v>
      </c>
      <c r="E38" s="141">
        <v>28418.69</v>
      </c>
      <c r="F38" s="104">
        <v>28101.368740000002</v>
      </c>
      <c r="G38" s="113">
        <v>27639.328000000001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1.5609999999999999</v>
      </c>
      <c r="E39" s="141">
        <v>0</v>
      </c>
      <c r="F39" s="105">
        <v>9.2700000000000005E-3</v>
      </c>
      <c r="G39" s="113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333.85300000000001</v>
      </c>
      <c r="E40" s="141">
        <v>425</v>
      </c>
      <c r="F40" s="105">
        <v>466.39798999999999</v>
      </c>
      <c r="G40" s="113">
        <v>365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929.87300000000005</v>
      </c>
      <c r="E41" s="141">
        <v>3055.8</v>
      </c>
      <c r="F41" s="105">
        <v>530.00215000000003</v>
      </c>
      <c r="G41" s="113">
        <v>1959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1614.316</v>
      </c>
      <c r="E42" s="141">
        <v>0</v>
      </c>
      <c r="F42" s="105">
        <v>42.861600000000003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5343.3559999999998</v>
      </c>
      <c r="E43" s="141">
        <v>4566.1499999999996</v>
      </c>
      <c r="F43" s="105">
        <v>5337.4455200000002</v>
      </c>
      <c r="G43" s="113">
        <v>5565.1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5246.2969999999996</v>
      </c>
      <c r="E44" s="141">
        <v>4084.17</v>
      </c>
      <c r="F44" s="104">
        <v>3851.54099</v>
      </c>
      <c r="G44" s="113">
        <v>4787.21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1849.895</v>
      </c>
      <c r="E45" s="141">
        <v>100</v>
      </c>
      <c r="F45" s="104">
        <v>5050.8873599999997</v>
      </c>
      <c r="G45" s="113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12593.35</v>
      </c>
      <c r="E46" s="141">
        <v>12549</v>
      </c>
      <c r="F46" s="104">
        <v>12679.4905</v>
      </c>
      <c r="G46" s="113">
        <v>12589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9882.366</v>
      </c>
      <c r="E47" s="141">
        <v>6949.8</v>
      </c>
      <c r="F47" s="104">
        <v>4110.4115499999998</v>
      </c>
      <c r="G47" s="113">
        <v>9750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2389.8409999999999</v>
      </c>
      <c r="E48" s="141">
        <v>0</v>
      </c>
      <c r="F48" s="104">
        <v>9093.9130000000005</v>
      </c>
      <c r="G48" s="113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74721.243000000002</v>
      </c>
      <c r="E49" s="141">
        <v>68694.837</v>
      </c>
      <c r="F49" s="104">
        <v>68792.486820000006</v>
      </c>
      <c r="G49" s="113">
        <v>70378.838000000003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526.52</v>
      </c>
      <c r="E50" s="141">
        <v>2526.5</v>
      </c>
      <c r="F50" s="104">
        <v>4099.5200000000004</v>
      </c>
      <c r="G50" s="113">
        <v>26.5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21232.512999999999</v>
      </c>
      <c r="E51" s="141">
        <v>23829.06</v>
      </c>
      <c r="F51" s="104">
        <v>22660.92813</v>
      </c>
      <c r="G51" s="113">
        <v>16444.240000000002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04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04">
        <v>57.45</v>
      </c>
      <c r="G53" s="113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68">
        <v>57.45</v>
      </c>
      <c r="G54" s="174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88236.55799999999</v>
      </c>
      <c r="E55" s="15">
        <f t="shared" si="6"/>
        <v>82267.726999999999</v>
      </c>
      <c r="F55" s="15">
        <f t="shared" ref="F55:G55" si="7">SUM(F44:F53)-SUM(F38:F43)</f>
        <v>95918.543080000003</v>
      </c>
      <c r="G55" s="15">
        <f t="shared" si="7"/>
        <v>78447.360000000015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-57390.922699999734</v>
      </c>
      <c r="E56" s="15">
        <f t="shared" si="8"/>
        <v>-11123.49400000037</v>
      </c>
      <c r="F56" s="15">
        <f t="shared" ref="F56:G56" si="9">F55+F37</f>
        <v>5187.2557800000359</v>
      </c>
      <c r="G56" s="15">
        <f t="shared" si="9"/>
        <v>7971.7565100003558</v>
      </c>
    </row>
    <row r="57" spans="1:7" s="62" customFormat="1" ht="15.75" customHeight="1">
      <c r="A57" s="285">
        <v>380</v>
      </c>
      <c r="B57" s="286"/>
      <c r="C57" s="287" t="s">
        <v>484</v>
      </c>
      <c r="D57" s="290">
        <v>0</v>
      </c>
      <c r="E57" s="291">
        <v>0</v>
      </c>
      <c r="F57" s="153">
        <v>0</v>
      </c>
      <c r="G57" s="362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>
        <v>0</v>
      </c>
      <c r="E58" s="291">
        <v>0</v>
      </c>
      <c r="F58" s="153">
        <v>0</v>
      </c>
      <c r="G58" s="362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0</v>
      </c>
      <c r="E59" s="165">
        <v>0</v>
      </c>
      <c r="F59" s="201">
        <v>0</v>
      </c>
      <c r="G59" s="271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18">
        <v>0</v>
      </c>
      <c r="G60" s="296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18">
        <v>0</v>
      </c>
      <c r="G61" s="296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18">
        <v>0</v>
      </c>
      <c r="G62" s="296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0</v>
      </c>
      <c r="E63" s="149">
        <v>0</v>
      </c>
      <c r="F63" s="118">
        <v>0</v>
      </c>
      <c r="G63" s="296">
        <v>0</v>
      </c>
    </row>
    <row r="64" spans="1:7" s="63" customFormat="1">
      <c r="A64" s="112">
        <v>389</v>
      </c>
      <c r="B64" s="180"/>
      <c r="C64" s="109" t="s">
        <v>7</v>
      </c>
      <c r="D64" s="250">
        <v>0</v>
      </c>
      <c r="E64" s="143">
        <v>0</v>
      </c>
      <c r="F64" s="150">
        <v>0</v>
      </c>
      <c r="G64" s="155">
        <v>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05">
        <v>0</v>
      </c>
      <c r="G65" s="113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70">
        <v>0</v>
      </c>
      <c r="G66" s="271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05">
        <v>0</v>
      </c>
      <c r="G67" s="113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05">
        <v>0</v>
      </c>
      <c r="G68" s="113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05">
        <v>0</v>
      </c>
      <c r="G69" s="113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>
        <v>0</v>
      </c>
      <c r="F70" s="105">
        <v>0</v>
      </c>
      <c r="G70" s="113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>
        <v>0</v>
      </c>
      <c r="F71" s="105">
        <v>0</v>
      </c>
      <c r="G71" s="113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>
        <v>0</v>
      </c>
      <c r="F72" s="105">
        <v>0</v>
      </c>
      <c r="G72" s="113">
        <v>0</v>
      </c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04">
        <v>0</v>
      </c>
      <c r="G73" s="113">
        <v>0</v>
      </c>
    </row>
    <row r="74" spans="1:7" s="63" customFormat="1">
      <c r="A74" s="110">
        <v>489</v>
      </c>
      <c r="B74" s="182"/>
      <c r="C74" s="133" t="s">
        <v>18</v>
      </c>
      <c r="D74" s="140">
        <v>0</v>
      </c>
      <c r="E74" s="141">
        <v>0</v>
      </c>
      <c r="F74" s="104">
        <v>0</v>
      </c>
      <c r="G74" s="113">
        <v>0</v>
      </c>
    </row>
    <row r="75" spans="1:7" s="63" customFormat="1">
      <c r="A75" s="181" t="s">
        <v>381</v>
      </c>
      <c r="B75" s="182"/>
      <c r="C75" s="133" t="s">
        <v>382</v>
      </c>
      <c r="D75" s="152">
        <v>0</v>
      </c>
      <c r="E75" s="141">
        <v>0</v>
      </c>
      <c r="F75" s="105">
        <v>0</v>
      </c>
      <c r="G75" s="113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0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-57390.922699999734</v>
      </c>
      <c r="E77" s="15">
        <f t="shared" si="12"/>
        <v>-11123.49400000037</v>
      </c>
      <c r="F77" s="15">
        <f t="shared" ref="F77:G77" si="13">F56+F76</f>
        <v>5187.2557800000359</v>
      </c>
      <c r="G77" s="15">
        <f t="shared" si="13"/>
        <v>7971.7565100003558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3542683.4306999999</v>
      </c>
      <c r="E78" s="37">
        <f t="shared" si="14"/>
        <v>3575638.2420000006</v>
      </c>
      <c r="F78" s="37">
        <f t="shared" ref="F78:G78" si="15">F20+F21+SUM(F38:F43)+SUM(F57:F64)</f>
        <v>3631685.5743</v>
      </c>
      <c r="G78" s="37">
        <f t="shared" si="15"/>
        <v>3603702.4813799998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3485292.5079999999</v>
      </c>
      <c r="E79" s="37">
        <f t="shared" si="16"/>
        <v>3564514.7480000001</v>
      </c>
      <c r="F79" s="37">
        <f t="shared" ref="F79:G79" si="17">F35+F36+SUM(F44:F53)+SUM(F65:F74)</f>
        <v>3636872.8300799998</v>
      </c>
      <c r="G79" s="37">
        <f t="shared" si="17"/>
        <v>3611674.2378900005</v>
      </c>
    </row>
    <row r="80" spans="1:7">
      <c r="C80" s="11"/>
      <c r="D80" s="86"/>
      <c r="E80" s="86"/>
      <c r="F80" s="86"/>
      <c r="G80" s="86"/>
    </row>
    <row r="81" spans="1:7">
      <c r="A81" s="798" t="s">
        <v>25</v>
      </c>
      <c r="B81" s="799"/>
      <c r="C81" s="799"/>
      <c r="D81" s="87"/>
      <c r="E81" s="88"/>
      <c r="F81" s="87"/>
      <c r="G81" s="88"/>
    </row>
    <row r="82" spans="1:7" s="62" customFormat="1">
      <c r="A82" s="186">
        <v>50</v>
      </c>
      <c r="B82" s="187"/>
      <c r="C82" s="187" t="s">
        <v>252</v>
      </c>
      <c r="D82" s="152">
        <v>130063.7399</v>
      </c>
      <c r="E82" s="141">
        <v>142374.06099999999</v>
      </c>
      <c r="F82" s="105">
        <v>122014.36590999999</v>
      </c>
      <c r="G82" s="113">
        <v>145380.00099999999</v>
      </c>
    </row>
    <row r="83" spans="1:7" s="62" customFormat="1">
      <c r="A83" s="186">
        <v>51</v>
      </c>
      <c r="B83" s="187"/>
      <c r="C83" s="187" t="s">
        <v>253</v>
      </c>
      <c r="D83" s="152">
        <v>22291.502939999998</v>
      </c>
      <c r="E83" s="141">
        <v>8900</v>
      </c>
      <c r="F83" s="105">
        <v>17580.711899999998</v>
      </c>
      <c r="G83" s="113">
        <v>3400</v>
      </c>
    </row>
    <row r="84" spans="1:7" s="62" customFormat="1">
      <c r="A84" s="186">
        <v>52</v>
      </c>
      <c r="B84" s="187"/>
      <c r="C84" s="187" t="s">
        <v>254</v>
      </c>
      <c r="D84" s="152">
        <v>10235.801149999999</v>
      </c>
      <c r="E84" s="141">
        <v>8474.77</v>
      </c>
      <c r="F84" s="105">
        <v>7638.4331499999998</v>
      </c>
      <c r="G84" s="113">
        <v>7628.6130000000003</v>
      </c>
    </row>
    <row r="85" spans="1:7" s="62" customFormat="1">
      <c r="A85" s="188">
        <v>54</v>
      </c>
      <c r="B85" s="189"/>
      <c r="C85" s="189" t="s">
        <v>89</v>
      </c>
      <c r="D85" s="152">
        <v>8531.3930500000006</v>
      </c>
      <c r="E85" s="141">
        <v>2000</v>
      </c>
      <c r="F85" s="105">
        <v>1705.9818499999999</v>
      </c>
      <c r="G85" s="113">
        <v>4200</v>
      </c>
    </row>
    <row r="86" spans="1:7" s="62" customFormat="1">
      <c r="A86" s="188">
        <v>55</v>
      </c>
      <c r="B86" s="189"/>
      <c r="C86" s="189" t="s">
        <v>181</v>
      </c>
      <c r="D86" s="152">
        <v>0</v>
      </c>
      <c r="E86" s="141">
        <v>0</v>
      </c>
      <c r="F86" s="105">
        <v>1E-4</v>
      </c>
      <c r="G86" s="113">
        <v>50</v>
      </c>
    </row>
    <row r="87" spans="1:7" s="62" customFormat="1">
      <c r="A87" s="188">
        <v>56</v>
      </c>
      <c r="B87" s="189"/>
      <c r="C87" s="189" t="s">
        <v>255</v>
      </c>
      <c r="D87" s="152">
        <v>22703.81799</v>
      </c>
      <c r="E87" s="141">
        <v>19306.3</v>
      </c>
      <c r="F87" s="105">
        <v>18594.560959999999</v>
      </c>
      <c r="G87" s="113">
        <v>15622.74</v>
      </c>
    </row>
    <row r="88" spans="1:7" s="62" customFormat="1">
      <c r="A88" s="186">
        <v>57</v>
      </c>
      <c r="B88" s="187"/>
      <c r="C88" s="187" t="s">
        <v>150</v>
      </c>
      <c r="D88" s="152">
        <v>14451.5815</v>
      </c>
      <c r="E88" s="141">
        <v>9375</v>
      </c>
      <c r="F88" s="105">
        <v>12120.48115</v>
      </c>
      <c r="G88" s="113">
        <v>13475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273">
        <v>0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208277.83653</v>
      </c>
      <c r="E95" s="33">
        <f t="shared" si="18"/>
        <v>190430.13099999996</v>
      </c>
      <c r="F95" s="33">
        <f t="shared" ref="F95:G95" si="19">SUM(F82:F94)</f>
        <v>179654.53502000001</v>
      </c>
      <c r="G95" s="33">
        <f t="shared" si="19"/>
        <v>189756.35399999999</v>
      </c>
    </row>
    <row r="96" spans="1:7" s="62" customFormat="1">
      <c r="A96" s="186">
        <v>60</v>
      </c>
      <c r="B96" s="187"/>
      <c r="C96" s="187" t="s">
        <v>262</v>
      </c>
      <c r="D96" s="152">
        <v>106.28449000000001</v>
      </c>
      <c r="E96" s="141">
        <v>0</v>
      </c>
      <c r="F96" s="105">
        <v>448.12439000000001</v>
      </c>
      <c r="G96" s="113">
        <v>200</v>
      </c>
    </row>
    <row r="97" spans="1:7" s="62" customFormat="1">
      <c r="A97" s="186">
        <v>61</v>
      </c>
      <c r="B97" s="187"/>
      <c r="C97" s="187" t="s">
        <v>263</v>
      </c>
      <c r="D97" s="152">
        <v>22291.502939999998</v>
      </c>
      <c r="E97" s="141">
        <v>8900</v>
      </c>
      <c r="F97" s="105">
        <v>17580.711899999998</v>
      </c>
      <c r="G97" s="113">
        <v>3400</v>
      </c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265</v>
      </c>
      <c r="D99" s="152">
        <v>29133.231909999999</v>
      </c>
      <c r="E99" s="141">
        <v>30219</v>
      </c>
      <c r="F99" s="105">
        <v>30937.327450000001</v>
      </c>
      <c r="G99" s="113">
        <v>30421</v>
      </c>
    </row>
    <row r="100" spans="1:7" s="62" customFormat="1">
      <c r="A100" s="186">
        <v>64</v>
      </c>
      <c r="B100" s="187"/>
      <c r="C100" s="187" t="s">
        <v>185</v>
      </c>
      <c r="D100" s="152">
        <v>2328.4564999999998</v>
      </c>
      <c r="E100" s="141">
        <v>2445.3000000000002</v>
      </c>
      <c r="F100" s="105">
        <v>2678.1522799999998</v>
      </c>
      <c r="G100" s="113">
        <v>2296.1999999999998</v>
      </c>
    </row>
    <row r="101" spans="1:7" s="62" customFormat="1">
      <c r="A101" s="186">
        <v>65</v>
      </c>
      <c r="B101" s="187"/>
      <c r="C101" s="187" t="s">
        <v>186</v>
      </c>
      <c r="D101" s="152">
        <v>0</v>
      </c>
      <c r="E101" s="141">
        <v>0</v>
      </c>
      <c r="F101" s="105">
        <v>0</v>
      </c>
      <c r="G101" s="113">
        <v>0</v>
      </c>
    </row>
    <row r="102" spans="1:7" s="62" customFormat="1">
      <c r="A102" s="186">
        <v>66</v>
      </c>
      <c r="B102" s="187"/>
      <c r="C102" s="187" t="s">
        <v>266</v>
      </c>
      <c r="D102" s="152">
        <v>58.103999999999999</v>
      </c>
      <c r="E102" s="141">
        <v>10</v>
      </c>
      <c r="F102" s="105">
        <v>25.254049999999999</v>
      </c>
      <c r="G102" s="113">
        <v>30</v>
      </c>
    </row>
    <row r="103" spans="1:7" s="62" customFormat="1">
      <c r="A103" s="186">
        <v>67</v>
      </c>
      <c r="B103" s="187"/>
      <c r="C103" s="187" t="s">
        <v>150</v>
      </c>
      <c r="D103" s="140">
        <v>14451.5815</v>
      </c>
      <c r="E103" s="138">
        <v>9375</v>
      </c>
      <c r="F103" s="104">
        <v>12120.48115</v>
      </c>
      <c r="G103" s="106">
        <v>13475</v>
      </c>
    </row>
    <row r="104" spans="1:7" s="62" customFormat="1" ht="28">
      <c r="A104" s="192" t="s">
        <v>268</v>
      </c>
      <c r="B104" s="187"/>
      <c r="C104" s="193" t="s">
        <v>267</v>
      </c>
      <c r="D104" s="140">
        <v>0</v>
      </c>
      <c r="E104" s="138">
        <v>0</v>
      </c>
      <c r="F104" s="104">
        <v>0</v>
      </c>
      <c r="G104" s="106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98">
        <v>0</v>
      </c>
      <c r="E105" s="199">
        <v>0</v>
      </c>
      <c r="F105" s="197">
        <v>0</v>
      </c>
      <c r="G105" s="357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68369.161339999991</v>
      </c>
      <c r="E106" s="33">
        <f t="shared" si="20"/>
        <v>50949.3</v>
      </c>
      <c r="F106" s="33">
        <f t="shared" ref="F106:G106" si="21">SUM(F96:F105)</f>
        <v>63790.051220000008</v>
      </c>
      <c r="G106" s="33">
        <f t="shared" si="21"/>
        <v>49822.2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139908.67519000001</v>
      </c>
      <c r="E107" s="33">
        <f t="shared" si="22"/>
        <v>139480.83099999995</v>
      </c>
      <c r="F107" s="33">
        <f t="shared" ref="F107:G107" si="23">(F95-F88)-(F106-F103)</f>
        <v>115864.48379999999</v>
      </c>
      <c r="G107" s="33">
        <f t="shared" si="23"/>
        <v>139934.15399999998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133705.73864</v>
      </c>
      <c r="E108" s="50">
        <f t="shared" si="24"/>
        <v>139926.13099999994</v>
      </c>
      <c r="F108" s="50">
        <f t="shared" ref="F108:G108" si="25">F107-F85-F86+F100+F101</f>
        <v>116836.65412999998</v>
      </c>
      <c r="G108" s="50">
        <f t="shared" si="25"/>
        <v>137980.35399999999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1465421.1687400001</v>
      </c>
      <c r="E111" s="337">
        <f t="shared" si="26"/>
        <v>0</v>
      </c>
      <c r="F111" s="336">
        <f t="shared" ref="F111:G111" si="27">F112+F117</f>
        <v>1515506.9615100003</v>
      </c>
      <c r="G111" s="337">
        <f t="shared" si="27"/>
        <v>1454676.423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828835.98870999995</v>
      </c>
      <c r="E112" s="337">
        <f t="shared" si="28"/>
        <v>0</v>
      </c>
      <c r="F112" s="336">
        <f t="shared" ref="F112:G112" si="29">F113+F114+F115+F116</f>
        <v>897196.46273000014</v>
      </c>
      <c r="G112" s="337">
        <f t="shared" si="29"/>
        <v>818676.42299999995</v>
      </c>
    </row>
    <row r="113" spans="1:7" s="62" customFormat="1">
      <c r="A113" s="212" t="s">
        <v>466</v>
      </c>
      <c r="B113" s="206"/>
      <c r="C113" s="206" t="s">
        <v>290</v>
      </c>
      <c r="D113" s="105">
        <v>551224.98372999998</v>
      </c>
      <c r="E113" s="113"/>
      <c r="F113" s="105">
        <v>580218.67914000002</v>
      </c>
      <c r="G113" s="113">
        <v>551000</v>
      </c>
    </row>
    <row r="114" spans="1:7" s="95" customFormat="1" ht="15" customHeight="1">
      <c r="A114" s="262">
        <v>102</v>
      </c>
      <c r="B114" s="265"/>
      <c r="C114" s="265" t="s">
        <v>291</v>
      </c>
      <c r="D114" s="270">
        <v>6030.63</v>
      </c>
      <c r="E114" s="271"/>
      <c r="F114" s="270">
        <v>1614.4690000000001</v>
      </c>
      <c r="G114" s="271">
        <v>6000</v>
      </c>
    </row>
    <row r="115" spans="1:7" s="62" customFormat="1">
      <c r="A115" s="212">
        <v>104</v>
      </c>
      <c r="B115" s="206"/>
      <c r="C115" s="206" t="s">
        <v>273</v>
      </c>
      <c r="D115" s="105">
        <v>268544.12581</v>
      </c>
      <c r="E115" s="113"/>
      <c r="F115" s="105">
        <v>312296.42997</v>
      </c>
      <c r="G115" s="113">
        <v>258676.42300000001</v>
      </c>
    </row>
    <row r="116" spans="1:7" s="62" customFormat="1">
      <c r="A116" s="212">
        <v>106</v>
      </c>
      <c r="B116" s="206"/>
      <c r="C116" s="206" t="s">
        <v>481</v>
      </c>
      <c r="D116" s="105">
        <v>3036.24917</v>
      </c>
      <c r="E116" s="113"/>
      <c r="F116" s="105">
        <v>3066.8846199999998</v>
      </c>
      <c r="G116" s="113">
        <v>3000</v>
      </c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636585.18003000005</v>
      </c>
      <c r="E117" s="337">
        <f t="shared" si="30"/>
        <v>0</v>
      </c>
      <c r="F117" s="336">
        <f t="shared" ref="F117:G117" si="31">F118+F119+F120</f>
        <v>618310.49878000002</v>
      </c>
      <c r="G117" s="337">
        <f t="shared" si="31"/>
        <v>636000</v>
      </c>
    </row>
    <row r="118" spans="1:7" s="62" customFormat="1">
      <c r="A118" s="212">
        <v>107</v>
      </c>
      <c r="B118" s="206"/>
      <c r="C118" s="206" t="s">
        <v>294</v>
      </c>
      <c r="D118" s="105">
        <v>510385.12650000001</v>
      </c>
      <c r="E118" s="113"/>
      <c r="F118" s="105">
        <v>492417.9901</v>
      </c>
      <c r="G118" s="113">
        <v>510000</v>
      </c>
    </row>
    <row r="119" spans="1:7" s="62" customFormat="1">
      <c r="A119" s="212">
        <v>108</v>
      </c>
      <c r="B119" s="206"/>
      <c r="C119" s="206" t="s">
        <v>295</v>
      </c>
      <c r="D119" s="105">
        <v>126200.05353</v>
      </c>
      <c r="E119" s="113"/>
      <c r="F119" s="105">
        <v>125892.50868</v>
      </c>
      <c r="G119" s="113">
        <v>126000</v>
      </c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>
        <v>0</v>
      </c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4708089.5264599994</v>
      </c>
      <c r="E121" s="336">
        <f t="shared" si="32"/>
        <v>0</v>
      </c>
      <c r="F121" s="336">
        <f t="shared" ref="F121:G121" si="33">SUM(F122:F130)</f>
        <v>4703329.4306100002</v>
      </c>
      <c r="G121" s="336">
        <f t="shared" si="33"/>
        <v>4735893.2011200003</v>
      </c>
    </row>
    <row r="122" spans="1:7" s="62" customFormat="1">
      <c r="A122" s="212" t="s">
        <v>467</v>
      </c>
      <c r="B122" s="206"/>
      <c r="C122" s="206" t="s">
        <v>274</v>
      </c>
      <c r="D122" s="105">
        <v>3251245.6395</v>
      </c>
      <c r="E122" s="113"/>
      <c r="F122" s="105">
        <v>3251626.56635</v>
      </c>
      <c r="G122" s="113">
        <v>3288135.5101600001</v>
      </c>
    </row>
    <row r="123" spans="1:7" s="62" customFormat="1">
      <c r="A123" s="212">
        <v>144</v>
      </c>
      <c r="B123" s="206"/>
      <c r="C123" s="206" t="s">
        <v>89</v>
      </c>
      <c r="D123" s="105">
        <v>341364.73267</v>
      </c>
      <c r="E123" s="113"/>
      <c r="F123" s="105">
        <v>340392.56224</v>
      </c>
      <c r="G123" s="113">
        <v>342823.23267</v>
      </c>
    </row>
    <row r="124" spans="1:7" s="62" customFormat="1">
      <c r="A124" s="212">
        <v>145</v>
      </c>
      <c r="B124" s="206"/>
      <c r="C124" s="206" t="s">
        <v>90</v>
      </c>
      <c r="D124" s="105">
        <v>672979.19536000001</v>
      </c>
      <c r="E124" s="210"/>
      <c r="F124" s="105">
        <v>672979.19635999994</v>
      </c>
      <c r="G124" s="113">
        <v>673029.19536000001</v>
      </c>
    </row>
    <row r="125" spans="1:7" s="62" customFormat="1">
      <c r="A125" s="212">
        <v>146</v>
      </c>
      <c r="B125" s="206"/>
      <c r="C125" s="206" t="s">
        <v>275</v>
      </c>
      <c r="D125" s="105">
        <v>442499.95893000002</v>
      </c>
      <c r="E125" s="210"/>
      <c r="F125" s="105">
        <v>438331.10566</v>
      </c>
      <c r="G125" s="113">
        <v>431905.26293000003</v>
      </c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>
        <v>0</v>
      </c>
      <c r="G126" s="276">
        <v>0</v>
      </c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>
        <v>0</v>
      </c>
      <c r="G127" s="210">
        <v>0</v>
      </c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>
        <v>0</v>
      </c>
      <c r="G128" s="210">
        <v>0</v>
      </c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>
        <v>0</v>
      </c>
      <c r="G129" s="210">
        <v>0</v>
      </c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>
        <v>0</v>
      </c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6173510.6952</v>
      </c>
      <c r="E131" s="18">
        <f t="shared" si="34"/>
        <v>0</v>
      </c>
      <c r="F131" s="18">
        <f t="shared" ref="F131:G131" si="35">F111+F121</f>
        <v>6218836.39212</v>
      </c>
      <c r="G131" s="18">
        <f t="shared" si="35"/>
        <v>6190569.6241200007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6">D134+D140</f>
        <v>2343222.3298399998</v>
      </c>
      <c r="E133" s="339">
        <f t="shared" si="36"/>
        <v>0</v>
      </c>
      <c r="F133" s="338">
        <f t="shared" ref="F133:G133" si="37">F134+F140</f>
        <v>2399843.1530800001</v>
      </c>
      <c r="G133" s="339">
        <f t="shared" si="37"/>
        <v>2363432.99621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8">D135+D136+D138+D139</f>
        <v>770279.92258999997</v>
      </c>
      <c r="E134" s="337">
        <f t="shared" si="38"/>
        <v>0</v>
      </c>
      <c r="F134" s="336">
        <f t="shared" ref="F134:G134" si="39">F135+F136+F138+F139</f>
        <v>804554.30404000008</v>
      </c>
      <c r="G134" s="337">
        <f t="shared" si="39"/>
        <v>756594.29599999997</v>
      </c>
    </row>
    <row r="135" spans="1:7" s="63" customFormat="1">
      <c r="A135" s="208">
        <v>200</v>
      </c>
      <c r="B135" s="206"/>
      <c r="C135" s="206" t="s">
        <v>31</v>
      </c>
      <c r="D135" s="105">
        <v>188294.83192999999</v>
      </c>
      <c r="E135" s="113"/>
      <c r="F135" s="105">
        <v>280999.89332999999</v>
      </c>
      <c r="G135" s="105">
        <v>188000</v>
      </c>
    </row>
    <row r="136" spans="1:7" s="63" customFormat="1">
      <c r="A136" s="208">
        <v>201</v>
      </c>
      <c r="B136" s="206"/>
      <c r="C136" s="206" t="s">
        <v>32</v>
      </c>
      <c r="D136" s="105">
        <v>222833.16099999999</v>
      </c>
      <c r="E136" s="113"/>
      <c r="F136" s="105">
        <v>230878.307</v>
      </c>
      <c r="G136" s="105">
        <v>223000</v>
      </c>
    </row>
    <row r="137" spans="1:7" s="63" customFormat="1">
      <c r="A137" s="204" t="s">
        <v>91</v>
      </c>
      <c r="B137" s="205"/>
      <c r="C137" s="205" t="s">
        <v>92</v>
      </c>
      <c r="D137" s="150">
        <v>9546.49</v>
      </c>
      <c r="E137" s="213"/>
      <c r="F137" s="150">
        <v>2044.316</v>
      </c>
      <c r="G137" s="150">
        <v>9546.49</v>
      </c>
    </row>
    <row r="138" spans="1:7" s="63" customFormat="1">
      <c r="A138" s="208">
        <v>204</v>
      </c>
      <c r="B138" s="206"/>
      <c r="C138" s="206" t="s">
        <v>282</v>
      </c>
      <c r="D138" s="105">
        <v>323198.21117999998</v>
      </c>
      <c r="E138" s="210"/>
      <c r="F138" s="105">
        <v>265119.51142</v>
      </c>
      <c r="G138" s="105">
        <v>314610</v>
      </c>
    </row>
    <row r="139" spans="1:7" s="63" customFormat="1">
      <c r="A139" s="208">
        <v>205</v>
      </c>
      <c r="B139" s="206"/>
      <c r="C139" s="206" t="s">
        <v>296</v>
      </c>
      <c r="D139" s="105">
        <v>35953.718480000003</v>
      </c>
      <c r="E139" s="210"/>
      <c r="F139" s="105">
        <v>27556.592290000001</v>
      </c>
      <c r="G139" s="105">
        <v>30984.295999999998</v>
      </c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40">D141+D143+D144</f>
        <v>1572942.4072499999</v>
      </c>
      <c r="E140" s="337">
        <f t="shared" si="40"/>
        <v>0</v>
      </c>
      <c r="F140" s="336">
        <f t="shared" ref="F140:G140" si="41">F141+F143+F144</f>
        <v>1595288.84904</v>
      </c>
      <c r="G140" s="337">
        <f t="shared" si="41"/>
        <v>1606838.7002099999</v>
      </c>
    </row>
    <row r="141" spans="1:7" s="63" customFormat="1">
      <c r="A141" s="208">
        <v>206</v>
      </c>
      <c r="B141" s="206"/>
      <c r="C141" s="206" t="s">
        <v>33</v>
      </c>
      <c r="D141" s="105">
        <v>1476526.7178199999</v>
      </c>
      <c r="E141" s="210"/>
      <c r="F141" s="105">
        <v>1506972.80263</v>
      </c>
      <c r="G141" s="210">
        <v>1531229.59121</v>
      </c>
    </row>
    <row r="142" spans="1:7" s="63" customFormat="1">
      <c r="A142" s="204" t="s">
        <v>93</v>
      </c>
      <c r="B142" s="205"/>
      <c r="C142" s="205" t="s">
        <v>94</v>
      </c>
      <c r="D142" s="150">
        <v>487180.28145000001</v>
      </c>
      <c r="E142" s="213"/>
      <c r="F142" s="150">
        <v>502539.07283999998</v>
      </c>
      <c r="G142" s="105">
        <v>516332.69549999997</v>
      </c>
    </row>
    <row r="143" spans="1:7" s="63" customFormat="1">
      <c r="A143" s="208">
        <v>208</v>
      </c>
      <c r="B143" s="206"/>
      <c r="C143" s="206" t="s">
        <v>297</v>
      </c>
      <c r="D143" s="105">
        <v>59905.635699999999</v>
      </c>
      <c r="E143" s="210"/>
      <c r="F143" s="105">
        <v>47364.594349999999</v>
      </c>
      <c r="G143" s="150">
        <v>44559.108999999997</v>
      </c>
    </row>
    <row r="144" spans="1:7" s="64" customFormat="1" ht="40.25" customHeight="1">
      <c r="A144" s="262">
        <v>209</v>
      </c>
      <c r="B144" s="263"/>
      <c r="C144" s="263" t="s">
        <v>285</v>
      </c>
      <c r="D144" s="117">
        <v>36510.05373</v>
      </c>
      <c r="E144" s="276"/>
      <c r="F144" s="117">
        <v>40951.452060000003</v>
      </c>
      <c r="G144" s="105">
        <v>31050</v>
      </c>
    </row>
    <row r="145" spans="1:7" s="62" customFormat="1">
      <c r="A145" s="257">
        <v>29</v>
      </c>
      <c r="B145" s="255"/>
      <c r="C145" s="255" t="s">
        <v>36</v>
      </c>
      <c r="D145" s="209">
        <v>3830288.3653600002</v>
      </c>
      <c r="E145" s="210"/>
      <c r="F145" s="209">
        <v>3818993.2390399999</v>
      </c>
      <c r="G145" s="210">
        <v>3827136.6279099998</v>
      </c>
    </row>
    <row r="146" spans="1:7" s="62" customFormat="1">
      <c r="A146" s="211" t="s">
        <v>190</v>
      </c>
      <c r="B146" s="207"/>
      <c r="C146" s="207" t="s">
        <v>191</v>
      </c>
      <c r="D146" s="169">
        <v>745421.93065999995</v>
      </c>
      <c r="E146" s="174"/>
      <c r="F146" s="169">
        <v>733509.73684000003</v>
      </c>
      <c r="G146" s="174">
        <v>742270.19320999901</v>
      </c>
    </row>
    <row r="147" spans="1:7">
      <c r="A147" s="13">
        <v>2</v>
      </c>
      <c r="B147" s="14"/>
      <c r="C147" s="13" t="s">
        <v>34</v>
      </c>
      <c r="D147" s="18">
        <f>D133+D145</f>
        <v>6173510.6952</v>
      </c>
      <c r="E147" s="18">
        <f>E133+E145</f>
        <v>0</v>
      </c>
      <c r="F147" s="18">
        <f>F133+F145</f>
        <v>6218836.39212</v>
      </c>
      <c r="G147" s="18">
        <f>G133+G145</f>
        <v>6190569.6241199998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42">D77+SUM(D8:D12)-D30-D31+D16-D33+D59+D63-D73+D64-D74-D54+D20-D35</f>
        <v>80118.183300000266</v>
      </c>
      <c r="E150" s="55">
        <f t="shared" si="42"/>
        <v>127396.47499999969</v>
      </c>
      <c r="F150" s="55">
        <f t="shared" ref="F150:G150" si="43">F77+SUM(F8:F12)-F30-F31+F16-F33+F59+F63-F73+F64-F74-F54+F20-F35</f>
        <v>142714.69644999999</v>
      </c>
      <c r="G150" s="55">
        <f t="shared" si="43"/>
        <v>150045.02489000035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4">IF(D177=0,0,D150/D177)</f>
        <v>3.0552876220090831E-2</v>
      </c>
      <c r="E151" s="258">
        <f t="shared" si="44"/>
        <v>4.7152045642026845E-2</v>
      </c>
      <c r="F151" s="258">
        <f t="shared" ref="F151:G151" si="45">IF(F177=0,0,F150/F177)</f>
        <v>5.2133280754492431E-2</v>
      </c>
      <c r="G151" s="258">
        <f t="shared" si="45"/>
        <v>5.512575405693939E-2</v>
      </c>
    </row>
    <row r="152" spans="1:7" s="251" customFormat="1" ht="28">
      <c r="A152" s="58" t="s">
        <v>404</v>
      </c>
      <c r="B152" s="309"/>
      <c r="C152" s="309" t="s">
        <v>161</v>
      </c>
      <c r="D152" s="242">
        <f t="shared" ref="D152:E152" si="46">IF(D107=0,0,D150/D107)</f>
        <v>0.57264628652367311</v>
      </c>
      <c r="E152" s="242">
        <f t="shared" si="46"/>
        <v>0.91336188698215981</v>
      </c>
      <c r="F152" s="242">
        <f t="shared" ref="F152:G152" si="47">IF(F107=0,0,F150/F107)</f>
        <v>1.2317380768411106</v>
      </c>
      <c r="G152" s="242">
        <f t="shared" si="47"/>
        <v>1.0722544897080692</v>
      </c>
    </row>
    <row r="153" spans="1:7" s="251" customFormat="1" ht="28">
      <c r="A153" s="57" t="s">
        <v>404</v>
      </c>
      <c r="B153" s="310"/>
      <c r="C153" s="310" t="s">
        <v>162</v>
      </c>
      <c r="D153" s="245">
        <f t="shared" ref="D153:E153" si="48">IF(0=D108,0,D150/D108)</f>
        <v>0.59921274969144633</v>
      </c>
      <c r="E153" s="245">
        <f t="shared" si="48"/>
        <v>0.91045521011368313</v>
      </c>
      <c r="F153" s="245">
        <f t="shared" ref="F153:G153" si="49">IF(0=F108,0,F150/F108)</f>
        <v>1.2214890738929107</v>
      </c>
      <c r="G153" s="245">
        <f t="shared" si="49"/>
        <v>1.0874375991961895</v>
      </c>
    </row>
    <row r="154" spans="1:7" ht="28">
      <c r="A154" s="60" t="s">
        <v>412</v>
      </c>
      <c r="B154" s="311"/>
      <c r="C154" s="311" t="s">
        <v>163</v>
      </c>
      <c r="D154" s="56">
        <f t="shared" ref="D154:E154" si="50">D150-D107</f>
        <v>-59790.491889999743</v>
      </c>
      <c r="E154" s="56">
        <f t="shared" si="50"/>
        <v>-12084.356000000262</v>
      </c>
      <c r="F154" s="56">
        <f t="shared" ref="F154:G154" si="51">F150-F107</f>
        <v>26850.212650000001</v>
      </c>
      <c r="G154" s="56">
        <f t="shared" si="51"/>
        <v>10110.870890000369</v>
      </c>
    </row>
    <row r="155" spans="1:7" ht="28">
      <c r="A155" s="57" t="s">
        <v>413</v>
      </c>
      <c r="B155" s="310"/>
      <c r="C155" s="310" t="s">
        <v>164</v>
      </c>
      <c r="D155" s="59">
        <f t="shared" ref="D155:E155" si="52">D150-D108</f>
        <v>-53587.55533999973</v>
      </c>
      <c r="E155" s="59">
        <f t="shared" si="52"/>
        <v>-12529.65600000025</v>
      </c>
      <c r="F155" s="59">
        <f t="shared" ref="F155:G155" si="53">F150-F108</f>
        <v>25878.042320000008</v>
      </c>
      <c r="G155" s="59">
        <f t="shared" si="53"/>
        <v>12064.670890000358</v>
      </c>
    </row>
    <row r="156" spans="1:7">
      <c r="A156" s="325" t="s">
        <v>391</v>
      </c>
      <c r="B156" s="307"/>
      <c r="C156" s="307" t="s">
        <v>35</v>
      </c>
      <c r="D156" s="47">
        <f t="shared" ref="D156:E156" si="54">D135+D136-D137+D141-D142</f>
        <v>1390927.9392999997</v>
      </c>
      <c r="E156" s="47">
        <f t="shared" si="54"/>
        <v>0</v>
      </c>
      <c r="F156" s="47">
        <f t="shared" ref="F156:G156" si="55">F135+F136-F137+F141-F142</f>
        <v>1514267.61412</v>
      </c>
      <c r="G156" s="47">
        <f t="shared" si="55"/>
        <v>1416350.4057100001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6">IF(D177=0,0,D156/D177)</f>
        <v>0.53042701931184155</v>
      </c>
      <c r="E157" s="241">
        <f t="shared" si="56"/>
        <v>0</v>
      </c>
      <c r="F157" s="241">
        <f t="shared" ref="F157:G157" si="57">IF(F177=0,0,F156/F177)</f>
        <v>0.5531577379769802</v>
      </c>
      <c r="G157" s="241">
        <f t="shared" si="57"/>
        <v>0.52035969990244713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8">D133-D142-D111</f>
        <v>390620.87964999955</v>
      </c>
      <c r="E158" s="47">
        <f t="shared" si="58"/>
        <v>0</v>
      </c>
      <c r="F158" s="47">
        <f t="shared" ref="F158:G158" si="59">F133-F142-F111</f>
        <v>381797.11872999975</v>
      </c>
      <c r="G158" s="47">
        <f t="shared" si="59"/>
        <v>392423.87771000015</v>
      </c>
    </row>
    <row r="159" spans="1:7">
      <c r="A159" s="326" t="s">
        <v>395</v>
      </c>
      <c r="B159" s="308"/>
      <c r="C159" s="308" t="s">
        <v>394</v>
      </c>
      <c r="D159" s="40">
        <f t="shared" ref="D159:E159" si="60">D121-D123-D124-D142-D145</f>
        <v>-623723.04838000098</v>
      </c>
      <c r="E159" s="40">
        <f t="shared" si="60"/>
        <v>0</v>
      </c>
      <c r="F159" s="40">
        <f t="shared" ref="F159:G159" si="61">F121-F123-F124-F142-F145</f>
        <v>-631574.63986999961</v>
      </c>
      <c r="G159" s="40">
        <f t="shared" si="61"/>
        <v>-623428.55031999946</v>
      </c>
    </row>
    <row r="160" spans="1:7">
      <c r="A160" s="326" t="s">
        <v>400</v>
      </c>
      <c r="B160" s="308"/>
      <c r="C160" s="308" t="s">
        <v>115</v>
      </c>
      <c r="D160" s="240">
        <f t="shared" ref="D160:E160" si="62">IF(D175=0,"-",1000*D158/D175)</f>
        <v>1014.5996874025963</v>
      </c>
      <c r="E160" s="240">
        <f t="shared" si="62"/>
        <v>0</v>
      </c>
      <c r="F160" s="240">
        <f t="shared" ref="F160:G160" si="63">IF(F175=0,"-",1000*F158/F175)</f>
        <v>978.58808187086481</v>
      </c>
      <c r="G160" s="240">
        <f t="shared" si="63"/>
        <v>1005.825635997345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4">IF(D175=0,0,1000*(D159/D175))</f>
        <v>-1620.0598659220805</v>
      </c>
      <c r="E161" s="40">
        <f t="shared" si="64"/>
        <v>0</v>
      </c>
      <c r="F161" s="40">
        <f t="shared" ref="F161:G161" si="65">IF(F175=0,0,1000*(F159/F175))</f>
        <v>-1618.7953891442021</v>
      </c>
      <c r="G161" s="40">
        <f t="shared" si="65"/>
        <v>-1597.9160640880054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6">IF((D22+D23+D65+D66)=0,0,D158/(D22+D23+D65+D66))</f>
        <v>0.37247400036113509</v>
      </c>
      <c r="E162" s="241">
        <f t="shared" si="66"/>
        <v>0</v>
      </c>
      <c r="F162" s="241">
        <f t="shared" ref="F162:G162" si="67">IF((F22+F23+F65+F66)=0,0,F158/(F22+F23+F65+F66))</f>
        <v>0.34471371536223328</v>
      </c>
      <c r="G162" s="241">
        <f t="shared" si="67"/>
        <v>0.33860749795944722</v>
      </c>
    </row>
    <row r="163" spans="1:7">
      <c r="A163" s="326" t="s">
        <v>409</v>
      </c>
      <c r="B163" s="308"/>
      <c r="C163" s="308" t="s">
        <v>36</v>
      </c>
      <c r="D163" s="55">
        <f t="shared" ref="D163:E163" si="68">D145</f>
        <v>3830288.3653600002</v>
      </c>
      <c r="E163" s="55">
        <f t="shared" si="68"/>
        <v>0</v>
      </c>
      <c r="F163" s="55">
        <f t="shared" ref="F163:G163" si="69">F145</f>
        <v>3818993.2390399999</v>
      </c>
      <c r="G163" s="55">
        <f t="shared" si="69"/>
        <v>3827136.6279099998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0.27817671277928752</v>
      </c>
      <c r="E164" s="245">
        <f>IF(E178=0,0,E146/E178)</f>
        <v>0</v>
      </c>
      <c r="F164" s="245">
        <f>IF(F178=0,0,F146/F178)</f>
        <v>0.26845775994107568</v>
      </c>
      <c r="G164" s="245">
        <f>IF(G178=0,0,G146/G178)</f>
        <v>0.27350721318740684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70">IF(D177=0,0,D180/D177)</f>
        <v>6.1694088410960489E-2</v>
      </c>
      <c r="E165" s="259">
        <f t="shared" si="70"/>
        <v>6.081474777245055E-2</v>
      </c>
      <c r="F165" s="259">
        <f t="shared" ref="F165:G165" si="71">IF(F177=0,0,F180/F177)</f>
        <v>5.8553727474986779E-2</v>
      </c>
      <c r="G165" s="259">
        <f t="shared" si="71"/>
        <v>6.0120361284566368E-2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72">D55</f>
        <v>88236.55799999999</v>
      </c>
      <c r="E166" s="55">
        <f t="shared" si="72"/>
        <v>82267.726999999999</v>
      </c>
      <c r="F166" s="55">
        <f t="shared" ref="F166:G166" si="73">F55</f>
        <v>95918.543080000003</v>
      </c>
      <c r="G166" s="55">
        <f t="shared" si="73"/>
        <v>78447.360000000015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4">IF(0=D111,0,(D44+D45+D46+D47+D48)/D111)</f>
        <v>2.1810623240471807E-2</v>
      </c>
      <c r="E167" s="241">
        <f t="shared" si="74"/>
        <v>0</v>
      </c>
      <c r="F167" s="241">
        <f t="shared" ref="F167:G167" si="75">IF(0=F111,0,(F44+F45+F46+F47+F48)/F111)</f>
        <v>2.2953535868512384E-2</v>
      </c>
      <c r="G167" s="241">
        <f t="shared" si="75"/>
        <v>1.8647590330815447E-2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6">D38-D44</f>
        <v>26736.211000000003</v>
      </c>
      <c r="E168" s="55">
        <f t="shared" si="76"/>
        <v>24334.519999999997</v>
      </c>
      <c r="F168" s="55">
        <f t="shared" ref="F168:G168" si="77">F38-F44</f>
        <v>24249.82775</v>
      </c>
      <c r="G168" s="55">
        <f t="shared" si="77"/>
        <v>22852.118000000002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78">IF(D177=0,0,D168/D177)</f>
        <v>1.0195789665106252E-2</v>
      </c>
      <c r="E169" s="258">
        <f t="shared" si="78"/>
        <v>9.0067044454473152E-3</v>
      </c>
      <c r="F169" s="258">
        <f t="shared" ref="F169:G169" si="79">IF(F177=0,0,F168/F177)</f>
        <v>8.8583944736325831E-3</v>
      </c>
      <c r="G169" s="258">
        <f t="shared" si="79"/>
        <v>8.3957481260820681E-3</v>
      </c>
    </row>
    <row r="170" spans="1:7">
      <c r="A170" s="326" t="s">
        <v>366</v>
      </c>
      <c r="B170" s="308"/>
      <c r="C170" s="308" t="s">
        <v>364</v>
      </c>
      <c r="D170" s="55">
        <f t="shared" ref="D170:E170" si="80">SUM(D82:D87)+SUM(D89:D94)</f>
        <v>193826.25503</v>
      </c>
      <c r="E170" s="55">
        <f t="shared" si="80"/>
        <v>181055.13099999996</v>
      </c>
      <c r="F170" s="55">
        <f t="shared" ref="F170:G170" si="81">SUM(F82:F87)+SUM(F89:F94)</f>
        <v>167534.05387</v>
      </c>
      <c r="G170" s="55">
        <f t="shared" si="81"/>
        <v>176281.35399999999</v>
      </c>
    </row>
    <row r="171" spans="1:7">
      <c r="A171" s="326" t="s">
        <v>367</v>
      </c>
      <c r="B171" s="308"/>
      <c r="C171" s="308" t="s">
        <v>365</v>
      </c>
      <c r="D171" s="40">
        <f t="shared" ref="D171:E171" si="82">SUM(D96:D102)+SUM(D104:D105)</f>
        <v>53917.579839999999</v>
      </c>
      <c r="E171" s="40">
        <f t="shared" si="82"/>
        <v>41574.300000000003</v>
      </c>
      <c r="F171" s="40">
        <f t="shared" ref="F171:G171" si="83">SUM(F96:F102)+SUM(F104:F105)</f>
        <v>51669.570070000009</v>
      </c>
      <c r="G171" s="40">
        <f t="shared" si="83"/>
        <v>36347.199999999997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4">IF(D184=0,0,D170/D184)</f>
        <v>7.1385619261723432E-2</v>
      </c>
      <c r="E172" s="259">
        <f t="shared" si="84"/>
        <v>6.6106479886358857E-2</v>
      </c>
      <c r="F172" s="259">
        <f t="shared" ref="F172:G172" si="85">IF(F184=0,0,F170/F184)</f>
        <v>6.1304811853498467E-2</v>
      </c>
      <c r="G172" s="259">
        <f t="shared" si="85"/>
        <v>6.4552136711220717E-2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4">
        <v>385000</v>
      </c>
      <c r="E175" s="341">
        <v>389000</v>
      </c>
      <c r="F175" s="341">
        <v>390151</v>
      </c>
      <c r="G175" s="341">
        <v>390151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6">SUM(D22:D32)+SUM(D44:D53)+SUM(D65:D72)+D75</f>
        <v>2622279.5759999999</v>
      </c>
      <c r="E177" s="39">
        <f t="shared" si="86"/>
        <v>2701822.8640000001</v>
      </c>
      <c r="F177" s="39">
        <f t="shared" ref="F177:G177" si="87">SUM(F22:F32)+SUM(F44:F53)+SUM(F65:F72)+F75</f>
        <v>2737496.9383199997</v>
      </c>
      <c r="G177" s="39">
        <f t="shared" si="87"/>
        <v>2721867.9808900002</v>
      </c>
    </row>
    <row r="178" spans="1:7">
      <c r="A178" s="236" t="s">
        <v>385</v>
      </c>
      <c r="B178" s="23"/>
      <c r="C178" s="23" t="s">
        <v>100</v>
      </c>
      <c r="D178" s="39">
        <f t="shared" ref="D178:E178" si="88">D78-D17-D20-D59-D63-D64</f>
        <v>2679670.4986999999</v>
      </c>
      <c r="E178" s="39">
        <f t="shared" si="88"/>
        <v>2712946.3580000005</v>
      </c>
      <c r="F178" s="39">
        <f t="shared" ref="F178:G178" si="89">F78-F17-F20-F59-F63-F64</f>
        <v>2732309.68254</v>
      </c>
      <c r="G178" s="39">
        <f t="shared" si="89"/>
        <v>2713896.2243799996</v>
      </c>
    </row>
    <row r="179" spans="1:7">
      <c r="A179" s="236"/>
      <c r="B179" s="23"/>
      <c r="C179" s="23" t="s">
        <v>388</v>
      </c>
      <c r="D179" s="39">
        <f t="shared" ref="D179:E179" si="90">D178+D170</f>
        <v>2873496.75373</v>
      </c>
      <c r="E179" s="39">
        <f t="shared" si="90"/>
        <v>2894001.4890000005</v>
      </c>
      <c r="F179" s="39">
        <f t="shared" ref="F179:G179" si="91">F178+F170</f>
        <v>2899843.7364099999</v>
      </c>
      <c r="G179" s="39">
        <f t="shared" si="91"/>
        <v>2890177.5783799994</v>
      </c>
    </row>
    <row r="180" spans="1:7">
      <c r="A180" s="236" t="s">
        <v>389</v>
      </c>
      <c r="B180" s="23"/>
      <c r="C180" s="23" t="s">
        <v>390</v>
      </c>
      <c r="D180" s="39">
        <f t="shared" ref="D180:E180" si="92">D38-D44+D8+D9+D10+D16-D33</f>
        <v>161779.14799999999</v>
      </c>
      <c r="E180" s="39">
        <f t="shared" si="92"/>
        <v>164310.67599999998</v>
      </c>
      <c r="F180" s="39">
        <f t="shared" ref="F180:G180" si="93">F38-F44+F8+F9+F10+F16-F33</f>
        <v>160290.64968999996</v>
      </c>
      <c r="G180" s="39">
        <f t="shared" si="93"/>
        <v>163639.68638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4">D22+D23+D24+D25+D26+D29+SUM(D44:D47)+SUM(D49:D53)-D54+D32-D33+SUM(D65:D70)+D72</f>
        <v>2600610.11</v>
      </c>
      <c r="E181" s="73">
        <f t="shared" si="94"/>
        <v>2685182.2460000003</v>
      </c>
      <c r="F181" s="73">
        <f t="shared" ref="F181:G181" si="95">F22+F23+F24+F25+F26+F29+SUM(F44:F47)+SUM(F49:F53)-F54+F32-F33+SUM(F65:F70)+F72</f>
        <v>2698369.8576300004</v>
      </c>
      <c r="G181" s="73">
        <f t="shared" si="95"/>
        <v>2704640.5258900002</v>
      </c>
    </row>
    <row r="182" spans="1:7">
      <c r="A182" s="237" t="s">
        <v>375</v>
      </c>
      <c r="B182" s="71"/>
      <c r="C182" s="71" t="s">
        <v>170</v>
      </c>
      <c r="D182" s="73">
        <f t="shared" ref="D182:E182" si="96">D181+D171</f>
        <v>2654527.6898399997</v>
      </c>
      <c r="E182" s="73">
        <f t="shared" si="96"/>
        <v>2726756.5460000001</v>
      </c>
      <c r="F182" s="73">
        <f t="shared" ref="F182:G182" si="97">F181+F171</f>
        <v>2750039.4277000003</v>
      </c>
      <c r="G182" s="73">
        <f t="shared" si="97"/>
        <v>2740987.7258900004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2521374.0477</v>
      </c>
      <c r="E183" s="73">
        <f t="shared" ref="E183:G183" si="98">E4+E5-E7+E38+E39+E40+E41+E43+E13-E16+E57+E58+E60+E62</f>
        <v>2557785.7710000002</v>
      </c>
      <c r="F183" s="73">
        <f t="shared" si="98"/>
        <v>2565270.2530799997</v>
      </c>
      <c r="G183" s="73">
        <f t="shared" si="98"/>
        <v>2554555.5009999997</v>
      </c>
    </row>
    <row r="184" spans="1:7">
      <c r="A184" s="237" t="s">
        <v>373</v>
      </c>
      <c r="B184" s="71"/>
      <c r="C184" s="71" t="s">
        <v>171</v>
      </c>
      <c r="D184" s="73">
        <f t="shared" ref="D184:E184" si="99">D183+D170</f>
        <v>2715200.3027300001</v>
      </c>
      <c r="E184" s="73">
        <f t="shared" si="99"/>
        <v>2738840.9020000002</v>
      </c>
      <c r="F184" s="73">
        <f t="shared" ref="F184:G184" si="100">F183+F170</f>
        <v>2732804.3069499996</v>
      </c>
      <c r="G184" s="73">
        <f t="shared" si="100"/>
        <v>2730836.8549999995</v>
      </c>
    </row>
    <row r="185" spans="1:7">
      <c r="A185" s="237"/>
      <c r="B185" s="71"/>
      <c r="C185" s="71" t="s">
        <v>405</v>
      </c>
      <c r="D185" s="73">
        <f t="shared" ref="D185:E186" si="101">D181-D183</f>
        <v>79236.062299999874</v>
      </c>
      <c r="E185" s="73">
        <f t="shared" si="101"/>
        <v>127396.47500000009</v>
      </c>
      <c r="F185" s="73">
        <f t="shared" ref="F185:G185" si="102">F181-F183</f>
        <v>133099.60455000075</v>
      </c>
      <c r="G185" s="73">
        <f t="shared" si="102"/>
        <v>150085.02489000047</v>
      </c>
    </row>
    <row r="186" spans="1:7">
      <c r="A186" s="237"/>
      <c r="B186" s="71"/>
      <c r="C186" s="71" t="s">
        <v>406</v>
      </c>
      <c r="D186" s="73">
        <f t="shared" si="101"/>
        <v>-60672.612890000455</v>
      </c>
      <c r="E186" s="73">
        <f t="shared" si="101"/>
        <v>-12084.356000000145</v>
      </c>
      <c r="F186" s="73">
        <f t="shared" ref="F186:G186" si="103">F182-F184</f>
        <v>17235.1207500007</v>
      </c>
      <c r="G186" s="73">
        <f t="shared" si="103"/>
        <v>10150.870890000835</v>
      </c>
    </row>
  </sheetData>
  <sheetProtection selectLockedCells="1" sort="0" autoFilter="0" pivotTables="0"/>
  <mergeCells count="2">
    <mergeCell ref="A3:C3"/>
    <mergeCell ref="A81:C81"/>
  </mergeCells>
  <phoneticPr fontId="31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0" tint="-0.249977111117893"/>
  </sheetPr>
  <dimension ref="A1:I43"/>
  <sheetViews>
    <sheetView view="pageLayout" zoomScaleNormal="115" workbookViewId="0">
      <selection activeCell="K44" sqref="K44:N48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630</v>
      </c>
      <c r="C1" s="374" t="s">
        <v>172</v>
      </c>
      <c r="D1" s="375" t="s">
        <v>514</v>
      </c>
      <c r="E1" s="374" t="s">
        <v>2</v>
      </c>
      <c r="F1" s="375" t="s">
        <v>514</v>
      </c>
      <c r="G1" s="374" t="s">
        <v>172</v>
      </c>
      <c r="H1" s="375" t="s">
        <v>514</v>
      </c>
      <c r="I1" s="376" t="s">
        <v>2</v>
      </c>
    </row>
    <row r="2" spans="1:9">
      <c r="A2" s="444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444"/>
      <c r="B3" s="382" t="s">
        <v>591</v>
      </c>
      <c r="C3" s="433"/>
      <c r="D3" s="384"/>
      <c r="E3" s="385"/>
      <c r="F3" s="384"/>
      <c r="G3" s="385"/>
      <c r="H3" s="384"/>
      <c r="I3" s="386"/>
    </row>
    <row r="4" spans="1:9">
      <c r="A4" s="372" t="s">
        <v>518</v>
      </c>
      <c r="B4" s="387" t="s">
        <v>41</v>
      </c>
      <c r="C4" s="388">
        <v>950093.5</v>
      </c>
      <c r="D4" s="389">
        <f t="shared" ref="D4:D16" si="0">CHOOSE((C4&lt;&gt;0)+1,"  -",(E4-C4)/C4)</f>
        <v>3.5586287033855135E-2</v>
      </c>
      <c r="E4" s="388">
        <v>983903.8</v>
      </c>
      <c r="F4" s="389">
        <f t="shared" ref="F4:F27" si="1">CHOOSE((E4&lt;&gt;0)+1,"  -",(G4-E4)/E4)</f>
        <v>-7.9897038714558197E-3</v>
      </c>
      <c r="G4" s="388">
        <v>976042.7</v>
      </c>
      <c r="H4" s="389">
        <f t="shared" ref="H4:H16" si="2">CHOOSE((G4&lt;&gt;0)+1,"  -",(I4-G4)/G4)</f>
        <v>1.3964450530699142E-2</v>
      </c>
      <c r="I4" s="390">
        <v>989672.6</v>
      </c>
    </row>
    <row r="5" spans="1:9">
      <c r="A5" s="391" t="s">
        <v>519</v>
      </c>
      <c r="B5" s="382" t="s">
        <v>592</v>
      </c>
      <c r="C5" s="392">
        <v>231874.4</v>
      </c>
      <c r="D5" s="393">
        <f t="shared" si="0"/>
        <v>-2.0561993907046178E-2</v>
      </c>
      <c r="E5" s="392">
        <v>227106.6</v>
      </c>
      <c r="F5" s="393">
        <f t="shared" si="1"/>
        <v>7.6563164610803395E-3</v>
      </c>
      <c r="G5" s="392">
        <v>228845.4</v>
      </c>
      <c r="H5" s="393">
        <f t="shared" si="2"/>
        <v>-2.2128913231378066E-2</v>
      </c>
      <c r="I5" s="394">
        <v>223781.3</v>
      </c>
    </row>
    <row r="6" spans="1:9">
      <c r="A6" s="391" t="s">
        <v>298</v>
      </c>
      <c r="B6" s="382" t="s">
        <v>593</v>
      </c>
      <c r="C6" s="392">
        <v>67745.7</v>
      </c>
      <c r="D6" s="393">
        <f t="shared" si="0"/>
        <v>-0.20297819640213319</v>
      </c>
      <c r="E6" s="392">
        <v>53994.8</v>
      </c>
      <c r="F6" s="393">
        <f t="shared" si="1"/>
        <v>5.3547749042500307E-2</v>
      </c>
      <c r="G6" s="392">
        <v>56886.1</v>
      </c>
      <c r="H6" s="393">
        <f t="shared" si="2"/>
        <v>-0.11204143015604864</v>
      </c>
      <c r="I6" s="394">
        <v>50512.5</v>
      </c>
    </row>
    <row r="7" spans="1:9">
      <c r="A7" s="391" t="s">
        <v>522</v>
      </c>
      <c r="B7" s="382" t="s">
        <v>594</v>
      </c>
      <c r="C7" s="392">
        <v>36418.5</v>
      </c>
      <c r="D7" s="393">
        <f t="shared" si="0"/>
        <v>-2.2900448947650233E-2</v>
      </c>
      <c r="E7" s="392">
        <v>35584.5</v>
      </c>
      <c r="F7" s="393">
        <f t="shared" si="1"/>
        <v>-2.527504952999203E-2</v>
      </c>
      <c r="G7" s="392">
        <v>34685.1</v>
      </c>
      <c r="H7" s="393">
        <f t="shared" si="2"/>
        <v>1.1956142551124385E-2</v>
      </c>
      <c r="I7" s="394">
        <v>35099.800000000003</v>
      </c>
    </row>
    <row r="8" spans="1:9">
      <c r="A8" s="391" t="s">
        <v>524</v>
      </c>
      <c r="B8" s="382" t="s">
        <v>595</v>
      </c>
      <c r="C8" s="392">
        <v>24700.3</v>
      </c>
      <c r="D8" s="393">
        <f t="shared" si="0"/>
        <v>-0.3359999676117294</v>
      </c>
      <c r="E8" s="392">
        <v>16401</v>
      </c>
      <c r="F8" s="393">
        <f t="shared" si="1"/>
        <v>0.92119992683372953</v>
      </c>
      <c r="G8" s="392">
        <v>31509.599999999999</v>
      </c>
      <c r="H8" s="393">
        <f t="shared" si="2"/>
        <v>-0.3945940284865565</v>
      </c>
      <c r="I8" s="394">
        <v>19076.099999999999</v>
      </c>
    </row>
    <row r="9" spans="1:9">
      <c r="A9" s="391" t="s">
        <v>526</v>
      </c>
      <c r="B9" s="382" t="s">
        <v>596</v>
      </c>
      <c r="C9" s="392">
        <v>180875.5</v>
      </c>
      <c r="D9" s="393">
        <f t="shared" si="0"/>
        <v>-5.1476291703409185E-2</v>
      </c>
      <c r="E9" s="392">
        <v>171564.7</v>
      </c>
      <c r="F9" s="393">
        <f t="shared" si="1"/>
        <v>6.4844341522469363E-3</v>
      </c>
      <c r="G9" s="392">
        <v>172677.2</v>
      </c>
      <c r="H9" s="393">
        <f t="shared" si="2"/>
        <v>6.085806348493019E-2</v>
      </c>
      <c r="I9" s="394">
        <v>183186</v>
      </c>
    </row>
    <row r="10" spans="1:9">
      <c r="A10" s="391" t="s">
        <v>528</v>
      </c>
      <c r="B10" s="382" t="s">
        <v>597</v>
      </c>
      <c r="C10" s="392">
        <v>1481454</v>
      </c>
      <c r="D10" s="393">
        <f t="shared" si="0"/>
        <v>2.7959221143552246E-2</v>
      </c>
      <c r="E10" s="392">
        <v>1522874.3</v>
      </c>
      <c r="F10" s="393">
        <f t="shared" si="1"/>
        <v>1.5486045039961635E-2</v>
      </c>
      <c r="G10" s="392">
        <v>1546457.6</v>
      </c>
      <c r="H10" s="393">
        <f t="shared" si="2"/>
        <v>-1.3919683281326423E-2</v>
      </c>
      <c r="I10" s="394">
        <v>1524931.4</v>
      </c>
    </row>
    <row r="11" spans="1:9">
      <c r="A11" s="391" t="s">
        <v>598</v>
      </c>
      <c r="B11" s="382" t="s">
        <v>599</v>
      </c>
      <c r="C11" s="392">
        <v>31658</v>
      </c>
      <c r="D11" s="393">
        <f t="shared" si="0"/>
        <v>3.1483353338808542E-2</v>
      </c>
      <c r="E11" s="392">
        <v>32654.7</v>
      </c>
      <c r="F11" s="393">
        <f t="shared" si="1"/>
        <v>0.32881331018199522</v>
      </c>
      <c r="G11" s="392">
        <v>43392</v>
      </c>
      <c r="H11" s="393">
        <f t="shared" si="2"/>
        <v>-0.24952525811209442</v>
      </c>
      <c r="I11" s="394">
        <v>32564.6</v>
      </c>
    </row>
    <row r="12" spans="1:9">
      <c r="A12" s="391" t="s">
        <v>600</v>
      </c>
      <c r="B12" s="382" t="s">
        <v>601</v>
      </c>
      <c r="C12" s="392">
        <v>474858.8</v>
      </c>
      <c r="D12" s="393">
        <f t="shared" si="0"/>
        <v>3.904276387001776E-2</v>
      </c>
      <c r="E12" s="392">
        <v>493398.6</v>
      </c>
      <c r="F12" s="393">
        <f t="shared" si="1"/>
        <v>-2.8310578911249374E-2</v>
      </c>
      <c r="G12" s="392">
        <v>479430.2</v>
      </c>
      <c r="H12" s="393">
        <f t="shared" si="2"/>
        <v>4.3040259040836366E-2</v>
      </c>
      <c r="I12" s="394">
        <v>500065</v>
      </c>
    </row>
    <row r="13" spans="1:9">
      <c r="A13" s="391" t="s">
        <v>602</v>
      </c>
      <c r="B13" s="382" t="s">
        <v>603</v>
      </c>
      <c r="C13" s="392">
        <v>238688.2</v>
      </c>
      <c r="D13" s="393">
        <f t="shared" si="0"/>
        <v>4.5591277658468148E-2</v>
      </c>
      <c r="E13" s="392">
        <v>249570.3</v>
      </c>
      <c r="F13" s="393">
        <f t="shared" si="1"/>
        <v>5.5856005301912932E-3</v>
      </c>
      <c r="G13" s="392">
        <v>250964.3</v>
      </c>
      <c r="H13" s="393">
        <f t="shared" si="2"/>
        <v>3.2569971107444459E-2</v>
      </c>
      <c r="I13" s="394">
        <v>259138.2</v>
      </c>
    </row>
    <row r="14" spans="1:9">
      <c r="A14" s="391" t="s">
        <v>604</v>
      </c>
      <c r="B14" s="382" t="s">
        <v>605</v>
      </c>
      <c r="C14" s="392">
        <v>1099.8</v>
      </c>
      <c r="D14" s="393">
        <f t="shared" si="0"/>
        <v>-3.455173667939584E-3</v>
      </c>
      <c r="E14" s="392">
        <v>1096</v>
      </c>
      <c r="F14" s="393">
        <f t="shared" si="1"/>
        <v>-0.10200729927007295</v>
      </c>
      <c r="G14" s="392">
        <v>984.2</v>
      </c>
      <c r="H14" s="393">
        <f t="shared" si="2"/>
        <v>0.11765901239585445</v>
      </c>
      <c r="I14" s="394">
        <v>1100</v>
      </c>
    </row>
    <row r="15" spans="1:9">
      <c r="A15" s="391" t="s">
        <v>606</v>
      </c>
      <c r="B15" s="382" t="s">
        <v>607</v>
      </c>
      <c r="C15" s="392">
        <v>4192.3</v>
      </c>
      <c r="D15" s="393">
        <f t="shared" si="0"/>
        <v>4.8350547432197077E-2</v>
      </c>
      <c r="E15" s="392">
        <v>4395</v>
      </c>
      <c r="F15" s="393">
        <f t="shared" si="1"/>
        <v>0.21483503981797494</v>
      </c>
      <c r="G15" s="392">
        <v>5339.2</v>
      </c>
      <c r="H15" s="393">
        <f t="shared" si="2"/>
        <v>-8.2783937668564241E-3</v>
      </c>
      <c r="I15" s="394">
        <v>5295</v>
      </c>
    </row>
    <row r="16" spans="1:9">
      <c r="A16" s="391" t="s">
        <v>608</v>
      </c>
      <c r="B16" s="382" t="s">
        <v>609</v>
      </c>
      <c r="C16" s="392">
        <v>6056</v>
      </c>
      <c r="D16" s="393">
        <f t="shared" si="0"/>
        <v>-5.8454425363276087E-2</v>
      </c>
      <c r="E16" s="392">
        <v>5702</v>
      </c>
      <c r="F16" s="393">
        <f t="shared" si="1"/>
        <v>1.5363030515608622E-2</v>
      </c>
      <c r="G16" s="392">
        <v>5789.6</v>
      </c>
      <c r="H16" s="393">
        <f t="shared" si="2"/>
        <v>2.0450462898991231E-2</v>
      </c>
      <c r="I16" s="394">
        <v>5908</v>
      </c>
    </row>
    <row r="17" spans="1:9">
      <c r="A17" s="391" t="s">
        <v>542</v>
      </c>
      <c r="B17" s="382" t="s">
        <v>610</v>
      </c>
      <c r="C17" s="392">
        <v>72209.100000000006</v>
      </c>
      <c r="D17" s="393">
        <f>CHOOSE((C17&lt;&gt;0)+1,"  -",(E17-C17)/C17)</f>
        <v>-0.37371744004564522</v>
      </c>
      <c r="E17" s="392">
        <v>45223.3</v>
      </c>
      <c r="F17" s="393">
        <f t="shared" si="1"/>
        <v>0.10293808722494813</v>
      </c>
      <c r="G17" s="392">
        <v>49878.5</v>
      </c>
      <c r="H17" s="393">
        <f>CHOOSE((G17&lt;&gt;0)+1,"  -",(I17-G17)/G17)</f>
        <v>-0.20262638210852366</v>
      </c>
      <c r="I17" s="394">
        <v>39771.800000000003</v>
      </c>
    </row>
    <row r="18" spans="1:9">
      <c r="A18" s="391">
        <v>389</v>
      </c>
      <c r="B18" s="382" t="s">
        <v>61</v>
      </c>
      <c r="C18" s="392"/>
      <c r="D18" s="393" t="str">
        <f>CHOOSE((C18&lt;&gt;0)+1,"  -",(E18-C18)/C18)</f>
        <v xml:space="preserve">  -</v>
      </c>
      <c r="E18" s="392"/>
      <c r="F18" s="393" t="str">
        <f t="shared" si="1"/>
        <v xml:space="preserve">  -</v>
      </c>
      <c r="G18" s="392"/>
      <c r="H18" s="393" t="str">
        <f>CHOOSE((G18&lt;&gt;0)+1,"  -",(I18-G18)/G18)</f>
        <v xml:space="preserve">  -</v>
      </c>
      <c r="I18" s="394"/>
    </row>
    <row r="19" spans="1:9">
      <c r="A19" s="395" t="s">
        <v>544</v>
      </c>
      <c r="B19" s="396" t="s">
        <v>45</v>
      </c>
      <c r="C19" s="397">
        <v>141309.20000000001</v>
      </c>
      <c r="D19" s="393">
        <f t="shared" ref="D19:D27" si="3">CHOOSE((C19&lt;&gt;0)+1,"  -",(E19-C19)/C19)</f>
        <v>-4.2256979729557713E-2</v>
      </c>
      <c r="E19" s="397">
        <v>135337.9</v>
      </c>
      <c r="F19" s="393">
        <f t="shared" si="1"/>
        <v>9.4286966178727519E-2</v>
      </c>
      <c r="G19" s="397">
        <v>148098.5</v>
      </c>
      <c r="H19" s="393">
        <f t="shared" ref="H19:H27" si="4">CHOOSE((G19&lt;&gt;0)+1,"  -",(I19-G19)/G19)</f>
        <v>-0.10399632676900854</v>
      </c>
      <c r="I19" s="398">
        <v>132696.79999999999</v>
      </c>
    </row>
    <row r="20" spans="1:9">
      <c r="A20" s="399" t="s">
        <v>546</v>
      </c>
      <c r="B20" s="400" t="s">
        <v>611</v>
      </c>
      <c r="C20" s="401">
        <f>C19+C18+C17+C10+C9+C8+C7+C5+C4</f>
        <v>3118934.5</v>
      </c>
      <c r="D20" s="402">
        <f t="shared" si="3"/>
        <v>6.1115743212945403E-3</v>
      </c>
      <c r="E20" s="401">
        <f>E19+E18+E17+E10+E9+E8+E7+E5+E4</f>
        <v>3137996.0999999996</v>
      </c>
      <c r="F20" s="402">
        <f t="shared" si="1"/>
        <v>1.5996992475548626E-2</v>
      </c>
      <c r="G20" s="401">
        <f>G19+G18+G17+G10+G9+G8+G7+G5+G4</f>
        <v>3188194.6000000006</v>
      </c>
      <c r="H20" s="402">
        <f t="shared" si="4"/>
        <v>-1.2539636068639058E-2</v>
      </c>
      <c r="I20" s="434">
        <f>I19+I18+I17+I10+I9+I8+I7+I5+I4</f>
        <v>3148215.8000000003</v>
      </c>
    </row>
    <row r="21" spans="1:9">
      <c r="A21" s="403" t="s">
        <v>548</v>
      </c>
      <c r="B21" s="404" t="s">
        <v>612</v>
      </c>
      <c r="C21" s="388">
        <v>1047982.2</v>
      </c>
      <c r="D21" s="393">
        <f t="shared" si="3"/>
        <v>4.8947109979539688E-2</v>
      </c>
      <c r="E21" s="388">
        <v>1099277.8999999999</v>
      </c>
      <c r="F21" s="393">
        <f t="shared" si="1"/>
        <v>-7.9175520584922082E-2</v>
      </c>
      <c r="G21" s="388">
        <v>1012242</v>
      </c>
      <c r="H21" s="393">
        <f t="shared" si="4"/>
        <v>4.9060797714380461E-2</v>
      </c>
      <c r="I21" s="390">
        <v>1061903.3999999999</v>
      </c>
    </row>
    <row r="22" spans="1:9">
      <c r="A22" s="405" t="s">
        <v>550</v>
      </c>
      <c r="B22" s="378" t="s">
        <v>613</v>
      </c>
      <c r="C22" s="392">
        <v>162733.5</v>
      </c>
      <c r="D22" s="393">
        <f t="shared" si="3"/>
        <v>-1.7411903510955028E-2</v>
      </c>
      <c r="E22" s="392">
        <v>159900</v>
      </c>
      <c r="F22" s="393">
        <f t="shared" si="1"/>
        <v>2.6653533458411472E-2</v>
      </c>
      <c r="G22" s="392">
        <v>164161.9</v>
      </c>
      <c r="H22" s="393">
        <f t="shared" si="4"/>
        <v>-2.7179875476587408E-2</v>
      </c>
      <c r="I22" s="394">
        <v>159700</v>
      </c>
    </row>
    <row r="23" spans="1:9">
      <c r="A23" s="405" t="s">
        <v>552</v>
      </c>
      <c r="B23" s="378" t="s">
        <v>614</v>
      </c>
      <c r="C23" s="392">
        <v>58514.1</v>
      </c>
      <c r="D23" s="393">
        <f t="shared" si="3"/>
        <v>-9.2634083067158202E-2</v>
      </c>
      <c r="E23" s="392">
        <v>53093.7</v>
      </c>
      <c r="F23" s="393">
        <f t="shared" si="1"/>
        <v>0.19309823952747696</v>
      </c>
      <c r="G23" s="392">
        <v>63346</v>
      </c>
      <c r="H23" s="393">
        <f t="shared" si="4"/>
        <v>-0.13454519622391314</v>
      </c>
      <c r="I23" s="394">
        <v>54823.1</v>
      </c>
    </row>
    <row r="24" spans="1:9">
      <c r="A24" s="405" t="s">
        <v>554</v>
      </c>
      <c r="B24" s="378" t="s">
        <v>615</v>
      </c>
      <c r="C24" s="392">
        <v>269704.8</v>
      </c>
      <c r="D24" s="393">
        <f t="shared" si="3"/>
        <v>-4.719604545413968E-3</v>
      </c>
      <c r="E24" s="392">
        <v>268431.90000000002</v>
      </c>
      <c r="F24" s="393">
        <f t="shared" si="1"/>
        <v>2.7440479317100405E-2</v>
      </c>
      <c r="G24" s="392">
        <v>275797.8</v>
      </c>
      <c r="H24" s="393">
        <f t="shared" si="4"/>
        <v>-2.8031405616722712E-3</v>
      </c>
      <c r="I24" s="394">
        <v>275024.7</v>
      </c>
    </row>
    <row r="25" spans="1:9">
      <c r="A25" s="405" t="s">
        <v>556</v>
      </c>
      <c r="B25" s="378" t="s">
        <v>597</v>
      </c>
      <c r="C25" s="392">
        <v>1381923.7</v>
      </c>
      <c r="D25" s="393">
        <f t="shared" si="3"/>
        <v>3.24547585369583E-3</v>
      </c>
      <c r="E25" s="392">
        <v>1386408.7</v>
      </c>
      <c r="F25" s="393">
        <f t="shared" si="1"/>
        <v>6.7821992173016082E-3</v>
      </c>
      <c r="G25" s="392">
        <v>1395811.6</v>
      </c>
      <c r="H25" s="393">
        <f t="shared" si="4"/>
        <v>9.3468201582505156E-3</v>
      </c>
      <c r="I25" s="394">
        <v>1408858</v>
      </c>
    </row>
    <row r="26" spans="1:9">
      <c r="A26" s="406" t="s">
        <v>558</v>
      </c>
      <c r="B26" s="378" t="s">
        <v>616</v>
      </c>
      <c r="C26" s="392">
        <v>57911.5</v>
      </c>
      <c r="D26" s="393">
        <f t="shared" si="3"/>
        <v>-0.28125847197879522</v>
      </c>
      <c r="E26" s="392">
        <v>41623.4</v>
      </c>
      <c r="F26" s="393">
        <f t="shared" si="1"/>
        <v>0.80647424285377944</v>
      </c>
      <c r="G26" s="392">
        <v>75191.600000000006</v>
      </c>
      <c r="H26" s="393">
        <f t="shared" si="4"/>
        <v>-0.19430228908548305</v>
      </c>
      <c r="I26" s="394">
        <v>60581.7</v>
      </c>
    </row>
    <row r="27" spans="1:9">
      <c r="A27" s="407">
        <v>489</v>
      </c>
      <c r="B27" s="378" t="s">
        <v>63</v>
      </c>
      <c r="C27" s="392"/>
      <c r="D27" s="393" t="str">
        <f t="shared" si="3"/>
        <v xml:space="preserve">  -</v>
      </c>
      <c r="E27" s="392"/>
      <c r="F27" s="393" t="str">
        <f t="shared" si="1"/>
        <v xml:space="preserve">  -</v>
      </c>
      <c r="G27" s="392"/>
      <c r="H27" s="393" t="str">
        <f t="shared" si="4"/>
        <v xml:space="preserve">  -</v>
      </c>
      <c r="I27" s="394"/>
    </row>
    <row r="28" spans="1:9">
      <c r="A28" s="408" t="s">
        <v>560</v>
      </c>
      <c r="B28" s="409" t="s">
        <v>45</v>
      </c>
      <c r="C28" s="397">
        <v>141309.20000000001</v>
      </c>
      <c r="D28" s="393">
        <f>CHOOSE((C28&lt;&gt;0)+1,"  -",(E28-C28)/C28)</f>
        <v>-4.2256979729557713E-2</v>
      </c>
      <c r="E28" s="397">
        <v>135337.9</v>
      </c>
      <c r="F28" s="393">
        <f>CHOOSE((E28&lt;&gt;0)+1,"  -",(G28-E28)/E28)</f>
        <v>9.4286966178727519E-2</v>
      </c>
      <c r="G28" s="397">
        <v>148098.5</v>
      </c>
      <c r="H28" s="393">
        <f>CHOOSE((G28&lt;&gt;0)+1,"  -",(I28-G28)/G28)</f>
        <v>-0.10399632676900854</v>
      </c>
      <c r="I28" s="398">
        <v>132696.79999999999</v>
      </c>
    </row>
    <row r="29" spans="1:9">
      <c r="A29" s="410" t="s">
        <v>562</v>
      </c>
      <c r="B29" s="411" t="s">
        <v>617</v>
      </c>
      <c r="C29" s="401">
        <f t="shared" ref="C29" si="5">SUM(C21:C28)</f>
        <v>3120079</v>
      </c>
      <c r="D29" s="412">
        <f>CHOOSE((C29&lt;&gt;0)+1,"  -",(E29-C29)/C29)</f>
        <v>7.6903501481853506E-3</v>
      </c>
      <c r="E29" s="401">
        <f t="shared" ref="E29" si="6">SUM(E21:E28)</f>
        <v>3144073.5</v>
      </c>
      <c r="F29" s="413">
        <f>CHOOSE((E29&lt;&gt;0)+1,"  -",(G29-E29)/E29)</f>
        <v>-2.9974172041461796E-3</v>
      </c>
      <c r="G29" s="401">
        <f t="shared" ref="G29" si="7">SUM(G21:G28)</f>
        <v>3134649.4</v>
      </c>
      <c r="H29" s="412">
        <f>CHOOSE((G29&lt;&gt;0)+1,"  -",(I29-G29)/G29)</f>
        <v>6.0416006970349795E-3</v>
      </c>
      <c r="I29" s="434">
        <f t="shared" ref="I29" si="8">SUM(I21:I28)</f>
        <v>3153587.7</v>
      </c>
    </row>
    <row r="30" spans="1:9">
      <c r="A30" s="414" t="s">
        <v>564</v>
      </c>
      <c r="B30" s="415" t="s">
        <v>618</v>
      </c>
      <c r="C30" s="416">
        <f t="shared" ref="C30" si="9">C29-C20</f>
        <v>1144.5</v>
      </c>
      <c r="D30" s="417"/>
      <c r="E30" s="416">
        <f t="shared" ref="E30" si="10">E29-E20</f>
        <v>6077.4000000003725</v>
      </c>
      <c r="F30" s="418"/>
      <c r="G30" s="416">
        <f t="shared" ref="G30" si="11">G29-G20</f>
        <v>-53545.200000000652</v>
      </c>
      <c r="H30" s="417"/>
      <c r="I30" s="435">
        <f t="shared" ref="I30" si="12">I29-I20</f>
        <v>5371.8999999999069</v>
      </c>
    </row>
    <row r="31" spans="1:9">
      <c r="A31" s="444"/>
      <c r="B31" s="404" t="s">
        <v>619</v>
      </c>
      <c r="C31" s="420"/>
      <c r="D31" s="421"/>
      <c r="E31" s="420"/>
      <c r="F31" s="384"/>
      <c r="G31" s="420"/>
      <c r="H31" s="421"/>
      <c r="I31" s="422"/>
    </row>
    <row r="32" spans="1:9">
      <c r="A32" s="444" t="s">
        <v>567</v>
      </c>
      <c r="B32" s="378" t="s">
        <v>620</v>
      </c>
      <c r="C32" s="392">
        <v>314035.8</v>
      </c>
      <c r="D32" s="393">
        <f t="shared" ref="D32:D42" si="13">CHOOSE((C32&lt;&gt;0)+1,"  -",(E32-C32)/C32)</f>
        <v>9.3435207068748583E-3</v>
      </c>
      <c r="E32" s="392">
        <v>316970</v>
      </c>
      <c r="F32" s="393">
        <f t="shared" ref="F32:F42" si="14">CHOOSE((E32&lt;&gt;0)+1,"  -",(G32-E32)/E32)</f>
        <v>5.9788939016310653E-2</v>
      </c>
      <c r="G32" s="392">
        <v>335921.3</v>
      </c>
      <c r="H32" s="393">
        <f t="shared" ref="H32:H42" si="15">CHOOSE((G32&lt;&gt;0)+1,"  -",(I32-G32)/G32)</f>
        <v>-0.15822932335639323</v>
      </c>
      <c r="I32" s="394">
        <v>282768.7</v>
      </c>
    </row>
    <row r="33" spans="1:9">
      <c r="A33" s="444" t="s">
        <v>569</v>
      </c>
      <c r="B33" s="378" t="s">
        <v>621</v>
      </c>
      <c r="C33" s="392">
        <v>44751.4</v>
      </c>
      <c r="D33" s="393">
        <f t="shared" si="13"/>
        <v>-3.8979786107250308E-2</v>
      </c>
      <c r="E33" s="392">
        <v>43007</v>
      </c>
      <c r="F33" s="393">
        <f t="shared" si="14"/>
        <v>0.11427209524030972</v>
      </c>
      <c r="G33" s="392">
        <v>47921.5</v>
      </c>
      <c r="H33" s="393">
        <f t="shared" si="15"/>
        <v>0.1553749360934028</v>
      </c>
      <c r="I33" s="394">
        <v>55367.3</v>
      </c>
    </row>
    <row r="34" spans="1:9">
      <c r="A34" s="405" t="s">
        <v>571</v>
      </c>
      <c r="B34" s="378" t="s">
        <v>622</v>
      </c>
      <c r="C34" s="392">
        <v>144402.20000000001</v>
      </c>
      <c r="D34" s="393">
        <f t="shared" si="13"/>
        <v>-4.8377379292005362E-2</v>
      </c>
      <c r="E34" s="392">
        <v>137416.4</v>
      </c>
      <c r="F34" s="393">
        <f t="shared" si="14"/>
        <v>-9.4522924483540112E-3</v>
      </c>
      <c r="G34" s="392">
        <v>136117.5</v>
      </c>
      <c r="H34" s="393">
        <f t="shared" si="15"/>
        <v>4.2433926570793618E-2</v>
      </c>
      <c r="I34" s="394">
        <v>141893.5</v>
      </c>
    </row>
    <row r="35" spans="1:9">
      <c r="A35" s="410" t="s">
        <v>573</v>
      </c>
      <c r="B35" s="411" t="s">
        <v>623</v>
      </c>
      <c r="C35" s="401">
        <f t="shared" ref="C35" si="16">SUM(C32:C34)</f>
        <v>503189.4</v>
      </c>
      <c r="D35" s="412">
        <f t="shared" si="13"/>
        <v>-1.1518525628719523E-2</v>
      </c>
      <c r="E35" s="401">
        <f t="shared" ref="E35" si="17">SUM(E32:E34)</f>
        <v>497393.4</v>
      </c>
      <c r="F35" s="412">
        <f t="shared" si="14"/>
        <v>4.5370324576079951E-2</v>
      </c>
      <c r="G35" s="401">
        <f t="shared" ref="G35" si="18">SUM(G32:G34)</f>
        <v>519960.3</v>
      </c>
      <c r="H35" s="412">
        <f t="shared" si="15"/>
        <v>-7.6795863068776574E-2</v>
      </c>
      <c r="I35" s="434">
        <f t="shared" ref="I35" si="19">SUM(I32:I34)</f>
        <v>480029.5</v>
      </c>
    </row>
    <row r="36" spans="1:9">
      <c r="A36" s="405" t="s">
        <v>575</v>
      </c>
      <c r="B36" s="378" t="s">
        <v>624</v>
      </c>
      <c r="C36" s="392">
        <v>630</v>
      </c>
      <c r="D36" s="393">
        <f t="shared" si="13"/>
        <v>-1</v>
      </c>
      <c r="E36" s="392">
        <v>0</v>
      </c>
      <c r="F36" s="393" t="str">
        <f t="shared" si="14"/>
        <v xml:space="preserve">  -</v>
      </c>
      <c r="G36" s="392">
        <v>3689.8</v>
      </c>
      <c r="H36" s="393">
        <f t="shared" si="15"/>
        <v>-1</v>
      </c>
      <c r="I36" s="394"/>
    </row>
    <row r="37" spans="1:9">
      <c r="A37" s="405" t="s">
        <v>577</v>
      </c>
      <c r="B37" s="378" t="s">
        <v>625</v>
      </c>
      <c r="C37" s="392">
        <v>321459.5</v>
      </c>
      <c r="D37" s="393">
        <f t="shared" si="13"/>
        <v>-4.9822761498726177E-3</v>
      </c>
      <c r="E37" s="392">
        <v>319857.90000000002</v>
      </c>
      <c r="F37" s="393">
        <f t="shared" si="14"/>
        <v>-1.6750875935845334E-2</v>
      </c>
      <c r="G37" s="392">
        <v>314500</v>
      </c>
      <c r="H37" s="393">
        <f t="shared" si="15"/>
        <v>-6.68197138314785E-2</v>
      </c>
      <c r="I37" s="394">
        <v>293485.2</v>
      </c>
    </row>
    <row r="38" spans="1:9">
      <c r="A38" s="410" t="s">
        <v>579</v>
      </c>
      <c r="B38" s="411" t="s">
        <v>626</v>
      </c>
      <c r="C38" s="401">
        <f t="shared" ref="C38" si="20">SUM(C36:C37)</f>
        <v>322089.5</v>
      </c>
      <c r="D38" s="412">
        <f t="shared" si="13"/>
        <v>-6.9285090013799788E-3</v>
      </c>
      <c r="E38" s="401">
        <f t="shared" ref="E38" si="21">SUM(E36:E37)</f>
        <v>319857.90000000002</v>
      </c>
      <c r="F38" s="412">
        <f t="shared" si="14"/>
        <v>-5.2151283429298914E-3</v>
      </c>
      <c r="G38" s="401">
        <f t="shared" ref="G38" si="22">SUM(G36:G37)</f>
        <v>318189.8</v>
      </c>
      <c r="H38" s="412">
        <f t="shared" si="15"/>
        <v>-7.7641080889456468E-2</v>
      </c>
      <c r="I38" s="434">
        <f t="shared" ref="I38" si="23">SUM(I36:I37)</f>
        <v>293485.2</v>
      </c>
    </row>
    <row r="39" spans="1:9">
      <c r="A39" s="423" t="s">
        <v>581</v>
      </c>
      <c r="B39" s="424" t="s">
        <v>68</v>
      </c>
      <c r="C39" s="425">
        <f t="shared" ref="C39" si="24">C35-C38</f>
        <v>181099.90000000002</v>
      </c>
      <c r="D39" s="426">
        <f t="shared" si="13"/>
        <v>-1.968195454552997E-2</v>
      </c>
      <c r="E39" s="425">
        <f t="shared" ref="E39" si="25">E35-E38</f>
        <v>177535.5</v>
      </c>
      <c r="F39" s="426">
        <f t="shared" si="14"/>
        <v>0.1365079096856685</v>
      </c>
      <c r="G39" s="425">
        <f t="shared" ref="G39" si="26">G35-G38</f>
        <v>201770.5</v>
      </c>
      <c r="H39" s="426">
        <f t="shared" si="15"/>
        <v>-7.5462964110214387E-2</v>
      </c>
      <c r="I39" s="436">
        <f t="shared" ref="I39" si="27">I35-I38</f>
        <v>186544.3</v>
      </c>
    </row>
    <row r="40" spans="1:9">
      <c r="A40" s="444" t="s">
        <v>582</v>
      </c>
      <c r="B40" s="378" t="s">
        <v>155</v>
      </c>
      <c r="C40" s="392">
        <f>C9+C30+C18-C27</f>
        <v>182020</v>
      </c>
      <c r="D40" s="393">
        <f t="shared" si="13"/>
        <v>-2.4051752554662211E-2</v>
      </c>
      <c r="E40" s="392">
        <f>E9+E30+E18-E27</f>
        <v>177642.10000000038</v>
      </c>
      <c r="F40" s="393">
        <f t="shared" si="14"/>
        <v>-0.32937068408896819</v>
      </c>
      <c r="G40" s="392">
        <f>G9+G30+G18-G27</f>
        <v>119131.99999999936</v>
      </c>
      <c r="H40" s="393">
        <f t="shared" si="15"/>
        <v>0.58276449652487095</v>
      </c>
      <c r="I40" s="394">
        <f>I9+I30+I18-I27</f>
        <v>188557.89999999991</v>
      </c>
    </row>
    <row r="41" spans="1:9">
      <c r="A41" s="444" t="s">
        <v>582</v>
      </c>
      <c r="B41" s="378" t="s">
        <v>627</v>
      </c>
      <c r="C41" s="392">
        <f t="shared" ref="C41" si="28">C40-C39</f>
        <v>920.09999999997672</v>
      </c>
      <c r="D41" s="393">
        <f t="shared" si="13"/>
        <v>-0.88414302793132604</v>
      </c>
      <c r="E41" s="392">
        <f t="shared" ref="E41" si="29">E40-E39</f>
        <v>106.60000000038417</v>
      </c>
      <c r="F41" s="393">
        <f t="shared" si="14"/>
        <v>-776.22045027863817</v>
      </c>
      <c r="G41" s="392">
        <f t="shared" ref="G41" si="30">G40-G39</f>
        <v>-82638.50000000064</v>
      </c>
      <c r="H41" s="393">
        <f t="shared" si="15"/>
        <v>-1.0243663667660945</v>
      </c>
      <c r="I41" s="394">
        <f t="shared" ref="I41" si="31">I40-I39</f>
        <v>2013.5999999999185</v>
      </c>
    </row>
    <row r="42" spans="1:9">
      <c r="A42" s="444" t="s">
        <v>582</v>
      </c>
      <c r="B42" s="409" t="s">
        <v>628</v>
      </c>
      <c r="C42" s="397">
        <f>C35+C20-C8-C9-C17-C18-C19</f>
        <v>3203029.8</v>
      </c>
      <c r="D42" s="428">
        <f t="shared" si="13"/>
        <v>1.9928881086276443E-2</v>
      </c>
      <c r="E42" s="397">
        <f>E35+E20-E8-E9-E17-E18-E19</f>
        <v>3266862.5999999996</v>
      </c>
      <c r="F42" s="428">
        <f t="shared" si="14"/>
        <v>1.197739384570397E-2</v>
      </c>
      <c r="G42" s="397">
        <f>G35+G20-G8-G9-G17-G18-G19</f>
        <v>3305991.1</v>
      </c>
      <c r="H42" s="428">
        <f t="shared" si="15"/>
        <v>-1.5873152229599025E-2</v>
      </c>
      <c r="I42" s="398">
        <f>I35+I20-I8-I9-I17-I18-I19</f>
        <v>3253514.6000000006</v>
      </c>
    </row>
    <row r="43" spans="1:9">
      <c r="A43" s="444" t="s">
        <v>582</v>
      </c>
      <c r="B43" s="409" t="s">
        <v>629</v>
      </c>
      <c r="C43" s="429">
        <f t="shared" ref="C43" si="32">C40/C39</f>
        <v>1.0050806212482721</v>
      </c>
      <c r="D43" s="430"/>
      <c r="E43" s="429">
        <f t="shared" ref="E43" si="33">E40/E39</f>
        <v>1.0006004432916256</v>
      </c>
      <c r="F43" s="430"/>
      <c r="G43" s="429">
        <f t="shared" ref="G43" si="34">G40/G39</f>
        <v>0.59043319018389384</v>
      </c>
      <c r="H43" s="430"/>
      <c r="I43" s="437">
        <f t="shared" ref="I43" si="35">I40/I39</f>
        <v>1.0107942188531085</v>
      </c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0" tint="-0.249977111117893"/>
  </sheetPr>
  <dimension ref="A1:I46"/>
  <sheetViews>
    <sheetView view="pageLayout" topLeftCell="A25" zoomScaleNormal="115" workbookViewId="0">
      <selection activeCell="K44" sqref="K44:N48"/>
    </sheetView>
  </sheetViews>
  <sheetFormatPr baseColWidth="10" defaultColWidth="11.5" defaultRowHeight="13"/>
  <cols>
    <col min="1" max="16384" width="11.5" style="1"/>
  </cols>
  <sheetData>
    <row r="1" spans="1:9">
      <c r="A1" s="372" t="s">
        <v>513</v>
      </c>
      <c r="B1" s="373" t="s">
        <v>631</v>
      </c>
      <c r="C1" s="374" t="s">
        <v>172</v>
      </c>
      <c r="D1" s="375" t="s">
        <v>514</v>
      </c>
      <c r="E1" s="374" t="s">
        <v>2</v>
      </c>
      <c r="F1" s="375" t="s">
        <v>514</v>
      </c>
      <c r="G1" s="374" t="s">
        <v>172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591</v>
      </c>
      <c r="C3" s="433"/>
      <c r="D3" s="384"/>
      <c r="E3" s="385" t="s">
        <v>632</v>
      </c>
      <c r="F3" s="384"/>
      <c r="G3" s="385"/>
      <c r="H3" s="384"/>
      <c r="I3" s="386"/>
    </row>
    <row r="4" spans="1:9">
      <c r="A4" s="372" t="s">
        <v>518</v>
      </c>
      <c r="B4" s="387" t="s">
        <v>41</v>
      </c>
      <c r="C4" s="388">
        <v>422055.28899999999</v>
      </c>
      <c r="D4" s="389">
        <f t="shared" ref="D4:D16" si="0">CHOOSE((C4&lt;&gt;0)+1,"  -",(E4-C4)/C4)</f>
        <v>4.0450539170947347E-2</v>
      </c>
      <c r="E4" s="388">
        <v>439127.65299999999</v>
      </c>
      <c r="F4" s="389">
        <f t="shared" ref="F4:F27" si="1">CHOOSE((E4&lt;&gt;0)+1,"  -",(G4-E4)/E4)</f>
        <v>-2.0634710517763721E-2</v>
      </c>
      <c r="G4" s="388">
        <v>430066.38099999999</v>
      </c>
      <c r="H4" s="389">
        <f t="shared" ref="H4:H16" si="2">CHOOSE((G4&lt;&gt;0)+1,"  -",(I4-G4)/G4)</f>
        <v>3.8679617228671533E-2</v>
      </c>
      <c r="I4" s="390">
        <v>446701.18400000001</v>
      </c>
    </row>
    <row r="5" spans="1:9">
      <c r="A5" s="391" t="s">
        <v>519</v>
      </c>
      <c r="B5" s="382" t="s">
        <v>592</v>
      </c>
      <c r="C5" s="392">
        <v>136661.28</v>
      </c>
      <c r="D5" s="393">
        <f t="shared" si="0"/>
        <v>2.2064735527136798E-2</v>
      </c>
      <c r="E5" s="392">
        <v>139676.67499999999</v>
      </c>
      <c r="F5" s="393">
        <f t="shared" si="1"/>
        <v>-2.5827225626612185E-2</v>
      </c>
      <c r="G5" s="392">
        <v>136069.21400000001</v>
      </c>
      <c r="H5" s="393">
        <f t="shared" si="2"/>
        <v>2.142149509293103E-2</v>
      </c>
      <c r="I5" s="394">
        <v>138984.01999999999</v>
      </c>
    </row>
    <row r="6" spans="1:9">
      <c r="A6" s="391" t="s">
        <v>298</v>
      </c>
      <c r="B6" s="382" t="s">
        <v>593</v>
      </c>
      <c r="C6" s="392">
        <v>17345.616000000002</v>
      </c>
      <c r="D6" s="393">
        <f t="shared" si="0"/>
        <v>-1.7002336498167667E-2</v>
      </c>
      <c r="E6" s="392">
        <v>17050.7</v>
      </c>
      <c r="F6" s="393">
        <f t="shared" si="1"/>
        <v>7.7144281466449929E-2</v>
      </c>
      <c r="G6" s="392">
        <v>18366.063999999998</v>
      </c>
      <c r="H6" s="393">
        <f t="shared" si="2"/>
        <v>-5.9591646854764313E-2</v>
      </c>
      <c r="I6" s="394">
        <v>17271.599999999999</v>
      </c>
    </row>
    <row r="7" spans="1:9">
      <c r="A7" s="391" t="s">
        <v>522</v>
      </c>
      <c r="B7" s="382" t="s">
        <v>594</v>
      </c>
      <c r="C7" s="392">
        <v>33226.347000000002</v>
      </c>
      <c r="D7" s="393">
        <f t="shared" si="0"/>
        <v>1.7629172415492951E-2</v>
      </c>
      <c r="E7" s="392">
        <v>33812.1</v>
      </c>
      <c r="F7" s="393">
        <f t="shared" si="1"/>
        <v>-5.3031192975295759E-2</v>
      </c>
      <c r="G7" s="392">
        <v>32019.004000000001</v>
      </c>
      <c r="H7" s="393">
        <f t="shared" si="2"/>
        <v>7.287222300856086E-2</v>
      </c>
      <c r="I7" s="394">
        <v>34352.300000000003</v>
      </c>
    </row>
    <row r="8" spans="1:9">
      <c r="A8" s="391" t="s">
        <v>524</v>
      </c>
      <c r="B8" s="382" t="s">
        <v>595</v>
      </c>
      <c r="C8" s="392">
        <v>36027.243000000002</v>
      </c>
      <c r="D8" s="393">
        <f t="shared" si="0"/>
        <v>-0.33432103033806942</v>
      </c>
      <c r="E8" s="392">
        <v>23982.578000000001</v>
      </c>
      <c r="F8" s="393">
        <f t="shared" si="1"/>
        <v>-0.13892509804408862</v>
      </c>
      <c r="G8" s="392">
        <v>20650.795999999998</v>
      </c>
      <c r="H8" s="393">
        <f t="shared" si="2"/>
        <v>9.7958645274497061E-2</v>
      </c>
      <c r="I8" s="394">
        <v>22673.72</v>
      </c>
    </row>
    <row r="9" spans="1:9">
      <c r="A9" s="391" t="s">
        <v>526</v>
      </c>
      <c r="B9" s="382" t="s">
        <v>596</v>
      </c>
      <c r="C9" s="392">
        <v>64430.222000000002</v>
      </c>
      <c r="D9" s="393">
        <f t="shared" si="0"/>
        <v>-0.13360129350477798</v>
      </c>
      <c r="E9" s="392">
        <v>55822.260999999999</v>
      </c>
      <c r="F9" s="393">
        <f t="shared" si="1"/>
        <v>-5.144112668599995E-3</v>
      </c>
      <c r="G9" s="392">
        <v>55535.105000000003</v>
      </c>
      <c r="H9" s="393">
        <f t="shared" si="2"/>
        <v>2.3326974892727767E-2</v>
      </c>
      <c r="I9" s="394">
        <v>56830.571000000004</v>
      </c>
    </row>
    <row r="10" spans="1:9">
      <c r="A10" s="391" t="s">
        <v>528</v>
      </c>
      <c r="B10" s="382" t="s">
        <v>597</v>
      </c>
      <c r="C10" s="392">
        <v>1265583.4820000001</v>
      </c>
      <c r="D10" s="393">
        <f t="shared" si="0"/>
        <v>3.0693053877895012E-2</v>
      </c>
      <c r="E10" s="392">
        <v>1304428.1040000001</v>
      </c>
      <c r="F10" s="393">
        <f t="shared" si="1"/>
        <v>1.5012103725725178E-3</v>
      </c>
      <c r="G10" s="392">
        <v>1306386.325</v>
      </c>
      <c r="H10" s="393">
        <f t="shared" si="2"/>
        <v>1.7274510279338792E-2</v>
      </c>
      <c r="I10" s="394">
        <v>1328953.5090000001</v>
      </c>
    </row>
    <row r="11" spans="1:9">
      <c r="A11" s="391" t="s">
        <v>598</v>
      </c>
      <c r="B11" s="382" t="s">
        <v>599</v>
      </c>
      <c r="C11" s="392">
        <v>425692.32299999997</v>
      </c>
      <c r="D11" s="393">
        <f t="shared" si="0"/>
        <v>-2.2089829888710402E-2</v>
      </c>
      <c r="E11" s="392">
        <v>416288.85200000001</v>
      </c>
      <c r="F11" s="393">
        <f t="shared" si="1"/>
        <v>1.4968176471850277E-2</v>
      </c>
      <c r="G11" s="392">
        <v>422519.93699999998</v>
      </c>
      <c r="H11" s="393">
        <f t="shared" si="2"/>
        <v>-9.0006491220318327E-2</v>
      </c>
      <c r="I11" s="394">
        <v>384490.4</v>
      </c>
    </row>
    <row r="12" spans="1:9">
      <c r="A12" s="391" t="s">
        <v>600</v>
      </c>
      <c r="B12" s="382" t="s">
        <v>601</v>
      </c>
      <c r="C12" s="392">
        <v>97646.366999999998</v>
      </c>
      <c r="D12" s="393">
        <f t="shared" si="0"/>
        <v>0.6945388454646757</v>
      </c>
      <c r="E12" s="392">
        <v>165465.56200000001</v>
      </c>
      <c r="F12" s="393">
        <f t="shared" si="1"/>
        <v>-7.6586208313244785E-3</v>
      </c>
      <c r="G12" s="392">
        <v>164198.32399999999</v>
      </c>
      <c r="H12" s="393">
        <f t="shared" si="2"/>
        <v>3.1762388756172724E-2</v>
      </c>
      <c r="I12" s="394">
        <v>169413.655</v>
      </c>
    </row>
    <row r="13" spans="1:9">
      <c r="A13" s="391" t="s">
        <v>602</v>
      </c>
      <c r="B13" s="382" t="s">
        <v>603</v>
      </c>
      <c r="C13" s="392">
        <v>172497.70699999999</v>
      </c>
      <c r="D13" s="393">
        <f t="shared" si="0"/>
        <v>-6.7185861201041974E-2</v>
      </c>
      <c r="E13" s="392">
        <v>160908.29999999999</v>
      </c>
      <c r="F13" s="393">
        <f t="shared" si="1"/>
        <v>-5.2495626390931915E-2</v>
      </c>
      <c r="G13" s="392">
        <v>152461.318</v>
      </c>
      <c r="H13" s="393">
        <f t="shared" si="2"/>
        <v>5.0427643554806563E-2</v>
      </c>
      <c r="I13" s="394">
        <v>160149.58300000001</v>
      </c>
    </row>
    <row r="14" spans="1:9">
      <c r="A14" s="391" t="s">
        <v>604</v>
      </c>
      <c r="B14" s="382" t="s">
        <v>605</v>
      </c>
      <c r="C14" s="392">
        <v>3660.0650000000001</v>
      </c>
      <c r="D14" s="393">
        <f t="shared" si="0"/>
        <v>1.5992885372254278E-2</v>
      </c>
      <c r="E14" s="392">
        <v>3718.6</v>
      </c>
      <c r="F14" s="393">
        <f t="shared" si="1"/>
        <v>-6.4092400365728996E-2</v>
      </c>
      <c r="G14" s="392">
        <v>3480.2660000000001</v>
      </c>
      <c r="H14" s="393">
        <f t="shared" si="2"/>
        <v>11.657078510665563</v>
      </c>
      <c r="I14" s="394">
        <v>44050</v>
      </c>
    </row>
    <row r="15" spans="1:9">
      <c r="A15" s="391" t="s">
        <v>606</v>
      </c>
      <c r="B15" s="382" t="s">
        <v>607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>
        <v>0</v>
      </c>
      <c r="H15" s="393" t="str">
        <f t="shared" si="2"/>
        <v xml:space="preserve">  -</v>
      </c>
      <c r="I15" s="394">
        <v>0</v>
      </c>
    </row>
    <row r="16" spans="1:9">
      <c r="A16" s="391" t="s">
        <v>608</v>
      </c>
      <c r="B16" s="382" t="s">
        <v>609</v>
      </c>
      <c r="C16" s="392">
        <v>82645.342000000004</v>
      </c>
      <c r="D16" s="393">
        <f t="shared" si="0"/>
        <v>3.1637088512501958E-2</v>
      </c>
      <c r="E16" s="392">
        <v>85260</v>
      </c>
      <c r="F16" s="393">
        <f t="shared" si="1"/>
        <v>-9.0230623973727359E-2</v>
      </c>
      <c r="G16" s="392">
        <v>77566.937000000005</v>
      </c>
      <c r="H16" s="393">
        <f t="shared" si="2"/>
        <v>4.8998492746980586E-2</v>
      </c>
      <c r="I16" s="394">
        <v>81367.600000000006</v>
      </c>
    </row>
    <row r="17" spans="1:9">
      <c r="A17" s="391" t="s">
        <v>542</v>
      </c>
      <c r="B17" s="382" t="s">
        <v>610</v>
      </c>
      <c r="C17" s="392">
        <v>40234.675000000003</v>
      </c>
      <c r="D17" s="393">
        <f>CHOOSE((C17&lt;&gt;0)+1,"  -",(E17-C17)/C17)</f>
        <v>-0.97923432959257162</v>
      </c>
      <c r="E17" s="392">
        <v>835.5</v>
      </c>
      <c r="F17" s="393">
        <f t="shared" si="1"/>
        <v>348.83382046678634</v>
      </c>
      <c r="G17" s="392">
        <v>292286.15700000001</v>
      </c>
      <c r="H17" s="393">
        <f>CHOOSE((G17&lt;&gt;0)+1,"  -",(I17-G17)/G17)</f>
        <v>-0.98732064481589532</v>
      </c>
      <c r="I17" s="394">
        <v>3706</v>
      </c>
    </row>
    <row r="18" spans="1:9">
      <c r="A18" s="391">
        <v>389</v>
      </c>
      <c r="B18" s="382" t="s">
        <v>61</v>
      </c>
      <c r="C18" s="392">
        <v>0</v>
      </c>
      <c r="D18" s="393" t="str">
        <f>CHOOSE((C18&lt;&gt;0)+1,"  -",(E18-C18)/C18)</f>
        <v xml:space="preserve">  -</v>
      </c>
      <c r="E18" s="392">
        <v>0</v>
      </c>
      <c r="F18" s="393" t="str">
        <f t="shared" si="1"/>
        <v xml:space="preserve">  -</v>
      </c>
      <c r="G18" s="392">
        <v>0</v>
      </c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45</v>
      </c>
      <c r="C19" s="397">
        <v>60051.735000000001</v>
      </c>
      <c r="D19" s="393">
        <f t="shared" ref="D19:D27" si="3">CHOOSE((C19&lt;&gt;0)+1,"  -",(E19-C19)/C19)</f>
        <v>-0.30967256816143612</v>
      </c>
      <c r="E19" s="397">
        <v>41455.360000000001</v>
      </c>
      <c r="F19" s="393">
        <f t="shared" si="1"/>
        <v>0.30295252531880079</v>
      </c>
      <c r="G19" s="397">
        <v>54014.366000000002</v>
      </c>
      <c r="H19" s="393">
        <f t="shared" ref="H19:H27" si="4">CHOOSE((G19&lt;&gt;0)+1,"  -",(I19-G19)/G19)</f>
        <v>0.22435768291717045</v>
      </c>
      <c r="I19" s="398">
        <v>66132.903999999995</v>
      </c>
    </row>
    <row r="20" spans="1:9">
      <c r="A20" s="399" t="s">
        <v>546</v>
      </c>
      <c r="B20" s="400" t="s">
        <v>611</v>
      </c>
      <c r="C20" s="401">
        <f>C19+C18+C17+C10+C9+C8+C7+C5+C4</f>
        <v>2058270.273</v>
      </c>
      <c r="D20" s="402">
        <f t="shared" si="3"/>
        <v>-9.2942322740332851E-3</v>
      </c>
      <c r="E20" s="401">
        <f>E19+E18+E17+E10+E9+E8+E7+E5+E4</f>
        <v>2039140.2310000001</v>
      </c>
      <c r="F20" s="402">
        <f t="shared" si="1"/>
        <v>0.14118063712509804</v>
      </c>
      <c r="G20" s="401">
        <f>G19+G18+G17+G10+G9+G8+G7+G5+G4</f>
        <v>2327027.3479999998</v>
      </c>
      <c r="H20" s="402">
        <f t="shared" si="4"/>
        <v>-9.8276945561707116E-2</v>
      </c>
      <c r="I20" s="434">
        <f>I19+I18+I17+I10+I9+I8+I7+I5+I4</f>
        <v>2098334.2080000001</v>
      </c>
    </row>
    <row r="21" spans="1:9">
      <c r="A21" s="403" t="s">
        <v>548</v>
      </c>
      <c r="B21" s="404" t="s">
        <v>612</v>
      </c>
      <c r="C21" s="388">
        <v>1008839.36</v>
      </c>
      <c r="D21" s="393">
        <f t="shared" si="3"/>
        <v>-2.4473034041812152E-2</v>
      </c>
      <c r="E21" s="388">
        <v>984150</v>
      </c>
      <c r="F21" s="393">
        <f t="shared" si="1"/>
        <v>6.5161557689376592E-2</v>
      </c>
      <c r="G21" s="388">
        <v>1048278.747</v>
      </c>
      <c r="H21" s="393">
        <f t="shared" si="4"/>
        <v>-4.7820054678643573E-2</v>
      </c>
      <c r="I21" s="390">
        <v>998150</v>
      </c>
    </row>
    <row r="22" spans="1:9">
      <c r="A22" s="405" t="s">
        <v>550</v>
      </c>
      <c r="B22" s="378" t="s">
        <v>613</v>
      </c>
      <c r="C22" s="392">
        <v>63477.014000000003</v>
      </c>
      <c r="D22" s="393">
        <f t="shared" si="3"/>
        <v>4.4834906695516541E-2</v>
      </c>
      <c r="E22" s="392">
        <v>66323</v>
      </c>
      <c r="F22" s="393">
        <f t="shared" si="1"/>
        <v>-4.9492106810608637E-2</v>
      </c>
      <c r="G22" s="392">
        <v>63040.535000000003</v>
      </c>
      <c r="H22" s="393">
        <f t="shared" si="4"/>
        <v>0.1141244280366592</v>
      </c>
      <c r="I22" s="394">
        <v>70235</v>
      </c>
    </row>
    <row r="23" spans="1:9">
      <c r="A23" s="405" t="s">
        <v>552</v>
      </c>
      <c r="B23" s="378" t="s">
        <v>614</v>
      </c>
      <c r="C23" s="392">
        <v>59124.909</v>
      </c>
      <c r="D23" s="393">
        <f t="shared" si="3"/>
        <v>-1.9422592261410444E-2</v>
      </c>
      <c r="E23" s="392">
        <v>57976.55</v>
      </c>
      <c r="F23" s="393">
        <f t="shared" si="1"/>
        <v>-7.7412557318433134E-2</v>
      </c>
      <c r="G23" s="392">
        <v>53488.436999999998</v>
      </c>
      <c r="H23" s="393">
        <f t="shared" si="4"/>
        <v>0.11477297420375178</v>
      </c>
      <c r="I23" s="394">
        <v>59627.464</v>
      </c>
    </row>
    <row r="24" spans="1:9">
      <c r="A24" s="405" t="s">
        <v>554</v>
      </c>
      <c r="B24" s="378" t="s">
        <v>615</v>
      </c>
      <c r="C24" s="392">
        <v>142920.27900000001</v>
      </c>
      <c r="D24" s="393">
        <f t="shared" si="3"/>
        <v>1.8784759019397086E-2</v>
      </c>
      <c r="E24" s="392">
        <v>145605.00200000001</v>
      </c>
      <c r="F24" s="393">
        <f t="shared" si="1"/>
        <v>1.5281253867913149E-2</v>
      </c>
      <c r="G24" s="392">
        <v>147830.02900000001</v>
      </c>
      <c r="H24" s="393">
        <f t="shared" si="4"/>
        <v>-2.806658449617163E-2</v>
      </c>
      <c r="I24" s="394">
        <v>143680.94500000001</v>
      </c>
    </row>
    <row r="25" spans="1:9">
      <c r="A25" s="405" t="s">
        <v>556</v>
      </c>
      <c r="B25" s="378" t="s">
        <v>597</v>
      </c>
      <c r="C25" s="392">
        <v>696994.97100000002</v>
      </c>
      <c r="D25" s="393">
        <f t="shared" si="3"/>
        <v>-8.9036524769989731E-3</v>
      </c>
      <c r="E25" s="392">
        <v>690789.17</v>
      </c>
      <c r="F25" s="393">
        <f t="shared" si="1"/>
        <v>-9.1633023140765685E-3</v>
      </c>
      <c r="G25" s="392">
        <v>684459.26</v>
      </c>
      <c r="H25" s="393">
        <f t="shared" si="4"/>
        <v>6.084738630024529E-2</v>
      </c>
      <c r="I25" s="394">
        <v>726106.81700000004</v>
      </c>
    </row>
    <row r="26" spans="1:9">
      <c r="A26" s="406" t="s">
        <v>558</v>
      </c>
      <c r="B26" s="378" t="s">
        <v>616</v>
      </c>
      <c r="C26" s="392">
        <v>26918.022000000001</v>
      </c>
      <c r="D26" s="393">
        <f t="shared" si="3"/>
        <v>0.53464831108318434</v>
      </c>
      <c r="E26" s="392">
        <v>41309.697</v>
      </c>
      <c r="F26" s="393">
        <f t="shared" si="1"/>
        <v>-5.1979417810786674E-2</v>
      </c>
      <c r="G26" s="392">
        <v>39162.442999999999</v>
      </c>
      <c r="H26" s="393">
        <f t="shared" si="4"/>
        <v>-0.51605281621475962</v>
      </c>
      <c r="I26" s="394">
        <v>18952.554</v>
      </c>
    </row>
    <row r="27" spans="1:9">
      <c r="A27" s="407">
        <v>489</v>
      </c>
      <c r="B27" s="378" t="s">
        <v>63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>
        <v>0</v>
      </c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45</v>
      </c>
      <c r="C28" s="397">
        <v>60051.735000000001</v>
      </c>
      <c r="D28" s="393">
        <f>CHOOSE((C28&lt;&gt;0)+1,"  -",(E28-C28)/C28)</f>
        <v>-0.30967256816143612</v>
      </c>
      <c r="E28" s="397">
        <v>41455.360000000001</v>
      </c>
      <c r="F28" s="393">
        <f>CHOOSE((E28&lt;&gt;0)+1,"  -",(G28-E28)/E28)</f>
        <v>0.30295252531880079</v>
      </c>
      <c r="G28" s="397">
        <v>54014.366000000002</v>
      </c>
      <c r="H28" s="393">
        <f>CHOOSE((G28&lt;&gt;0)+1,"  -",(I28-G28)/G28)</f>
        <v>0.22435768291717045</v>
      </c>
      <c r="I28" s="398">
        <v>66132.903999999995</v>
      </c>
    </row>
    <row r="29" spans="1:9">
      <c r="A29" s="410" t="s">
        <v>562</v>
      </c>
      <c r="B29" s="411" t="s">
        <v>617</v>
      </c>
      <c r="C29" s="401">
        <f t="shared" ref="C29" si="5">SUM(C21:C28)</f>
        <v>2058326.2900000005</v>
      </c>
      <c r="D29" s="412">
        <f>CHOOSE((C29&lt;&gt;0)+1,"  -",(E29-C29)/C29)</f>
        <v>-1.4923538191799706E-2</v>
      </c>
      <c r="E29" s="401">
        <f t="shared" ref="E29" si="6">SUM(E21:E28)</f>
        <v>2027608.7790000001</v>
      </c>
      <c r="F29" s="413">
        <f>CHOOSE((E29&lt;&gt;0)+1,"  -",(G29-E29)/E29)</f>
        <v>3.0905882164756451E-2</v>
      </c>
      <c r="G29" s="401">
        <f t="shared" ref="G29" si="7">SUM(G21:G28)</f>
        <v>2090273.8169999998</v>
      </c>
      <c r="H29" s="412">
        <f>CHOOSE((G29&lt;&gt;0)+1,"  -",(I29-G29)/G29)</f>
        <v>-3.5345287970947599E-3</v>
      </c>
      <c r="I29" s="434">
        <f t="shared" ref="I29" si="8">SUM(I21:I28)</f>
        <v>2082885.6840000001</v>
      </c>
    </row>
    <row r="30" spans="1:9">
      <c r="A30" s="414" t="s">
        <v>564</v>
      </c>
      <c r="B30" s="415" t="s">
        <v>618</v>
      </c>
      <c r="C30" s="416">
        <f t="shared" ref="C30" si="9">C29-C20</f>
        <v>56.017000000458211</v>
      </c>
      <c r="D30" s="417"/>
      <c r="E30" s="416">
        <f t="shared" ref="E30" si="10">E29-E20</f>
        <v>-11531.452000000048</v>
      </c>
      <c r="F30" s="418"/>
      <c r="G30" s="416">
        <f t="shared" ref="G30" si="11">G29-G20</f>
        <v>-236753.53099999996</v>
      </c>
      <c r="H30" s="417"/>
      <c r="I30" s="435">
        <f t="shared" ref="I30" si="12">I29-I20</f>
        <v>-15448.523999999976</v>
      </c>
    </row>
    <row r="31" spans="1:9">
      <c r="A31" s="419"/>
      <c r="B31" s="404" t="s">
        <v>619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620</v>
      </c>
      <c r="C32" s="392">
        <v>91401.146999999997</v>
      </c>
      <c r="D32" s="393">
        <f t="shared" ref="D32:D42" si="13">CHOOSE((C32&lt;&gt;0)+1,"  -",(E32-C32)/C32)</f>
        <v>0.1611637652643462</v>
      </c>
      <c r="E32" s="392">
        <v>106131.7</v>
      </c>
      <c r="F32" s="393">
        <f t="shared" ref="F32:F42" si="14">CHOOSE((E32&lt;&gt;0)+1,"  -",(G32-E32)/E32)</f>
        <v>-0.1203591292705195</v>
      </c>
      <c r="G32" s="392">
        <v>93357.781000000003</v>
      </c>
      <c r="H32" s="393">
        <f t="shared" ref="H32:H42" si="15">CHOOSE((G32&lt;&gt;0)+1,"  -",(I32-G32)/G32)</f>
        <v>-0.20210116176604498</v>
      </c>
      <c r="I32" s="394">
        <v>74490.065000000002</v>
      </c>
    </row>
    <row r="33" spans="1:9">
      <c r="A33" s="406" t="s">
        <v>569</v>
      </c>
      <c r="B33" s="378" t="s">
        <v>621</v>
      </c>
      <c r="C33" s="392">
        <v>2952.2</v>
      </c>
      <c r="D33" s="393">
        <f t="shared" si="13"/>
        <v>3.6200460673396107</v>
      </c>
      <c r="E33" s="392">
        <v>13639.3</v>
      </c>
      <c r="F33" s="393">
        <f t="shared" si="14"/>
        <v>-0.85043220693144073</v>
      </c>
      <c r="G33" s="392">
        <v>2040</v>
      </c>
      <c r="H33" s="393">
        <f t="shared" si="15"/>
        <v>-0.63235294117647056</v>
      </c>
      <c r="I33" s="394">
        <v>750</v>
      </c>
    </row>
    <row r="34" spans="1:9">
      <c r="A34" s="405" t="s">
        <v>571</v>
      </c>
      <c r="B34" s="378" t="s">
        <v>622</v>
      </c>
      <c r="C34" s="392">
        <v>7715.55</v>
      </c>
      <c r="D34" s="393">
        <f t="shared" si="13"/>
        <v>0.56258465047857908</v>
      </c>
      <c r="E34" s="392">
        <v>12056.2</v>
      </c>
      <c r="F34" s="393">
        <f t="shared" si="14"/>
        <v>0.39782468771254631</v>
      </c>
      <c r="G34" s="392">
        <v>16852.454000000002</v>
      </c>
      <c r="H34" s="393">
        <f t="shared" si="15"/>
        <v>0.37529525373574651</v>
      </c>
      <c r="I34" s="394">
        <v>23177.1</v>
      </c>
    </row>
    <row r="35" spans="1:9">
      <c r="A35" s="410" t="s">
        <v>573</v>
      </c>
      <c r="B35" s="411" t="s">
        <v>623</v>
      </c>
      <c r="C35" s="401">
        <f t="shared" ref="C35" si="16">SUM(C32:C34)</f>
        <v>102068.897</v>
      </c>
      <c r="D35" s="412">
        <f t="shared" si="13"/>
        <v>0.29155113726760479</v>
      </c>
      <c r="E35" s="401">
        <f t="shared" ref="E35" si="17">SUM(E32:E34)</f>
        <v>131827.20000000001</v>
      </c>
      <c r="F35" s="412">
        <f t="shared" si="14"/>
        <v>-0.1485047471235072</v>
      </c>
      <c r="G35" s="401">
        <f t="shared" ref="G35" si="18">SUM(G32:G34)</f>
        <v>112250.235</v>
      </c>
      <c r="H35" s="412">
        <f t="shared" si="15"/>
        <v>-0.123234218618785</v>
      </c>
      <c r="I35" s="434">
        <f t="shared" ref="I35" si="19">SUM(I32:I34)</f>
        <v>98417.165000000008</v>
      </c>
    </row>
    <row r="36" spans="1:9">
      <c r="A36" s="405" t="s">
        <v>575</v>
      </c>
      <c r="B36" s="378" t="s">
        <v>624</v>
      </c>
      <c r="C36" s="392">
        <v>2201.047</v>
      </c>
      <c r="D36" s="393">
        <f t="shared" si="13"/>
        <v>-0.64335155042123138</v>
      </c>
      <c r="E36" s="392">
        <v>785</v>
      </c>
      <c r="F36" s="393">
        <f t="shared" si="14"/>
        <v>3.2764445859872611</v>
      </c>
      <c r="G36" s="392">
        <v>3357.009</v>
      </c>
      <c r="H36" s="393">
        <f t="shared" si="15"/>
        <v>-0.67977446590104462</v>
      </c>
      <c r="I36" s="394">
        <v>1075</v>
      </c>
    </row>
    <row r="37" spans="1:9">
      <c r="A37" s="405" t="s">
        <v>577</v>
      </c>
      <c r="B37" s="378" t="s">
        <v>625</v>
      </c>
      <c r="C37" s="392">
        <v>41765.961000000003</v>
      </c>
      <c r="D37" s="393">
        <f t="shared" si="13"/>
        <v>0.6236092352813335</v>
      </c>
      <c r="E37" s="392">
        <v>67811.600000000006</v>
      </c>
      <c r="F37" s="393">
        <f t="shared" si="14"/>
        <v>-0.19336318564965296</v>
      </c>
      <c r="G37" s="392">
        <v>54699.332999999999</v>
      </c>
      <c r="H37" s="393">
        <f t="shared" si="15"/>
        <v>-0.29901768637654136</v>
      </c>
      <c r="I37" s="394">
        <v>38343.264999999999</v>
      </c>
    </row>
    <row r="38" spans="1:9">
      <c r="A38" s="410" t="s">
        <v>579</v>
      </c>
      <c r="B38" s="411" t="s">
        <v>626</v>
      </c>
      <c r="C38" s="401">
        <f t="shared" ref="C38" si="20">SUM(C36:C37)</f>
        <v>43967.008000000002</v>
      </c>
      <c r="D38" s="412">
        <f t="shared" si="13"/>
        <v>0.56018349031164461</v>
      </c>
      <c r="E38" s="401">
        <f t="shared" ref="E38" si="21">SUM(E36:E37)</f>
        <v>68596.600000000006</v>
      </c>
      <c r="F38" s="412">
        <f t="shared" si="14"/>
        <v>-0.15365569138995239</v>
      </c>
      <c r="G38" s="401">
        <f t="shared" ref="G38" si="22">SUM(G36:G37)</f>
        <v>58056.341999999997</v>
      </c>
      <c r="H38" s="412">
        <f t="shared" si="15"/>
        <v>-0.32103429802725081</v>
      </c>
      <c r="I38" s="434">
        <f t="shared" ref="I38" si="23">SUM(I36:I37)</f>
        <v>39418.264999999999</v>
      </c>
    </row>
    <row r="39" spans="1:9">
      <c r="A39" s="423" t="s">
        <v>581</v>
      </c>
      <c r="B39" s="424" t="s">
        <v>68</v>
      </c>
      <c r="C39" s="425">
        <f t="shared" ref="C39" si="24">C35-C38</f>
        <v>58101.888999999996</v>
      </c>
      <c r="D39" s="426">
        <f t="shared" si="13"/>
        <v>8.827098547518844E-2</v>
      </c>
      <c r="E39" s="425">
        <f t="shared" ref="E39" si="25">E35-E38</f>
        <v>63230.600000000006</v>
      </c>
      <c r="F39" s="426">
        <f t="shared" si="14"/>
        <v>-0.14291667325630314</v>
      </c>
      <c r="G39" s="425">
        <f t="shared" ref="G39" si="26">G35-G38</f>
        <v>54193.893000000004</v>
      </c>
      <c r="H39" s="426">
        <f t="shared" si="15"/>
        <v>8.8663255839546443E-2</v>
      </c>
      <c r="I39" s="436">
        <f t="shared" ref="I39" si="27">I35-I38</f>
        <v>58998.900000000009</v>
      </c>
    </row>
    <row r="40" spans="1:9">
      <c r="A40" s="377" t="s">
        <v>582</v>
      </c>
      <c r="B40" s="378" t="s">
        <v>155</v>
      </c>
      <c r="C40" s="392">
        <f>C9+C30+C18-C27</f>
        <v>64486.23900000046</v>
      </c>
      <c r="D40" s="393">
        <f t="shared" si="13"/>
        <v>-0.31317425722409342</v>
      </c>
      <c r="E40" s="392">
        <f>E9+E30+E18-E27</f>
        <v>44290.80899999995</v>
      </c>
      <c r="F40" s="393">
        <f t="shared" si="14"/>
        <v>-5.0915582734106337</v>
      </c>
      <c r="G40" s="392">
        <f>G9+G30+G18-G27</f>
        <v>-181218.42599999995</v>
      </c>
      <c r="H40" s="393">
        <f t="shared" si="15"/>
        <v>-1.2283545217416247</v>
      </c>
      <c r="I40" s="394">
        <f>I9+I30+I18-I27</f>
        <v>41382.047000000028</v>
      </c>
    </row>
    <row r="41" spans="1:9">
      <c r="A41" s="377" t="s">
        <v>582</v>
      </c>
      <c r="B41" s="378" t="s">
        <v>627</v>
      </c>
      <c r="C41" s="392">
        <f t="shared" ref="C41" si="28">C40-C39</f>
        <v>6384.3500000004642</v>
      </c>
      <c r="D41" s="393">
        <f t="shared" si="13"/>
        <v>-3.9665965994970009</v>
      </c>
      <c r="E41" s="392">
        <f t="shared" ref="E41" si="29">E40-E39</f>
        <v>-18939.791000000056</v>
      </c>
      <c r="F41" s="393">
        <f t="shared" si="14"/>
        <v>11.429509861011628</v>
      </c>
      <c r="G41" s="392">
        <f t="shared" ref="G41" si="30">G40-G39</f>
        <v>-235412.31899999996</v>
      </c>
      <c r="H41" s="393">
        <f t="shared" si="15"/>
        <v>-0.92516596805624274</v>
      </c>
      <c r="I41" s="394">
        <f t="shared" ref="I41" si="31">I40-I39</f>
        <v>-17616.852999999981</v>
      </c>
    </row>
    <row r="42" spans="1:9">
      <c r="A42" s="427" t="s">
        <v>582</v>
      </c>
      <c r="B42" s="409" t="s">
        <v>628</v>
      </c>
      <c r="C42" s="397">
        <f>C35+C20-C8-C9-C17-C18-C19</f>
        <v>1959595.2949999999</v>
      </c>
      <c r="D42" s="428">
        <f t="shared" si="13"/>
        <v>4.5558609590354293E-2</v>
      </c>
      <c r="E42" s="397">
        <f>E35+E20-E8-E9-E17-E18-E19</f>
        <v>2048871.7320000001</v>
      </c>
      <c r="F42" s="428">
        <f t="shared" si="14"/>
        <v>-1.5657677588574663E-2</v>
      </c>
      <c r="G42" s="397">
        <f>G35+G20-G8-G9-G17-G18-G19</f>
        <v>2016791.1589999995</v>
      </c>
      <c r="H42" s="428">
        <f t="shared" si="15"/>
        <v>1.5181055739644051E-2</v>
      </c>
      <c r="I42" s="398">
        <f>I35+I20-I8-I9-I17-I18-I19</f>
        <v>2047408.1779999998</v>
      </c>
    </row>
    <row r="43" spans="1:9">
      <c r="A43" s="427" t="s">
        <v>582</v>
      </c>
      <c r="B43" s="409" t="s">
        <v>629</v>
      </c>
      <c r="C43" s="429">
        <f t="shared" ref="C43" si="32">C40/C39</f>
        <v>1.1098819695862292</v>
      </c>
      <c r="D43" s="430"/>
      <c r="E43" s="429">
        <f t="shared" ref="E43" si="33">E40/E39</f>
        <v>0.70046479078167767</v>
      </c>
      <c r="F43" s="430"/>
      <c r="G43" s="429" t="str">
        <f t="shared" ref="G43" si="34">IF(0&gt;G40,"negativ",G40/G39)</f>
        <v>negativ</v>
      </c>
      <c r="H43" s="430"/>
      <c r="I43" s="437">
        <f t="shared" ref="I43" si="35">I40/I39</f>
        <v>0.70140370413685715</v>
      </c>
    </row>
    <row r="44" spans="1:9">
      <c r="A44" s="438"/>
      <c r="B44" s="378"/>
      <c r="C44" s="378"/>
      <c r="D44" s="431"/>
      <c r="E44" s="432"/>
      <c r="F44" s="380"/>
      <c r="G44" s="392"/>
      <c r="H44" s="380"/>
      <c r="I44" s="392"/>
    </row>
    <row r="45" spans="1:9">
      <c r="A45" s="438"/>
      <c r="B45" s="378"/>
      <c r="C45" s="378"/>
      <c r="D45" s="431"/>
      <c r="E45" s="432"/>
      <c r="F45" s="380"/>
      <c r="G45" s="392"/>
      <c r="H45" s="380"/>
      <c r="I45" s="392"/>
    </row>
    <row r="46" spans="1:9">
      <c r="A46" s="438"/>
      <c r="B46" s="378"/>
      <c r="C46" s="378"/>
      <c r="D46" s="431"/>
      <c r="E46" s="432"/>
      <c r="F46" s="380"/>
      <c r="G46" s="392"/>
      <c r="H46" s="380"/>
      <c r="I46" s="392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0" tint="-0.249977111117893"/>
  </sheetPr>
  <dimension ref="A1:I45"/>
  <sheetViews>
    <sheetView view="pageLayout" topLeftCell="A20" zoomScaleNormal="115" workbookViewId="0">
      <selection activeCell="B8" sqref="B8"/>
    </sheetView>
  </sheetViews>
  <sheetFormatPr baseColWidth="10" defaultColWidth="11.5" defaultRowHeight="13"/>
  <cols>
    <col min="1" max="1" width="11.5" style="1"/>
    <col min="2" max="2" width="32.1640625" style="1" customWidth="1"/>
    <col min="3" max="16384" width="11.5" style="1"/>
  </cols>
  <sheetData>
    <row r="1" spans="1:9">
      <c r="A1" s="372" t="s">
        <v>513</v>
      </c>
      <c r="B1" s="373" t="s">
        <v>633</v>
      </c>
      <c r="C1" s="374" t="s">
        <v>172</v>
      </c>
      <c r="D1" s="375" t="s">
        <v>514</v>
      </c>
      <c r="E1" s="374" t="s">
        <v>2</v>
      </c>
      <c r="F1" s="375" t="s">
        <v>514</v>
      </c>
      <c r="G1" s="374" t="s">
        <v>172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591</v>
      </c>
      <c r="C3" s="383"/>
      <c r="D3" s="384"/>
      <c r="E3" s="385" t="s">
        <v>470</v>
      </c>
      <c r="F3" s="384"/>
      <c r="G3" s="385"/>
      <c r="H3" s="384"/>
      <c r="I3" s="440" t="s">
        <v>634</v>
      </c>
    </row>
    <row r="4" spans="1:9">
      <c r="A4" s="372" t="s">
        <v>518</v>
      </c>
      <c r="B4" s="387" t="s">
        <v>41</v>
      </c>
      <c r="C4" s="388">
        <v>2169443.85</v>
      </c>
      <c r="D4" s="389">
        <f t="shared" ref="D4:D16" si="0">CHOOSE((C4&lt;&gt;0)+1,"  -",(E4-C4)/C4)</f>
        <v>3.1741743854951925E-2</v>
      </c>
      <c r="E4" s="388">
        <v>2238305.7809944008</v>
      </c>
      <c r="F4" s="389">
        <f t="shared" ref="F4:F27" si="1">CHOOSE((E4&lt;&gt;0)+1,"  -",(G4-E4)/E4)</f>
        <v>-1.2098376715974112E-3</v>
      </c>
      <c r="G4" s="388">
        <v>2235597.7943399996</v>
      </c>
      <c r="H4" s="389">
        <f t="shared" ref="H4:H16" si="2">CHOOSE((G4&lt;&gt;0)+1,"  -",(I4-G4)/G4)</f>
        <v>3.5527122455160662E-3</v>
      </c>
      <c r="I4" s="390">
        <v>2243540.23</v>
      </c>
    </row>
    <row r="5" spans="1:9">
      <c r="A5" s="391" t="s">
        <v>519</v>
      </c>
      <c r="B5" s="382" t="s">
        <v>592</v>
      </c>
      <c r="C5" s="392">
        <v>431498.67</v>
      </c>
      <c r="D5" s="393">
        <f t="shared" si="0"/>
        <v>2.0856050379019726E-2</v>
      </c>
      <c r="E5" s="392">
        <v>440498.02799999999</v>
      </c>
      <c r="F5" s="393">
        <f t="shared" si="1"/>
        <v>-1.1513657990768445E-2</v>
      </c>
      <c r="G5" s="392">
        <v>435426.28436000005</v>
      </c>
      <c r="H5" s="393">
        <f t="shared" si="2"/>
        <v>0.40900690435297055</v>
      </c>
      <c r="I5" s="394">
        <v>613518.64099999995</v>
      </c>
    </row>
    <row r="6" spans="1:9">
      <c r="A6" s="391" t="s">
        <v>298</v>
      </c>
      <c r="B6" s="382" t="s">
        <v>593</v>
      </c>
      <c r="C6" s="392">
        <v>74341.320000000007</v>
      </c>
      <c r="D6" s="393">
        <f t="shared" si="0"/>
        <v>8.66845651920089E-2</v>
      </c>
      <c r="E6" s="392">
        <v>80785.565000000002</v>
      </c>
      <c r="F6" s="393">
        <f t="shared" si="1"/>
        <v>-2.7174041798185059E-2</v>
      </c>
      <c r="G6" s="392">
        <v>78590.294680000006</v>
      </c>
      <c r="H6" s="393">
        <f t="shared" si="2"/>
        <v>3.7269707817311218E-2</v>
      </c>
      <c r="I6" s="394">
        <v>81519.331999999995</v>
      </c>
    </row>
    <row r="7" spans="1:9">
      <c r="A7" s="391" t="s">
        <v>522</v>
      </c>
      <c r="B7" s="382" t="s">
        <v>594</v>
      </c>
      <c r="C7" s="392">
        <v>285783.38</v>
      </c>
      <c r="D7" s="393">
        <f t="shared" si="0"/>
        <v>-8.1815622028124882E-2</v>
      </c>
      <c r="E7" s="392">
        <v>262401.83500000002</v>
      </c>
      <c r="F7" s="393">
        <f t="shared" si="1"/>
        <v>-4.2591490299600951E-2</v>
      </c>
      <c r="G7" s="392">
        <v>251225.74979000003</v>
      </c>
      <c r="H7" s="393">
        <f t="shared" si="2"/>
        <v>3.1299539225469013E-2</v>
      </c>
      <c r="I7" s="394">
        <v>259089</v>
      </c>
    </row>
    <row r="8" spans="1:9" ht="56">
      <c r="A8" s="445" t="s">
        <v>635</v>
      </c>
      <c r="B8" s="446" t="s">
        <v>636</v>
      </c>
      <c r="C8" s="447">
        <v>160227.74</v>
      </c>
      <c r="D8" s="448">
        <f t="shared" si="0"/>
        <v>3.4009367603886815</v>
      </c>
      <c r="E8" s="447">
        <v>705152.15099999995</v>
      </c>
      <c r="F8" s="448">
        <f t="shared" si="1"/>
        <v>0.35315925861793185</v>
      </c>
      <c r="G8" s="447">
        <v>954183.16185999988</v>
      </c>
      <c r="H8" s="448">
        <f t="shared" si="2"/>
        <v>-1</v>
      </c>
      <c r="I8" s="449">
        <v>0</v>
      </c>
    </row>
    <row r="9" spans="1:9" ht="28">
      <c r="A9" s="450" t="s">
        <v>637</v>
      </c>
      <c r="B9" s="446" t="s">
        <v>596</v>
      </c>
      <c r="C9" s="451">
        <v>1408453.7199999997</v>
      </c>
      <c r="D9" s="452">
        <f t="shared" si="0"/>
        <v>-0.53254579497294374</v>
      </c>
      <c r="E9" s="453">
        <v>658387.61399999994</v>
      </c>
      <c r="F9" s="452">
        <f t="shared" si="1"/>
        <v>0.10222254516774694</v>
      </c>
      <c r="G9" s="453">
        <v>725689.67161000008</v>
      </c>
      <c r="H9" s="452">
        <f t="shared" si="2"/>
        <v>-0.40300078814842266</v>
      </c>
      <c r="I9" s="454">
        <v>433236.16200000001</v>
      </c>
    </row>
    <row r="10" spans="1:9">
      <c r="A10" s="391" t="s">
        <v>528</v>
      </c>
      <c r="B10" s="382" t="s">
        <v>597</v>
      </c>
      <c r="C10" s="392">
        <v>4700063.26</v>
      </c>
      <c r="D10" s="393">
        <f t="shared" si="0"/>
        <v>-3.2887918193679824E-2</v>
      </c>
      <c r="E10" s="392">
        <v>4545487.9639999997</v>
      </c>
      <c r="F10" s="393">
        <f t="shared" si="1"/>
        <v>5.3629468660056329E-2</v>
      </c>
      <c r="G10" s="392">
        <v>4789260.0683100009</v>
      </c>
      <c r="H10" s="393">
        <f t="shared" si="2"/>
        <v>-8.3030330706246505E-2</v>
      </c>
      <c r="I10" s="394">
        <v>4391606.2210000008</v>
      </c>
    </row>
    <row r="11" spans="1:9">
      <c r="A11" s="391" t="s">
        <v>598</v>
      </c>
      <c r="B11" s="382" t="s">
        <v>599</v>
      </c>
      <c r="C11" s="392">
        <v>1762033.62</v>
      </c>
      <c r="D11" s="393">
        <f t="shared" si="0"/>
        <v>9.2131563301272174E-2</v>
      </c>
      <c r="E11" s="392">
        <v>1924372.5319999999</v>
      </c>
      <c r="F11" s="393">
        <f t="shared" si="1"/>
        <v>-1.5703657892366999E-3</v>
      </c>
      <c r="G11" s="392">
        <v>1921350.5632100003</v>
      </c>
      <c r="H11" s="393">
        <f t="shared" si="2"/>
        <v>-7.7163004008132197E-2</v>
      </c>
      <c r="I11" s="394">
        <v>1773093.382</v>
      </c>
    </row>
    <row r="12" spans="1:9">
      <c r="A12" s="391" t="s">
        <v>600</v>
      </c>
      <c r="B12" s="382" t="s">
        <v>601</v>
      </c>
      <c r="C12" s="392">
        <v>35044.83</v>
      </c>
      <c r="D12" s="393">
        <f t="shared" si="0"/>
        <v>-8.1029441432587931E-2</v>
      </c>
      <c r="E12" s="392">
        <v>32205.167000000001</v>
      </c>
      <c r="F12" s="393">
        <f t="shared" si="1"/>
        <v>1.4858180986920421E-2</v>
      </c>
      <c r="G12" s="392">
        <v>32683.677199999998</v>
      </c>
      <c r="H12" s="393">
        <f t="shared" si="2"/>
        <v>-0.49217516442733683</v>
      </c>
      <c r="I12" s="394">
        <v>16597.582999999999</v>
      </c>
    </row>
    <row r="13" spans="1:9">
      <c r="A13" s="391" t="s">
        <v>602</v>
      </c>
      <c r="B13" s="382" t="s">
        <v>603</v>
      </c>
      <c r="C13" s="392">
        <v>597691.99</v>
      </c>
      <c r="D13" s="393">
        <f t="shared" si="0"/>
        <v>-0.24472892802193991</v>
      </c>
      <c r="E13" s="392">
        <v>451419.47</v>
      </c>
      <c r="F13" s="393">
        <f t="shared" si="1"/>
        <v>-2.1468595938052819E-2</v>
      </c>
      <c r="G13" s="392">
        <v>441728.12780000002</v>
      </c>
      <c r="H13" s="393">
        <f t="shared" si="2"/>
        <v>-1</v>
      </c>
      <c r="I13" s="394">
        <v>0</v>
      </c>
    </row>
    <row r="14" spans="1:9">
      <c r="A14" s="391" t="s">
        <v>604</v>
      </c>
      <c r="B14" s="382" t="s">
        <v>605</v>
      </c>
      <c r="C14" s="392">
        <v>236901.16</v>
      </c>
      <c r="D14" s="393">
        <f t="shared" si="0"/>
        <v>-0.99873364908808382</v>
      </c>
      <c r="E14" s="392">
        <v>300</v>
      </c>
      <c r="F14" s="393">
        <f t="shared" si="1"/>
        <v>810.5105193666667</v>
      </c>
      <c r="G14" s="392">
        <v>243453.15581</v>
      </c>
      <c r="H14" s="393">
        <f t="shared" si="2"/>
        <v>-0.99876773008342468</v>
      </c>
      <c r="I14" s="394">
        <v>300</v>
      </c>
    </row>
    <row r="15" spans="1:9">
      <c r="A15" s="391" t="s">
        <v>606</v>
      </c>
      <c r="B15" s="382" t="s">
        <v>607</v>
      </c>
      <c r="C15" s="392">
        <v>0</v>
      </c>
      <c r="D15" s="393" t="str">
        <f t="shared" si="0"/>
        <v xml:space="preserve">  -</v>
      </c>
      <c r="E15" s="392">
        <v>0</v>
      </c>
      <c r="F15" s="393" t="str">
        <f t="shared" si="1"/>
        <v xml:space="preserve">  -</v>
      </c>
      <c r="G15" s="392"/>
      <c r="H15" s="393" t="str">
        <f t="shared" si="2"/>
        <v xml:space="preserve">  -</v>
      </c>
      <c r="I15" s="394">
        <v>23378</v>
      </c>
    </row>
    <row r="16" spans="1:9">
      <c r="A16" s="391" t="s">
        <v>608</v>
      </c>
      <c r="B16" s="382" t="s">
        <v>609</v>
      </c>
      <c r="C16" s="392">
        <v>26368.63</v>
      </c>
      <c r="D16" s="393">
        <f t="shared" si="0"/>
        <v>-0.1248767948884717</v>
      </c>
      <c r="E16" s="392">
        <v>23075.8</v>
      </c>
      <c r="F16" s="393">
        <f t="shared" si="1"/>
        <v>5.5443467182069529E-2</v>
      </c>
      <c r="G16" s="392">
        <v>24355.202359999999</v>
      </c>
      <c r="H16" s="393">
        <f t="shared" si="2"/>
        <v>-1</v>
      </c>
      <c r="I16" s="394">
        <v>0</v>
      </c>
    </row>
    <row r="17" spans="1:9" ht="28">
      <c r="A17" s="391" t="s">
        <v>638</v>
      </c>
      <c r="B17" s="455" t="s">
        <v>639</v>
      </c>
      <c r="C17" s="392">
        <v>0</v>
      </c>
      <c r="D17" s="393" t="str">
        <f>CHOOSE((C17&lt;&gt;0)+1,"  -",(E17-C17)/C17)</f>
        <v xml:space="preserve">  -</v>
      </c>
      <c r="E17" s="392"/>
      <c r="F17" s="393" t="str">
        <f t="shared" si="1"/>
        <v xml:space="preserve">  -</v>
      </c>
      <c r="G17" s="392"/>
      <c r="H17" s="393" t="str">
        <f>CHOOSE((G17&lt;&gt;0)+1,"  -",(I17-G17)/G17)</f>
        <v xml:space="preserve">  -</v>
      </c>
      <c r="I17" s="394">
        <v>0</v>
      </c>
    </row>
    <row r="18" spans="1:9">
      <c r="A18" s="391">
        <v>389</v>
      </c>
      <c r="B18" s="382" t="s">
        <v>61</v>
      </c>
      <c r="C18" s="392">
        <v>0</v>
      </c>
      <c r="D18" s="393" t="str">
        <f>CHOOSE((C18&lt;&gt;0)+1,"  -",(E18-C18)/C18)</f>
        <v xml:space="preserve">  -</v>
      </c>
      <c r="E18" s="392"/>
      <c r="F18" s="393" t="str">
        <f t="shared" si="1"/>
        <v xml:space="preserve">  -</v>
      </c>
      <c r="G18" s="392"/>
      <c r="H18" s="393" t="str">
        <f>CHOOSE((G18&lt;&gt;0)+1,"  -",(I18-G18)/G18)</f>
        <v xml:space="preserve">  -</v>
      </c>
      <c r="I18" s="394">
        <v>0</v>
      </c>
    </row>
    <row r="19" spans="1:9">
      <c r="A19" s="395" t="s">
        <v>544</v>
      </c>
      <c r="B19" s="396" t="s">
        <v>45</v>
      </c>
      <c r="C19" s="397">
        <v>13076.86</v>
      </c>
      <c r="D19" s="393">
        <f t="shared" ref="D19:D27" si="3">CHOOSE((C19&lt;&gt;0)+1,"  -",(E19-C19)/C19)</f>
        <v>0.19344880957661084</v>
      </c>
      <c r="E19" s="397">
        <v>15606.563</v>
      </c>
      <c r="F19" s="393">
        <f t="shared" si="1"/>
        <v>0.11717621426319193</v>
      </c>
      <c r="G19" s="397">
        <v>17435.280970000003</v>
      </c>
      <c r="H19" s="393">
        <f t="shared" ref="H19:H27" si="4">CHOOSE((G19&lt;&gt;0)+1,"  -",(I19-G19)/G19)</f>
        <v>-5.6345003656112794E-2</v>
      </c>
      <c r="I19" s="398">
        <v>16452.89</v>
      </c>
    </row>
    <row r="20" spans="1:9">
      <c r="A20" s="399" t="s">
        <v>546</v>
      </c>
      <c r="B20" s="400" t="s">
        <v>611</v>
      </c>
      <c r="C20" s="401">
        <f>C19+C18+C17+C10+C9+C8+C7+C5+C4</f>
        <v>9168547.4800000004</v>
      </c>
      <c r="D20" s="402">
        <f t="shared" si="3"/>
        <v>-3.3015866980666025E-2</v>
      </c>
      <c r="E20" s="401">
        <f>E19+E18+E17+E10+E9+E8+E7+E5+E4</f>
        <v>8865839.9359943997</v>
      </c>
      <c r="F20" s="402">
        <f t="shared" si="1"/>
        <v>6.1243839181121106E-2</v>
      </c>
      <c r="G20" s="401">
        <f>G19+G18+G17+G10+G9+G8+G7+G5+G4</f>
        <v>9408818.0112400018</v>
      </c>
      <c r="H20" s="402">
        <f t="shared" si="4"/>
        <v>-0.15425687535949306</v>
      </c>
      <c r="I20" s="434">
        <f>I19+I18+I17+I10+I9+I8+I7+I5+I4</f>
        <v>7957443.1439999994</v>
      </c>
    </row>
    <row r="21" spans="1:9">
      <c r="A21" s="403" t="s">
        <v>548</v>
      </c>
      <c r="B21" s="404" t="s">
        <v>612</v>
      </c>
      <c r="C21" s="388">
        <v>5748801.2989999996</v>
      </c>
      <c r="D21" s="393">
        <f t="shared" si="3"/>
        <v>-2.5369733865278864E-2</v>
      </c>
      <c r="E21" s="388">
        <v>5602955.7400000002</v>
      </c>
      <c r="F21" s="393">
        <f t="shared" si="1"/>
        <v>4.1406713425153403E-2</v>
      </c>
      <c r="G21" s="388">
        <v>5834955.7226599986</v>
      </c>
      <c r="H21" s="393">
        <f t="shared" si="4"/>
        <v>-7.79332408460328E-2</v>
      </c>
      <c r="I21" s="390">
        <v>5380218.7129999995</v>
      </c>
    </row>
    <row r="22" spans="1:9">
      <c r="A22" s="405" t="s">
        <v>550</v>
      </c>
      <c r="B22" s="378" t="s">
        <v>613</v>
      </c>
      <c r="C22" s="392">
        <v>235703.66999999998</v>
      </c>
      <c r="D22" s="393">
        <f t="shared" si="3"/>
        <v>-3.1657122691385489E-3</v>
      </c>
      <c r="E22" s="392">
        <v>234957.5</v>
      </c>
      <c r="F22" s="393">
        <f t="shared" si="1"/>
        <v>5.8943553493717014E-2</v>
      </c>
      <c r="G22" s="392">
        <v>248806.72997000001</v>
      </c>
      <c r="H22" s="393">
        <f t="shared" si="4"/>
        <v>1.8086860837094743</v>
      </c>
      <c r="I22" s="394">
        <v>698820</v>
      </c>
    </row>
    <row r="23" spans="1:9">
      <c r="A23" s="405" t="s">
        <v>552</v>
      </c>
      <c r="B23" s="378" t="s">
        <v>614</v>
      </c>
      <c r="C23" s="392">
        <v>506907.15</v>
      </c>
      <c r="D23" s="393">
        <f t="shared" si="3"/>
        <v>-2.2486662498250463E-2</v>
      </c>
      <c r="E23" s="392">
        <v>495508.5</v>
      </c>
      <c r="F23" s="393">
        <f t="shared" si="1"/>
        <v>-0.17277092972168992</v>
      </c>
      <c r="G23" s="392">
        <v>409899.03577000002</v>
      </c>
      <c r="H23" s="393">
        <f t="shared" si="4"/>
        <v>-0.34172937856969676</v>
      </c>
      <c r="I23" s="394">
        <v>269824.49300000002</v>
      </c>
    </row>
    <row r="24" spans="1:9" ht="28">
      <c r="A24" s="405" t="s">
        <v>640</v>
      </c>
      <c r="B24" s="456" t="s">
        <v>641</v>
      </c>
      <c r="C24" s="392">
        <v>928728.36</v>
      </c>
      <c r="D24" s="393">
        <f t="shared" si="3"/>
        <v>0.52723401275266324</v>
      </c>
      <c r="E24" s="392">
        <v>1418385.54</v>
      </c>
      <c r="F24" s="393">
        <f t="shared" si="1"/>
        <v>0.19611640660831903</v>
      </c>
      <c r="G24" s="392">
        <v>1696554.2152900002</v>
      </c>
      <c r="H24" s="393">
        <f t="shared" si="4"/>
        <v>-0.66307375452644091</v>
      </c>
      <c r="I24" s="394">
        <v>571613.64200000011</v>
      </c>
    </row>
    <row r="25" spans="1:9">
      <c r="A25" s="405" t="s">
        <v>556</v>
      </c>
      <c r="B25" s="378" t="s">
        <v>597</v>
      </c>
      <c r="C25" s="392">
        <v>1275543.5899999999</v>
      </c>
      <c r="D25" s="393">
        <f t="shared" si="3"/>
        <v>-0.16362239568778666</v>
      </c>
      <c r="E25" s="392">
        <v>1066836.0919999999</v>
      </c>
      <c r="F25" s="393">
        <f t="shared" si="1"/>
        <v>0.17880218111331039</v>
      </c>
      <c r="G25" s="392">
        <v>1257588.7121400002</v>
      </c>
      <c r="H25" s="393">
        <f t="shared" si="4"/>
        <v>-0.19122124731128246</v>
      </c>
      <c r="I25" s="394">
        <v>1017111.03</v>
      </c>
    </row>
    <row r="26" spans="1:9">
      <c r="A26" s="406" t="s">
        <v>558</v>
      </c>
      <c r="B26" s="378" t="s">
        <v>616</v>
      </c>
      <c r="C26" s="392">
        <v>0</v>
      </c>
      <c r="D26" s="393" t="str">
        <f t="shared" si="3"/>
        <v xml:space="preserve">  -</v>
      </c>
      <c r="E26" s="392">
        <v>0</v>
      </c>
      <c r="F26" s="393" t="str">
        <f t="shared" si="1"/>
        <v xml:space="preserve">  -</v>
      </c>
      <c r="G26" s="392"/>
      <c r="H26" s="393" t="str">
        <f t="shared" si="4"/>
        <v xml:space="preserve">  -</v>
      </c>
      <c r="I26" s="394">
        <v>3647.1350000000002</v>
      </c>
    </row>
    <row r="27" spans="1:9">
      <c r="A27" s="407">
        <v>489</v>
      </c>
      <c r="B27" s="378" t="s">
        <v>63</v>
      </c>
      <c r="C27" s="392">
        <v>0</v>
      </c>
      <c r="D27" s="393" t="str">
        <f t="shared" si="3"/>
        <v xml:space="preserve">  -</v>
      </c>
      <c r="E27" s="392">
        <v>0</v>
      </c>
      <c r="F27" s="393" t="str">
        <f t="shared" si="1"/>
        <v xml:space="preserve">  -</v>
      </c>
      <c r="G27" s="392"/>
      <c r="H27" s="393" t="str">
        <f t="shared" si="4"/>
        <v xml:space="preserve">  -</v>
      </c>
      <c r="I27" s="394">
        <v>0</v>
      </c>
    </row>
    <row r="28" spans="1:9">
      <c r="A28" s="408" t="s">
        <v>560</v>
      </c>
      <c r="B28" s="409" t="s">
        <v>45</v>
      </c>
      <c r="C28" s="397">
        <v>13076.96</v>
      </c>
      <c r="D28" s="393">
        <f>CHOOSE((C28&lt;&gt;0)+1,"  -",(E28-C28)/C28)</f>
        <v>0.19343945381801278</v>
      </c>
      <c r="E28" s="397">
        <v>15606.56</v>
      </c>
      <c r="F28" s="393">
        <f>CHOOSE((E28&lt;&gt;0)+1,"  -",(G28-E28)/E28)</f>
        <v>0.11717642901446573</v>
      </c>
      <c r="G28" s="397">
        <v>17435.28097</v>
      </c>
      <c r="H28" s="393">
        <f>CHOOSE((G28&lt;&gt;0)+1,"  -",(I28-G28)/G28)</f>
        <v>-5.6345003656112599E-2</v>
      </c>
      <c r="I28" s="398">
        <v>16452.89</v>
      </c>
    </row>
    <row r="29" spans="1:9">
      <c r="A29" s="410" t="s">
        <v>562</v>
      </c>
      <c r="B29" s="411" t="s">
        <v>617</v>
      </c>
      <c r="C29" s="401">
        <f t="shared" ref="C29" si="5">SUM(C21:C28)</f>
        <v>8708761.029000001</v>
      </c>
      <c r="D29" s="412">
        <f>CHOOSE((C29&lt;&gt;0)+1,"  -",(E29-C29)/C29)</f>
        <v>1.4409501257655761E-2</v>
      </c>
      <c r="E29" s="401">
        <f t="shared" ref="E29" si="6">SUM(E21:E28)</f>
        <v>8834249.932</v>
      </c>
      <c r="F29" s="413">
        <f>CHOOSE((E29&lt;&gt;0)+1,"  -",(G29-E29)/E29)</f>
        <v>7.1425392043118985E-2</v>
      </c>
      <c r="G29" s="401">
        <f t="shared" ref="G29" si="7">SUM(G21:G28)</f>
        <v>9465239.6967999972</v>
      </c>
      <c r="H29" s="412">
        <f>CHOOSE((G29&lt;&gt;0)+1,"  -",(I29-G29)/G29)</f>
        <v>-0.1592724370529856</v>
      </c>
      <c r="I29" s="434">
        <f t="shared" ref="I29" si="8">SUM(I21:I28)</f>
        <v>7957687.902999999</v>
      </c>
    </row>
    <row r="30" spans="1:9">
      <c r="A30" s="414" t="s">
        <v>564</v>
      </c>
      <c r="B30" s="415" t="s">
        <v>618</v>
      </c>
      <c r="C30" s="416">
        <f t="shared" ref="C30" si="9">C29-C20</f>
        <v>-459786.45099999942</v>
      </c>
      <c r="D30" s="417"/>
      <c r="E30" s="416">
        <f t="shared" ref="E30" si="10">E29-E20</f>
        <v>-31590.003994399682</v>
      </c>
      <c r="F30" s="418"/>
      <c r="G30" s="416">
        <f t="shared" ref="G30" si="11">G29-G20</f>
        <v>56421.685559995472</v>
      </c>
      <c r="H30" s="417"/>
      <c r="I30" s="435">
        <f t="shared" ref="I30" si="12">I29-I20</f>
        <v>244.75899999961257</v>
      </c>
    </row>
    <row r="31" spans="1:9">
      <c r="A31" s="419"/>
      <c r="B31" s="404" t="s">
        <v>619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620</v>
      </c>
      <c r="C32" s="392">
        <v>506278.65</v>
      </c>
      <c r="D32" s="393">
        <f t="shared" ref="D32:D42" si="13">CHOOSE((C32&lt;&gt;0)+1,"  -",(E32-C32)/C32)</f>
        <v>-4.0119211031316906E-3</v>
      </c>
      <c r="E32" s="392">
        <v>504247.5</v>
      </c>
      <c r="F32" s="393">
        <f t="shared" ref="F32:F42" si="14">CHOOSE((E32&lt;&gt;0)+1,"  -",(G32-E32)/E32)</f>
        <v>-0.2114889726374449</v>
      </c>
      <c r="G32" s="392">
        <v>397604.71427</v>
      </c>
      <c r="H32" s="393">
        <f t="shared" ref="H32:H42" si="15">CHOOSE((G32&lt;&gt;0)+1,"  -",(I32-G32)/G32)</f>
        <v>0.11915382546955534</v>
      </c>
      <c r="I32" s="394">
        <v>444980.837</v>
      </c>
    </row>
    <row r="33" spans="1:9">
      <c r="A33" s="406" t="s">
        <v>569</v>
      </c>
      <c r="B33" s="378" t="s">
        <v>621</v>
      </c>
      <c r="C33" s="392">
        <v>91034.55</v>
      </c>
      <c r="D33" s="393">
        <f t="shared" si="13"/>
        <v>0.37486262084010957</v>
      </c>
      <c r="E33" s="392">
        <v>125160</v>
      </c>
      <c r="F33" s="393">
        <f t="shared" si="14"/>
        <v>5.7331080297219623E-2</v>
      </c>
      <c r="G33" s="392">
        <v>132335.55801000001</v>
      </c>
      <c r="H33" s="393">
        <f t="shared" si="15"/>
        <v>0.14615453534067122</v>
      </c>
      <c r="I33" s="394">
        <v>151677</v>
      </c>
    </row>
    <row r="34" spans="1:9">
      <c r="A34" s="405" t="s">
        <v>571</v>
      </c>
      <c r="B34" s="378" t="s">
        <v>622</v>
      </c>
      <c r="C34" s="392">
        <v>120942.79</v>
      </c>
      <c r="D34" s="393">
        <f t="shared" si="13"/>
        <v>-0.11398604249166068</v>
      </c>
      <c r="E34" s="392">
        <v>107157</v>
      </c>
      <c r="F34" s="393">
        <f t="shared" si="14"/>
        <v>0.27152840393068112</v>
      </c>
      <c r="G34" s="392">
        <v>136253.16918</v>
      </c>
      <c r="H34" s="393">
        <f t="shared" si="15"/>
        <v>-0.13031380691441763</v>
      </c>
      <c r="I34" s="394">
        <v>118497.5</v>
      </c>
    </row>
    <row r="35" spans="1:9">
      <c r="A35" s="410" t="s">
        <v>573</v>
      </c>
      <c r="B35" s="411" t="s">
        <v>623</v>
      </c>
      <c r="C35" s="401">
        <f t="shared" ref="C35" si="16">SUM(C32:C34)</f>
        <v>718255.99000000011</v>
      </c>
      <c r="D35" s="412">
        <f t="shared" si="13"/>
        <v>2.5490229465402567E-2</v>
      </c>
      <c r="E35" s="401">
        <f t="shared" ref="E35" si="17">SUM(E32:E34)</f>
        <v>736564.5</v>
      </c>
      <c r="F35" s="412">
        <f t="shared" si="14"/>
        <v>-9.5539573981640438E-2</v>
      </c>
      <c r="G35" s="401">
        <f t="shared" ref="G35" si="18">SUM(G32:G34)</f>
        <v>666193.44146</v>
      </c>
      <c r="H35" s="412">
        <f t="shared" si="15"/>
        <v>7.3495012848966715E-2</v>
      </c>
      <c r="I35" s="434">
        <f t="shared" ref="I35" si="19">SUM(I32:I34)</f>
        <v>715155.33700000006</v>
      </c>
    </row>
    <row r="36" spans="1:9">
      <c r="A36" s="405" t="s">
        <v>575</v>
      </c>
      <c r="B36" s="378" t="s">
        <v>624</v>
      </c>
      <c r="C36" s="392">
        <v>6105.09</v>
      </c>
      <c r="D36" s="393">
        <f t="shared" si="13"/>
        <v>2.2759549818266396</v>
      </c>
      <c r="E36" s="392">
        <v>20000</v>
      </c>
      <c r="F36" s="393">
        <f t="shared" si="14"/>
        <v>5.4585468075000003</v>
      </c>
      <c r="G36" s="392">
        <v>129170.93615000001</v>
      </c>
      <c r="H36" s="393">
        <f t="shared" si="15"/>
        <v>-0.82968304902232448</v>
      </c>
      <c r="I36" s="394">
        <v>22000</v>
      </c>
    </row>
    <row r="37" spans="1:9">
      <c r="A37" s="405" t="s">
        <v>577</v>
      </c>
      <c r="B37" s="378" t="s">
        <v>625</v>
      </c>
      <c r="C37" s="392">
        <v>131755.81</v>
      </c>
      <c r="D37" s="393">
        <f t="shared" si="13"/>
        <v>0.18462707640748444</v>
      </c>
      <c r="E37" s="392">
        <v>156081.5</v>
      </c>
      <c r="F37" s="393">
        <f t="shared" si="14"/>
        <v>-8.6590999638009564E-2</v>
      </c>
      <c r="G37" s="392">
        <v>142566.24689000001</v>
      </c>
      <c r="H37" s="393">
        <f t="shared" si="15"/>
        <v>-0.66815777905339235</v>
      </c>
      <c r="I37" s="394">
        <v>47309.5</v>
      </c>
    </row>
    <row r="38" spans="1:9">
      <c r="A38" s="410" t="s">
        <v>579</v>
      </c>
      <c r="B38" s="411" t="s">
        <v>626</v>
      </c>
      <c r="C38" s="401">
        <f t="shared" ref="C38" si="20">SUM(C36:C37)</f>
        <v>137860.9</v>
      </c>
      <c r="D38" s="412">
        <f t="shared" si="13"/>
        <v>0.27724031977159591</v>
      </c>
      <c r="E38" s="401">
        <f t="shared" ref="E38" si="21">SUM(E36:E37)</f>
        <v>176081.5</v>
      </c>
      <c r="F38" s="412">
        <f t="shared" si="14"/>
        <v>0.54324663885757463</v>
      </c>
      <c r="G38" s="401">
        <f t="shared" ref="G38" si="22">SUM(G36:G37)</f>
        <v>271737.18304000003</v>
      </c>
      <c r="H38" s="412">
        <f t="shared" si="15"/>
        <v>-0.74493921212910508</v>
      </c>
      <c r="I38" s="434">
        <f t="shared" ref="I38" si="23">SUM(I36:I37)</f>
        <v>69309.5</v>
      </c>
    </row>
    <row r="39" spans="1:9">
      <c r="A39" s="423" t="s">
        <v>581</v>
      </c>
      <c r="B39" s="424" t="s">
        <v>68</v>
      </c>
      <c r="C39" s="425">
        <f t="shared" ref="C39" si="24">C35-C38</f>
        <v>580395.09000000008</v>
      </c>
      <c r="D39" s="426">
        <f t="shared" si="13"/>
        <v>-3.4307819523421677E-2</v>
      </c>
      <c r="E39" s="425">
        <f t="shared" ref="E39" si="25">E35-E38</f>
        <v>560483</v>
      </c>
      <c r="F39" s="426">
        <f t="shared" si="14"/>
        <v>-0.29622083378086406</v>
      </c>
      <c r="G39" s="425">
        <f t="shared" ref="G39" si="26">G35-G38</f>
        <v>394456.25841999997</v>
      </c>
      <c r="H39" s="426">
        <f t="shared" si="15"/>
        <v>0.63730660425301544</v>
      </c>
      <c r="I39" s="436">
        <f t="shared" ref="I39" si="27">I35-I38</f>
        <v>645845.83700000006</v>
      </c>
    </row>
    <row r="40" spans="1:9">
      <c r="A40" s="377" t="s">
        <v>582</v>
      </c>
      <c r="B40" s="378" t="s">
        <v>155</v>
      </c>
      <c r="C40" s="392">
        <f>C9+C30+C18-C27</f>
        <v>948667.26900000032</v>
      </c>
      <c r="D40" s="393">
        <f t="shared" si="13"/>
        <v>-0.33928614332155266</v>
      </c>
      <c r="E40" s="392">
        <f>E9+E30+E18-E27</f>
        <v>626797.61000560026</v>
      </c>
      <c r="F40" s="393">
        <f t="shared" si="14"/>
        <v>0.24778930979492345</v>
      </c>
      <c r="G40" s="392">
        <f>G9+G30+G18-G27</f>
        <v>782111.35716999555</v>
      </c>
      <c r="H40" s="393">
        <f t="shared" si="15"/>
        <v>-0.44575549629081718</v>
      </c>
      <c r="I40" s="394">
        <f>I9+I30+I18-I27</f>
        <v>433480.92099999962</v>
      </c>
    </row>
    <row r="41" spans="1:9">
      <c r="A41" s="377" t="s">
        <v>582</v>
      </c>
      <c r="B41" s="378" t="s">
        <v>627</v>
      </c>
      <c r="C41" s="392">
        <f>C40-C39</f>
        <v>368272.17900000024</v>
      </c>
      <c r="D41" s="393">
        <f t="shared" si="13"/>
        <v>-0.81993043790147335</v>
      </c>
      <c r="E41" s="392">
        <f>E40-E39</f>
        <v>66314.610005600262</v>
      </c>
      <c r="F41" s="393">
        <f t="shared" si="14"/>
        <v>4.8456967283266561</v>
      </c>
      <c r="G41" s="392">
        <f>G40-G39</f>
        <v>387655.09874999558</v>
      </c>
      <c r="H41" s="393">
        <f t="shared" si="15"/>
        <v>-1.5478192256074457</v>
      </c>
      <c r="I41" s="394">
        <f>I40-I39</f>
        <v>-212364.91600000043</v>
      </c>
    </row>
    <row r="42" spans="1:9">
      <c r="A42" s="427" t="s">
        <v>582</v>
      </c>
      <c r="B42" s="409" t="s">
        <v>628</v>
      </c>
      <c r="C42" s="397">
        <f>C35+C20-C8-C9-C17-C18-C19</f>
        <v>8305045.1500000004</v>
      </c>
      <c r="D42" s="428">
        <f t="shared" si="13"/>
        <v>-9.8478744580457016E-3</v>
      </c>
      <c r="E42" s="397">
        <f>E35+E20-E8-E9-E17-E18-E19</f>
        <v>8223258.107994399</v>
      </c>
      <c r="F42" s="428">
        <f t="shared" si="14"/>
        <v>1.8781513146894475E-2</v>
      </c>
      <c r="G42" s="397">
        <f>G35+G20-G8-G9-G17-G18-G19</f>
        <v>8377703.3382600024</v>
      </c>
      <c r="H42" s="428">
        <f t="shared" si="15"/>
        <v>-1.8476890743203803E-2</v>
      </c>
      <c r="I42" s="398">
        <f>I35+I20-I8-I9-I17-I18-I19</f>
        <v>8222909.4289999986</v>
      </c>
    </row>
    <row r="43" spans="1:9">
      <c r="A43" s="427" t="s">
        <v>582</v>
      </c>
      <c r="B43" s="409" t="s">
        <v>629</v>
      </c>
      <c r="C43" s="429">
        <f>C40/C39</f>
        <v>1.6345198044318401</v>
      </c>
      <c r="D43" s="430"/>
      <c r="E43" s="429">
        <f>E40/E39</f>
        <v>1.1183168981139486</v>
      </c>
      <c r="F43" s="430"/>
      <c r="G43" s="429">
        <f t="shared" ref="G43" si="28">IF(0&gt;G40,"negativ",(G40+G38)/G35)</f>
        <v>1.5818956996941127</v>
      </c>
      <c r="H43" s="430"/>
      <c r="I43" s="437">
        <f>I40/I39</f>
        <v>0.6711832703196623</v>
      </c>
    </row>
    <row r="44" spans="1:9">
      <c r="A44" s="378"/>
      <c r="B44" s="378"/>
      <c r="C44" s="432"/>
      <c r="D44" s="380"/>
      <c r="E44" s="378"/>
      <c r="F44" s="431"/>
      <c r="G44" s="432"/>
      <c r="H44" s="431"/>
      <c r="I44" s="432"/>
    </row>
    <row r="45" spans="1:9">
      <c r="A45" s="438"/>
      <c r="B45" s="378"/>
      <c r="C45" s="378"/>
      <c r="D45" s="431"/>
      <c r="E45" s="432"/>
      <c r="F45" s="380"/>
      <c r="G45" s="378"/>
      <c r="H45" s="380"/>
      <c r="I45" s="439"/>
    </row>
  </sheetData>
  <sheetProtection selectLockedCells="1" sort="0" autoFilter="0" pivotTables="0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50"/>
  </sheetPr>
  <dimension ref="A1:AU186"/>
  <sheetViews>
    <sheetView view="pageLayout" topLeftCell="A52" zoomScaleNormal="100" workbookViewId="0">
      <selection activeCell="I165" sqref="I165"/>
    </sheetView>
  </sheetViews>
  <sheetFormatPr baseColWidth="10" defaultColWidth="11.5" defaultRowHeight="13"/>
  <cols>
    <col min="1" max="1" width="16.33203125" style="61" customWidth="1"/>
    <col min="2" max="2" width="3.6640625" style="1" customWidth="1"/>
    <col min="3" max="3" width="44.6640625" style="1" customWidth="1"/>
    <col min="4" max="4" width="12.6640625" style="1" customWidth="1"/>
    <col min="5" max="5" width="11.5" style="1"/>
    <col min="6" max="6" width="14.6640625" style="1" customWidth="1"/>
    <col min="7" max="16384" width="11.5" style="1"/>
  </cols>
  <sheetData>
    <row r="1" spans="1:47" s="2" customFormat="1" ht="18" customHeight="1">
      <c r="A1" s="219" t="s">
        <v>219</v>
      </c>
      <c r="B1" s="44" t="s">
        <v>504</v>
      </c>
      <c r="C1" s="44" t="s">
        <v>505</v>
      </c>
      <c r="D1" s="28" t="s">
        <v>172</v>
      </c>
      <c r="E1" s="24" t="s">
        <v>2</v>
      </c>
      <c r="F1" s="28" t="s">
        <v>172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spans="1:47" s="3" customFormat="1" ht="15" customHeight="1">
      <c r="A2" s="220"/>
      <c r="B2" s="26"/>
      <c r="C2" s="42" t="s">
        <v>215</v>
      </c>
      <c r="D2" s="29">
        <v>2012</v>
      </c>
      <c r="E2" s="27">
        <v>2013</v>
      </c>
      <c r="F2" s="29">
        <v>2013</v>
      </c>
      <c r="G2" s="27">
        <v>2014</v>
      </c>
    </row>
    <row r="3" spans="1:47" ht="15" customHeight="1">
      <c r="A3" s="800" t="s">
        <v>40</v>
      </c>
      <c r="B3" s="797"/>
      <c r="C3" s="797"/>
      <c r="E3" s="85" t="s">
        <v>470</v>
      </c>
      <c r="G3" s="85" t="s">
        <v>470</v>
      </c>
    </row>
    <row r="4" spans="1:47" s="62" customFormat="1" ht="12.75" customHeight="1">
      <c r="A4" s="160">
        <v>30</v>
      </c>
      <c r="B4" s="96"/>
      <c r="C4" s="97" t="s">
        <v>41</v>
      </c>
      <c r="D4" s="98"/>
      <c r="E4" s="345">
        <v>2267909.4840000002</v>
      </c>
      <c r="F4" s="98"/>
      <c r="G4" s="345">
        <v>2243540.23</v>
      </c>
    </row>
    <row r="5" spans="1:47" s="62" customFormat="1" ht="12.75" customHeight="1">
      <c r="A5" s="145">
        <v>31</v>
      </c>
      <c r="B5" s="102"/>
      <c r="C5" s="103" t="s">
        <v>42</v>
      </c>
      <c r="D5" s="105"/>
      <c r="E5" s="346">
        <v>592227.13199999998</v>
      </c>
      <c r="F5" s="105"/>
      <c r="G5" s="346">
        <v>612768.64099999995</v>
      </c>
    </row>
    <row r="6" spans="1:47" s="62" customFormat="1" ht="12.75" customHeight="1">
      <c r="A6" s="107" t="s">
        <v>298</v>
      </c>
      <c r="B6" s="108"/>
      <c r="C6" s="109" t="s">
        <v>299</v>
      </c>
      <c r="D6" s="150"/>
      <c r="E6" s="347">
        <v>79070.167000000001</v>
      </c>
      <c r="F6" s="150"/>
      <c r="G6" s="347">
        <v>81519.331999999995</v>
      </c>
    </row>
    <row r="7" spans="1:47" s="62" customFormat="1" ht="12.75" customHeight="1">
      <c r="A7" s="107" t="s">
        <v>415</v>
      </c>
      <c r="B7" s="108"/>
      <c r="C7" s="109" t="s">
        <v>414</v>
      </c>
      <c r="D7" s="150"/>
      <c r="E7" s="347">
        <v>29079.460999999999</v>
      </c>
      <c r="F7" s="150"/>
      <c r="G7" s="347">
        <v>35100.216</v>
      </c>
    </row>
    <row r="8" spans="1:47" s="62" customFormat="1" ht="12.75" customHeight="1">
      <c r="A8" s="145">
        <v>330</v>
      </c>
      <c r="B8" s="102"/>
      <c r="C8" s="103" t="s">
        <v>300</v>
      </c>
      <c r="D8" s="105"/>
      <c r="E8" s="348">
        <v>343474.6</v>
      </c>
      <c r="F8" s="105"/>
      <c r="G8" s="348">
        <v>342766.85800000001</v>
      </c>
    </row>
    <row r="9" spans="1:47" s="62" customFormat="1" ht="12.75" customHeight="1">
      <c r="A9" s="145">
        <v>332</v>
      </c>
      <c r="B9" s="102"/>
      <c r="C9" s="103" t="s">
        <v>301</v>
      </c>
      <c r="D9" s="105"/>
      <c r="E9" s="348">
        <v>33494.6</v>
      </c>
      <c r="F9" s="105"/>
      <c r="G9" s="348">
        <v>38597.307000000001</v>
      </c>
    </row>
    <row r="10" spans="1:47" s="62" customFormat="1" ht="12.75" customHeight="1">
      <c r="A10" s="145">
        <v>339</v>
      </c>
      <c r="B10" s="102"/>
      <c r="C10" s="103" t="s">
        <v>302</v>
      </c>
      <c r="D10" s="105"/>
      <c r="E10" s="348">
        <v>0</v>
      </c>
      <c r="F10" s="105"/>
      <c r="G10" s="348">
        <v>0</v>
      </c>
    </row>
    <row r="11" spans="1:47" s="203" customFormat="1" ht="28.25" customHeight="1">
      <c r="A11" s="114">
        <v>350</v>
      </c>
      <c r="B11" s="216"/>
      <c r="C11" s="116" t="s">
        <v>303</v>
      </c>
      <c r="D11" s="117"/>
      <c r="E11" s="363"/>
      <c r="F11" s="117"/>
      <c r="G11" s="363"/>
    </row>
    <row r="12" spans="1:47" s="63" customFormat="1" ht="28">
      <c r="A12" s="114">
        <v>351</v>
      </c>
      <c r="B12" s="115"/>
      <c r="C12" s="116" t="s">
        <v>304</v>
      </c>
      <c r="D12" s="119"/>
      <c r="E12" s="349"/>
      <c r="F12" s="119"/>
      <c r="G12" s="349"/>
    </row>
    <row r="13" spans="1:47" s="62" customFormat="1" ht="12.75" customHeight="1">
      <c r="A13" s="145">
        <v>36</v>
      </c>
      <c r="B13" s="102"/>
      <c r="C13" s="103" t="s">
        <v>43</v>
      </c>
      <c r="D13" s="150"/>
      <c r="E13" s="348">
        <v>4341935.0954</v>
      </c>
      <c r="F13" s="150"/>
      <c r="G13" s="348">
        <v>4431874.273</v>
      </c>
    </row>
    <row r="14" spans="1:47" s="62" customFormat="1" ht="12.75" customHeight="1">
      <c r="A14" s="121" t="s">
        <v>177</v>
      </c>
      <c r="B14" s="102"/>
      <c r="C14" s="122" t="s">
        <v>179</v>
      </c>
      <c r="D14" s="150"/>
      <c r="E14" s="348">
        <v>1765313.3759999999</v>
      </c>
      <c r="F14" s="150"/>
      <c r="G14" s="348">
        <v>1773093.382</v>
      </c>
    </row>
    <row r="15" spans="1:47" s="62" customFormat="1" ht="12.75" customHeight="1">
      <c r="A15" s="121" t="s">
        <v>178</v>
      </c>
      <c r="B15" s="102"/>
      <c r="C15" s="122" t="s">
        <v>180</v>
      </c>
      <c r="D15" s="150"/>
      <c r="E15" s="348">
        <v>1687.1</v>
      </c>
      <c r="F15" s="150"/>
      <c r="G15" s="348">
        <v>16597.582999999999</v>
      </c>
    </row>
    <row r="16" spans="1:47" s="64" customFormat="1" ht="26.25" customHeight="1">
      <c r="A16" s="121" t="s">
        <v>147</v>
      </c>
      <c r="B16" s="123"/>
      <c r="C16" s="122" t="s">
        <v>149</v>
      </c>
      <c r="D16" s="125"/>
      <c r="E16" s="350">
        <v>58961.2</v>
      </c>
      <c r="F16" s="125"/>
      <c r="G16" s="350">
        <v>67969.202000000005</v>
      </c>
    </row>
    <row r="17" spans="1:7" s="65" customFormat="1">
      <c r="A17" s="145">
        <v>37</v>
      </c>
      <c r="B17" s="102"/>
      <c r="C17" s="103" t="s">
        <v>44</v>
      </c>
      <c r="D17" s="128"/>
      <c r="E17" s="351">
        <v>24865.05</v>
      </c>
      <c r="F17" s="128"/>
      <c r="G17" s="351">
        <v>27701.15</v>
      </c>
    </row>
    <row r="18" spans="1:7" s="65" customFormat="1">
      <c r="A18" s="112" t="s">
        <v>200</v>
      </c>
      <c r="B18" s="108"/>
      <c r="C18" s="109" t="s">
        <v>201</v>
      </c>
      <c r="D18" s="129"/>
      <c r="E18" s="351">
        <v>300</v>
      </c>
      <c r="F18" s="129"/>
      <c r="G18" s="351">
        <v>300</v>
      </c>
    </row>
    <row r="19" spans="1:7" s="65" customFormat="1">
      <c r="A19" s="112" t="s">
        <v>216</v>
      </c>
      <c r="B19" s="108"/>
      <c r="C19" s="109" t="s">
        <v>202</v>
      </c>
      <c r="D19" s="129"/>
      <c r="E19" s="351">
        <v>0</v>
      </c>
      <c r="F19" s="129"/>
      <c r="G19" s="351">
        <v>23378</v>
      </c>
    </row>
    <row r="20" spans="1:7" s="62" customFormat="1" ht="12.75" customHeight="1">
      <c r="A20" s="222">
        <v>39</v>
      </c>
      <c r="B20" s="132"/>
      <c r="C20" s="133" t="s">
        <v>45</v>
      </c>
      <c r="D20" s="135"/>
      <c r="E20" s="352">
        <v>15606.563</v>
      </c>
      <c r="F20" s="135"/>
      <c r="G20" s="352">
        <v>16452.89</v>
      </c>
    </row>
    <row r="21" spans="1:7" ht="12.75" customHeight="1">
      <c r="A21" s="223"/>
      <c r="B21" s="7"/>
      <c r="C21" s="8" t="s">
        <v>478</v>
      </c>
      <c r="D21" s="15">
        <f t="shared" ref="D21:E21" si="0">D4+D5+SUM(D8:D13)+D17</f>
        <v>0</v>
      </c>
      <c r="E21" s="15">
        <f t="shared" si="0"/>
        <v>7603905.9614000004</v>
      </c>
      <c r="F21" s="15">
        <f t="shared" ref="F21:G21" si="1">F4+F5+SUM(F8:F13)+F17</f>
        <v>0</v>
      </c>
      <c r="G21" s="15">
        <f t="shared" si="1"/>
        <v>7697248.4590000007</v>
      </c>
    </row>
    <row r="22" spans="1:7" s="203" customFormat="1" ht="12.75" customHeight="1">
      <c r="A22" s="114" t="s">
        <v>416</v>
      </c>
      <c r="B22" s="216"/>
      <c r="C22" s="116" t="s">
        <v>305</v>
      </c>
      <c r="D22" s="117"/>
      <c r="E22" s="363">
        <v>5159978.1459999997</v>
      </c>
      <c r="F22" s="117"/>
      <c r="G22" s="363">
        <v>5380218.7129999995</v>
      </c>
    </row>
    <row r="23" spans="1:7" s="203" customFormat="1" ht="14">
      <c r="A23" s="114" t="s">
        <v>417</v>
      </c>
      <c r="B23" s="216"/>
      <c r="C23" s="116" t="s">
        <v>306</v>
      </c>
      <c r="D23" s="117"/>
      <c r="E23" s="363">
        <v>671792.64600000007</v>
      </c>
      <c r="F23" s="117"/>
      <c r="G23" s="363">
        <v>698820</v>
      </c>
    </row>
    <row r="24" spans="1:7" s="67" customFormat="1" ht="12.75" customHeight="1">
      <c r="A24" s="145">
        <v>41</v>
      </c>
      <c r="B24" s="102"/>
      <c r="C24" s="103" t="s">
        <v>46</v>
      </c>
      <c r="D24" s="105"/>
      <c r="E24" s="348">
        <v>117999.20299999999</v>
      </c>
      <c r="F24" s="105"/>
      <c r="G24" s="348">
        <v>86411.62</v>
      </c>
    </row>
    <row r="25" spans="1:7" s="62" customFormat="1" ht="12.75" customHeight="1">
      <c r="A25" s="224">
        <v>42</v>
      </c>
      <c r="B25" s="162"/>
      <c r="C25" s="103" t="s">
        <v>47</v>
      </c>
      <c r="D25" s="105"/>
      <c r="E25" s="348">
        <v>384518.88799999998</v>
      </c>
      <c r="F25" s="105"/>
      <c r="G25" s="348">
        <v>410187.78899999999</v>
      </c>
    </row>
    <row r="26" spans="1:7" s="68" customFormat="1" ht="12.75" customHeight="1">
      <c r="A26" s="114">
        <v>430</v>
      </c>
      <c r="B26" s="102"/>
      <c r="C26" s="103" t="s">
        <v>491</v>
      </c>
      <c r="D26" s="128"/>
      <c r="E26" s="351">
        <v>50611.998</v>
      </c>
      <c r="F26" s="128"/>
      <c r="G26" s="351">
        <v>31351.859</v>
      </c>
    </row>
    <row r="27" spans="1:7" s="68" customFormat="1" ht="12.75" customHeight="1">
      <c r="A27" s="114">
        <v>431</v>
      </c>
      <c r="B27" s="102"/>
      <c r="C27" s="103" t="s">
        <v>419</v>
      </c>
      <c r="D27" s="128"/>
      <c r="E27" s="351">
        <v>26148.294999999998</v>
      </c>
      <c r="F27" s="128"/>
      <c r="G27" s="351">
        <v>23804.452000000001</v>
      </c>
    </row>
    <row r="28" spans="1:7" s="68" customFormat="1" ht="12.75" customHeight="1">
      <c r="A28" s="114">
        <v>432</v>
      </c>
      <c r="B28" s="102"/>
      <c r="C28" s="103" t="s">
        <v>420</v>
      </c>
      <c r="D28" s="128"/>
      <c r="E28" s="351">
        <v>50</v>
      </c>
      <c r="F28" s="128"/>
      <c r="G28" s="351">
        <v>50</v>
      </c>
    </row>
    <row r="29" spans="1:7" s="68" customFormat="1" ht="12.75" customHeight="1">
      <c r="A29" s="114">
        <v>439</v>
      </c>
      <c r="B29" s="102"/>
      <c r="C29" s="103" t="s">
        <v>421</v>
      </c>
      <c r="D29" s="128"/>
      <c r="E29" s="351">
        <v>87102.323999999993</v>
      </c>
      <c r="F29" s="128"/>
      <c r="G29" s="351">
        <v>19807.921999999999</v>
      </c>
    </row>
    <row r="30" spans="1:7" s="62" customFormat="1" ht="28">
      <c r="A30" s="114">
        <v>450</v>
      </c>
      <c r="B30" s="115"/>
      <c r="C30" s="116" t="s">
        <v>307</v>
      </c>
      <c r="D30" s="104"/>
      <c r="E30" s="346">
        <v>3736.8319999999999</v>
      </c>
      <c r="F30" s="104"/>
      <c r="G30" s="346">
        <v>3647.1350000000002</v>
      </c>
    </row>
    <row r="31" spans="1:7" s="63" customFormat="1" ht="28">
      <c r="A31" s="114">
        <v>451</v>
      </c>
      <c r="B31" s="115"/>
      <c r="C31" s="116" t="s">
        <v>48</v>
      </c>
      <c r="D31" s="117"/>
      <c r="E31" s="348">
        <v>0</v>
      </c>
      <c r="F31" s="117"/>
      <c r="G31" s="348">
        <v>0</v>
      </c>
    </row>
    <row r="32" spans="1:7" s="69" customFormat="1" ht="12.75" customHeight="1">
      <c r="A32" s="145">
        <v>46</v>
      </c>
      <c r="B32" s="102"/>
      <c r="C32" s="103" t="s">
        <v>49</v>
      </c>
      <c r="D32" s="163"/>
      <c r="E32" s="348">
        <v>998343.22199999995</v>
      </c>
      <c r="F32" s="163"/>
      <c r="G32" s="348">
        <v>1005507.085</v>
      </c>
    </row>
    <row r="33" spans="1:7" s="64" customFormat="1" ht="14">
      <c r="A33" s="121" t="s">
        <v>51</v>
      </c>
      <c r="B33" s="215"/>
      <c r="C33" s="122" t="s">
        <v>50</v>
      </c>
      <c r="D33" s="124"/>
      <c r="E33" s="364">
        <v>11713.031000000001</v>
      </c>
      <c r="F33" s="124"/>
      <c r="G33" s="364">
        <v>16097.205</v>
      </c>
    </row>
    <row r="34" spans="1:7" s="62" customFormat="1" ht="15" customHeight="1">
      <c r="A34" s="145">
        <v>47</v>
      </c>
      <c r="B34" s="102"/>
      <c r="C34" s="103" t="s">
        <v>44</v>
      </c>
      <c r="D34" s="105"/>
      <c r="E34" s="348">
        <v>24865.05</v>
      </c>
      <c r="F34" s="105"/>
      <c r="G34" s="348">
        <v>27701.15</v>
      </c>
    </row>
    <row r="35" spans="1:7" s="62" customFormat="1" ht="15" customHeight="1">
      <c r="A35" s="222">
        <v>49</v>
      </c>
      <c r="B35" s="132"/>
      <c r="C35" s="133" t="s">
        <v>45</v>
      </c>
      <c r="D35" s="135"/>
      <c r="E35" s="352">
        <v>15606.563</v>
      </c>
      <c r="F35" s="135"/>
      <c r="G35" s="352">
        <v>16452.89</v>
      </c>
    </row>
    <row r="36" spans="1:7" s="4" customFormat="1" ht="13.5" customHeight="1">
      <c r="A36" s="223"/>
      <c r="B36" s="10"/>
      <c r="C36" s="8" t="s">
        <v>477</v>
      </c>
      <c r="D36" s="15">
        <f>D22+D23+D24+D25+D26+D27+D28+D29+D30+D31+D32+D34</f>
        <v>0</v>
      </c>
      <c r="E36" s="15">
        <f>E22+E23+E24+E25+E26+E27+E28+E29+E30+E31+E32+E34</f>
        <v>7525146.6039999994</v>
      </c>
      <c r="F36" s="15">
        <f>F22+F23+F24+F25+F26+F27+F28+F29+F30+F31+F32+F34</f>
        <v>0</v>
      </c>
      <c r="G36" s="15">
        <f>G22+G23+G24+G25+G26+G27+G28+G29+G30+G31+G32+G34</f>
        <v>7687507.7249999996</v>
      </c>
    </row>
    <row r="37" spans="1:7" s="5" customFormat="1" ht="15" customHeight="1">
      <c r="A37" s="223"/>
      <c r="B37" s="10"/>
      <c r="C37" s="8" t="s">
        <v>52</v>
      </c>
      <c r="D37" s="16">
        <f t="shared" ref="D37:G37" si="2">D36-D21</f>
        <v>0</v>
      </c>
      <c r="E37" s="16">
        <f t="shared" si="2"/>
        <v>-78759.357400001027</v>
      </c>
      <c r="F37" s="16">
        <f t="shared" si="2"/>
        <v>0</v>
      </c>
      <c r="G37" s="16">
        <f t="shared" si="2"/>
        <v>-9740.7340000011027</v>
      </c>
    </row>
    <row r="38" spans="1:7" s="63" customFormat="1" ht="15" customHeight="1">
      <c r="A38" s="145">
        <v>340</v>
      </c>
      <c r="B38" s="102"/>
      <c r="C38" s="103" t="s">
        <v>101</v>
      </c>
      <c r="D38" s="105"/>
      <c r="E38" s="348">
        <v>261651.83499999999</v>
      </c>
      <c r="F38" s="105"/>
      <c r="G38" s="348">
        <v>258630.81</v>
      </c>
    </row>
    <row r="39" spans="1:7" s="63" customFormat="1" ht="15" customHeight="1">
      <c r="A39" s="145">
        <v>341</v>
      </c>
      <c r="B39" s="102"/>
      <c r="C39" s="103" t="s">
        <v>308</v>
      </c>
      <c r="D39" s="105"/>
      <c r="E39" s="348">
        <v>99.1</v>
      </c>
      <c r="F39" s="105"/>
      <c r="G39" s="348">
        <v>0</v>
      </c>
    </row>
    <row r="40" spans="1:7" s="64" customFormat="1" ht="15" customHeight="1">
      <c r="A40" s="114">
        <v>342</v>
      </c>
      <c r="B40" s="216"/>
      <c r="C40" s="116" t="s">
        <v>309</v>
      </c>
      <c r="D40" s="117"/>
      <c r="E40" s="363">
        <v>750</v>
      </c>
      <c r="F40" s="117"/>
      <c r="G40" s="363">
        <v>750</v>
      </c>
    </row>
    <row r="41" spans="1:7" s="63" customFormat="1" ht="15" customHeight="1">
      <c r="A41" s="145">
        <v>343</v>
      </c>
      <c r="B41" s="102"/>
      <c r="C41" s="103" t="s">
        <v>310</v>
      </c>
      <c r="D41" s="105"/>
      <c r="E41" s="348">
        <v>0</v>
      </c>
      <c r="F41" s="105"/>
      <c r="G41" s="348">
        <v>0</v>
      </c>
    </row>
    <row r="42" spans="1:7" s="64" customFormat="1" ht="15" customHeight="1">
      <c r="A42" s="114">
        <v>344</v>
      </c>
      <c r="B42" s="216"/>
      <c r="C42" s="116" t="s">
        <v>311</v>
      </c>
      <c r="D42" s="117"/>
      <c r="E42" s="363">
        <v>0</v>
      </c>
      <c r="F42" s="117"/>
      <c r="G42" s="363">
        <v>0</v>
      </c>
    </row>
    <row r="43" spans="1:7" s="63" customFormat="1" ht="15" customHeight="1">
      <c r="A43" s="145">
        <v>349</v>
      </c>
      <c r="B43" s="102"/>
      <c r="C43" s="103" t="s">
        <v>312</v>
      </c>
      <c r="D43" s="105"/>
      <c r="E43" s="348">
        <v>5</v>
      </c>
      <c r="F43" s="105"/>
      <c r="G43" s="348">
        <v>458.19</v>
      </c>
    </row>
    <row r="44" spans="1:7" s="62" customFormat="1" ht="15" customHeight="1">
      <c r="A44" s="145">
        <v>440</v>
      </c>
      <c r="B44" s="102"/>
      <c r="C44" s="103" t="s">
        <v>102</v>
      </c>
      <c r="D44" s="105"/>
      <c r="E44" s="348">
        <v>169089.927</v>
      </c>
      <c r="F44" s="105"/>
      <c r="G44" s="348">
        <v>143740.62400000001</v>
      </c>
    </row>
    <row r="45" spans="1:7" s="203" customFormat="1" ht="15" customHeight="1">
      <c r="A45" s="114">
        <v>441</v>
      </c>
      <c r="B45" s="216"/>
      <c r="C45" s="116" t="s">
        <v>103</v>
      </c>
      <c r="D45" s="117"/>
      <c r="E45" s="365">
        <v>5150.5469999999996</v>
      </c>
      <c r="F45" s="117"/>
      <c r="G45" s="365">
        <v>5060.1469999999999</v>
      </c>
    </row>
    <row r="46" spans="1:7" s="203" customFormat="1" ht="15" customHeight="1">
      <c r="A46" s="114">
        <v>442</v>
      </c>
      <c r="B46" s="216"/>
      <c r="C46" s="116" t="s">
        <v>104</v>
      </c>
      <c r="D46" s="117"/>
      <c r="E46" s="363">
        <v>9400</v>
      </c>
      <c r="F46" s="117"/>
      <c r="G46" s="363">
        <v>6320</v>
      </c>
    </row>
    <row r="47" spans="1:7" s="62" customFormat="1" ht="15" customHeight="1">
      <c r="A47" s="145">
        <v>443</v>
      </c>
      <c r="B47" s="102"/>
      <c r="C47" s="103" t="s">
        <v>105</v>
      </c>
      <c r="D47" s="105"/>
      <c r="E47" s="366">
        <v>0</v>
      </c>
      <c r="F47" s="105"/>
      <c r="G47" s="366">
        <v>0</v>
      </c>
    </row>
    <row r="48" spans="1:7" s="62" customFormat="1" ht="15" customHeight="1">
      <c r="A48" s="145">
        <v>444</v>
      </c>
      <c r="B48" s="102"/>
      <c r="C48" s="103" t="s">
        <v>106</v>
      </c>
      <c r="D48" s="105"/>
      <c r="E48" s="366">
        <v>3000</v>
      </c>
      <c r="F48" s="105"/>
      <c r="G48" s="366">
        <v>0</v>
      </c>
    </row>
    <row r="49" spans="1:7" s="62" customFormat="1" ht="15" customHeight="1">
      <c r="A49" s="145">
        <v>445</v>
      </c>
      <c r="B49" s="102"/>
      <c r="C49" s="103" t="s">
        <v>107</v>
      </c>
      <c r="D49" s="105"/>
      <c r="E49" s="348">
        <v>52068.275999999998</v>
      </c>
      <c r="F49" s="105"/>
      <c r="G49" s="348">
        <v>49478.275999999998</v>
      </c>
    </row>
    <row r="50" spans="1:7" s="62" customFormat="1" ht="15" customHeight="1">
      <c r="A50" s="145">
        <v>446</v>
      </c>
      <c r="B50" s="102"/>
      <c r="C50" s="103" t="s">
        <v>313</v>
      </c>
      <c r="D50" s="105"/>
      <c r="E50" s="348">
        <v>4491.0039999999999</v>
      </c>
      <c r="F50" s="105"/>
      <c r="G50" s="348">
        <v>3030.8</v>
      </c>
    </row>
    <row r="51" spans="1:7" s="203" customFormat="1" ht="15" customHeight="1">
      <c r="A51" s="114">
        <v>447</v>
      </c>
      <c r="B51" s="216"/>
      <c r="C51" s="116" t="s">
        <v>314</v>
      </c>
      <c r="D51" s="117"/>
      <c r="E51" s="363">
        <v>66472.591</v>
      </c>
      <c r="F51" s="117"/>
      <c r="G51" s="363">
        <v>62191.646000000001</v>
      </c>
    </row>
    <row r="52" spans="1:7" s="62" customFormat="1" ht="15" customHeight="1">
      <c r="A52" s="145">
        <v>448</v>
      </c>
      <c r="B52" s="102"/>
      <c r="C52" s="103" t="s">
        <v>108</v>
      </c>
      <c r="D52" s="105"/>
      <c r="E52" s="366">
        <v>3</v>
      </c>
      <c r="F52" s="105"/>
      <c r="G52" s="366">
        <v>3</v>
      </c>
    </row>
    <row r="53" spans="1:7" s="203" customFormat="1" ht="15" customHeight="1">
      <c r="A53" s="114">
        <v>449</v>
      </c>
      <c r="B53" s="216"/>
      <c r="C53" s="116" t="s">
        <v>194</v>
      </c>
      <c r="D53" s="117"/>
      <c r="E53" s="365">
        <v>0</v>
      </c>
      <c r="F53" s="117"/>
      <c r="G53" s="365">
        <v>0</v>
      </c>
    </row>
    <row r="54" spans="1:7" s="63" customFormat="1" ht="13.5" customHeight="1">
      <c r="A54" s="166" t="s">
        <v>54</v>
      </c>
      <c r="B54" s="167"/>
      <c r="C54" s="167" t="s">
        <v>53</v>
      </c>
      <c r="D54" s="169"/>
      <c r="E54" s="367">
        <v>0</v>
      </c>
      <c r="F54" s="169"/>
      <c r="G54" s="367">
        <v>0</v>
      </c>
    </row>
    <row r="55" spans="1:7" ht="15" customHeight="1">
      <c r="A55" s="225"/>
      <c r="B55" s="10"/>
      <c r="C55" s="8" t="s">
        <v>55</v>
      </c>
      <c r="D55" s="15">
        <f t="shared" ref="D55:E55" si="3">SUM(D44:D53)-SUM(D38:D43)</f>
        <v>0</v>
      </c>
      <c r="E55" s="15">
        <f t="shared" si="3"/>
        <v>47169.409999999974</v>
      </c>
      <c r="F55" s="15">
        <f t="shared" ref="F55:G55" si="4">SUM(F44:F53)-SUM(F38:F43)</f>
        <v>0</v>
      </c>
      <c r="G55" s="15">
        <f t="shared" si="4"/>
        <v>9985.4930000000168</v>
      </c>
    </row>
    <row r="56" spans="1:7" ht="14.25" customHeight="1">
      <c r="A56" s="225"/>
      <c r="B56" s="10"/>
      <c r="C56" s="8" t="s">
        <v>56</v>
      </c>
      <c r="D56" s="15">
        <f t="shared" ref="D56:G56" si="5">D55+D37</f>
        <v>0</v>
      </c>
      <c r="E56" s="15">
        <f t="shared" si="5"/>
        <v>-31589.947400001052</v>
      </c>
      <c r="F56" s="15">
        <f t="shared" si="5"/>
        <v>0</v>
      </c>
      <c r="G56" s="15">
        <f t="shared" si="5"/>
        <v>244.75899999891408</v>
      </c>
    </row>
    <row r="57" spans="1:7" s="62" customFormat="1" ht="15.75" customHeight="1">
      <c r="A57" s="293">
        <v>380</v>
      </c>
      <c r="B57" s="286"/>
      <c r="C57" s="287" t="s">
        <v>486</v>
      </c>
      <c r="D57" s="288"/>
      <c r="E57" s="291"/>
      <c r="F57" s="288"/>
      <c r="G57" s="368">
        <v>0</v>
      </c>
    </row>
    <row r="58" spans="1:7" s="62" customFormat="1" ht="15.75" customHeight="1">
      <c r="A58" s="293">
        <v>381</v>
      </c>
      <c r="B58" s="286"/>
      <c r="C58" s="287" t="s">
        <v>487</v>
      </c>
      <c r="D58" s="288"/>
      <c r="E58" s="291"/>
      <c r="F58" s="288"/>
      <c r="G58" s="368">
        <v>0</v>
      </c>
    </row>
    <row r="59" spans="1:7" s="63" customFormat="1" ht="27.5" customHeight="1">
      <c r="A59" s="114">
        <v>383</v>
      </c>
      <c r="B59" s="115"/>
      <c r="C59" s="116" t="s">
        <v>59</v>
      </c>
      <c r="D59" s="270"/>
      <c r="E59" s="165"/>
      <c r="F59" s="270"/>
      <c r="G59" s="355">
        <v>0</v>
      </c>
    </row>
    <row r="60" spans="1:7" s="63" customFormat="1" ht="14">
      <c r="A60" s="114">
        <v>3840</v>
      </c>
      <c r="B60" s="115"/>
      <c r="C60" s="116" t="s">
        <v>315</v>
      </c>
      <c r="D60" s="118"/>
      <c r="E60" s="149"/>
      <c r="F60" s="118"/>
      <c r="G60" s="349">
        <v>0</v>
      </c>
    </row>
    <row r="61" spans="1:7" s="63" customFormat="1" ht="26.5" customHeight="1">
      <c r="A61" s="114">
        <v>3841</v>
      </c>
      <c r="B61" s="115"/>
      <c r="C61" s="116" t="s">
        <v>316</v>
      </c>
      <c r="D61" s="118"/>
      <c r="E61" s="149"/>
      <c r="F61" s="118"/>
      <c r="G61" s="349">
        <v>0</v>
      </c>
    </row>
    <row r="62" spans="1:7" s="63" customFormat="1" ht="14">
      <c r="A62" s="177">
        <v>386</v>
      </c>
      <c r="B62" s="178"/>
      <c r="C62" s="179" t="s">
        <v>317</v>
      </c>
      <c r="D62" s="118"/>
      <c r="E62" s="149"/>
      <c r="F62" s="118"/>
      <c r="G62" s="349">
        <v>0</v>
      </c>
    </row>
    <row r="63" spans="1:7" s="63" customFormat="1" ht="27.5" customHeight="1">
      <c r="A63" s="114">
        <v>387</v>
      </c>
      <c r="B63" s="115"/>
      <c r="C63" s="116" t="s">
        <v>60</v>
      </c>
      <c r="D63" s="118"/>
      <c r="E63" s="149"/>
      <c r="F63" s="118"/>
      <c r="G63" s="349">
        <v>0</v>
      </c>
    </row>
    <row r="64" spans="1:7" s="63" customFormat="1">
      <c r="A64" s="145">
        <v>389</v>
      </c>
      <c r="B64" s="294"/>
      <c r="C64" s="103" t="s">
        <v>61</v>
      </c>
      <c r="D64" s="105"/>
      <c r="E64" s="141"/>
      <c r="F64" s="105"/>
      <c r="G64" s="348">
        <v>0</v>
      </c>
    </row>
    <row r="65" spans="1:7" s="203" customFormat="1" ht="14">
      <c r="A65" s="114" t="s">
        <v>471</v>
      </c>
      <c r="B65" s="216"/>
      <c r="C65" s="116" t="s">
        <v>318</v>
      </c>
      <c r="D65" s="117"/>
      <c r="E65" s="218"/>
      <c r="F65" s="117"/>
      <c r="G65" s="363">
        <v>0</v>
      </c>
    </row>
    <row r="66" spans="1:7" s="95" customFormat="1" ht="28">
      <c r="A66" s="114" t="s">
        <v>472</v>
      </c>
      <c r="B66" s="111"/>
      <c r="C66" s="116" t="s">
        <v>319</v>
      </c>
      <c r="D66" s="270"/>
      <c r="E66" s="165"/>
      <c r="F66" s="270"/>
      <c r="G66" s="355">
        <v>0</v>
      </c>
    </row>
    <row r="67" spans="1:7" s="62" customFormat="1">
      <c r="A67" s="114">
        <v>481</v>
      </c>
      <c r="B67" s="102"/>
      <c r="C67" s="103" t="s">
        <v>320</v>
      </c>
      <c r="D67" s="105"/>
      <c r="E67" s="141"/>
      <c r="F67" s="105"/>
      <c r="G67" s="348">
        <v>0</v>
      </c>
    </row>
    <row r="68" spans="1:7" s="62" customFormat="1">
      <c r="A68" s="114">
        <v>482</v>
      </c>
      <c r="B68" s="102"/>
      <c r="C68" s="103" t="s">
        <v>321</v>
      </c>
      <c r="D68" s="105"/>
      <c r="E68" s="141"/>
      <c r="F68" s="105"/>
      <c r="G68" s="348">
        <v>0</v>
      </c>
    </row>
    <row r="69" spans="1:7" s="62" customFormat="1">
      <c r="A69" s="114">
        <v>483</v>
      </c>
      <c r="B69" s="102"/>
      <c r="C69" s="103" t="s">
        <v>322</v>
      </c>
      <c r="D69" s="105"/>
      <c r="E69" s="141"/>
      <c r="F69" s="105"/>
      <c r="G69" s="348">
        <v>0</v>
      </c>
    </row>
    <row r="70" spans="1:7" s="62" customFormat="1">
      <c r="A70" s="114">
        <v>484</v>
      </c>
      <c r="B70" s="102"/>
      <c r="C70" s="103" t="s">
        <v>323</v>
      </c>
      <c r="D70" s="105"/>
      <c r="E70" s="141"/>
      <c r="F70" s="105"/>
      <c r="G70" s="348">
        <v>0</v>
      </c>
    </row>
    <row r="71" spans="1:7" s="203" customFormat="1" ht="28">
      <c r="A71" s="114">
        <v>485</v>
      </c>
      <c r="B71" s="216"/>
      <c r="C71" s="116" t="s">
        <v>324</v>
      </c>
      <c r="D71" s="117"/>
      <c r="E71" s="218"/>
      <c r="F71" s="117"/>
      <c r="G71" s="363">
        <v>0</v>
      </c>
    </row>
    <row r="72" spans="1:7" s="62" customFormat="1">
      <c r="A72" s="114">
        <v>486</v>
      </c>
      <c r="B72" s="102"/>
      <c r="C72" s="103" t="s">
        <v>325</v>
      </c>
      <c r="D72" s="105"/>
      <c r="E72" s="141"/>
      <c r="F72" s="105"/>
      <c r="G72" s="348">
        <v>0</v>
      </c>
    </row>
    <row r="73" spans="1:7" s="64" customFormat="1" ht="28">
      <c r="A73" s="114">
        <v>487</v>
      </c>
      <c r="B73" s="215"/>
      <c r="C73" s="116" t="s">
        <v>62</v>
      </c>
      <c r="D73" s="117"/>
      <c r="E73" s="218"/>
      <c r="F73" s="117"/>
      <c r="G73" s="363">
        <v>0</v>
      </c>
    </row>
    <row r="74" spans="1:7" s="63" customFormat="1" ht="15" customHeight="1">
      <c r="A74" s="114">
        <v>489</v>
      </c>
      <c r="B74" s="182"/>
      <c r="C74" s="133" t="s">
        <v>63</v>
      </c>
      <c r="D74" s="117"/>
      <c r="E74" s="218"/>
      <c r="F74" s="117"/>
      <c r="G74" s="363"/>
    </row>
    <row r="75" spans="1:7" s="63" customFormat="1">
      <c r="A75" s="181" t="s">
        <v>383</v>
      </c>
      <c r="B75" s="182"/>
      <c r="C75" s="167" t="s">
        <v>384</v>
      </c>
      <c r="D75" s="105"/>
      <c r="E75" s="141"/>
      <c r="F75" s="105"/>
      <c r="G75" s="348">
        <v>0</v>
      </c>
    </row>
    <row r="76" spans="1:7">
      <c r="A76" s="223"/>
      <c r="B76" s="7"/>
      <c r="C76" s="8" t="s">
        <v>65</v>
      </c>
      <c r="D76" s="15">
        <f t="shared" ref="D76:E76" si="6">SUM(D65:D74)-SUM(D57:D64)</f>
        <v>0</v>
      </c>
      <c r="E76" s="15">
        <f t="shared" si="6"/>
        <v>0</v>
      </c>
      <c r="F76" s="15">
        <f t="shared" ref="F76:G76" si="7">SUM(F65:F74)-SUM(F57:F64)</f>
        <v>0</v>
      </c>
      <c r="G76" s="15">
        <f t="shared" si="7"/>
        <v>0</v>
      </c>
    </row>
    <row r="77" spans="1:7">
      <c r="A77" s="226"/>
      <c r="B77" s="9"/>
      <c r="C77" s="8" t="s">
        <v>66</v>
      </c>
      <c r="D77" s="15">
        <f t="shared" ref="D77:G77" si="8">D56+D76</f>
        <v>0</v>
      </c>
      <c r="E77" s="15">
        <f t="shared" si="8"/>
        <v>-31589.947400001052</v>
      </c>
      <c r="F77" s="15">
        <f t="shared" si="8"/>
        <v>0</v>
      </c>
      <c r="G77" s="15">
        <f t="shared" si="8"/>
        <v>244.75899999891408</v>
      </c>
    </row>
    <row r="78" spans="1:7">
      <c r="A78" s="227">
        <v>3</v>
      </c>
      <c r="B78" s="35"/>
      <c r="C78" s="36" t="s">
        <v>479</v>
      </c>
      <c r="D78" s="37">
        <f t="shared" ref="D78:E78" si="9">D20+D21+SUM(D38:D43)+SUM(D57:D64)</f>
        <v>0</v>
      </c>
      <c r="E78" s="37">
        <f t="shared" si="9"/>
        <v>7882018.4594000001</v>
      </c>
      <c r="F78" s="37">
        <f t="shared" ref="F78:G78" si="10">F20+F21+SUM(F38:F43)+SUM(F57:F64)</f>
        <v>0</v>
      </c>
      <c r="G78" s="37">
        <f t="shared" si="10"/>
        <v>7973540.3490000004</v>
      </c>
    </row>
    <row r="79" spans="1:7">
      <c r="A79" s="227">
        <v>4</v>
      </c>
      <c r="B79" s="35"/>
      <c r="C79" s="36" t="s">
        <v>480</v>
      </c>
      <c r="D79" s="37">
        <f t="shared" ref="D79:G79" si="11">D35+D36+SUM(D44:D53)+SUM(D65:D74)</f>
        <v>0</v>
      </c>
      <c r="E79" s="37">
        <f t="shared" si="11"/>
        <v>7850428.5119999992</v>
      </c>
      <c r="F79" s="37">
        <f t="shared" si="11"/>
        <v>0</v>
      </c>
      <c r="G79" s="37">
        <f t="shared" si="11"/>
        <v>7973785.1079999991</v>
      </c>
    </row>
    <row r="80" spans="1:7">
      <c r="C80" s="11"/>
      <c r="D80" s="17"/>
      <c r="E80" s="86"/>
      <c r="F80" s="17"/>
      <c r="G80" s="86"/>
    </row>
    <row r="81" spans="1:7">
      <c r="A81" s="801" t="s">
        <v>67</v>
      </c>
      <c r="B81" s="799"/>
      <c r="C81" s="799"/>
      <c r="D81" s="88"/>
      <c r="E81" s="88"/>
      <c r="F81" s="88"/>
      <c r="G81" s="88"/>
    </row>
    <row r="82" spans="1:7" s="62" customFormat="1">
      <c r="A82" s="186">
        <v>50</v>
      </c>
      <c r="B82" s="187"/>
      <c r="C82" s="187" t="s">
        <v>326</v>
      </c>
      <c r="D82" s="105"/>
      <c r="E82" s="348">
        <v>461203.755</v>
      </c>
      <c r="F82" s="105"/>
      <c r="G82" s="348">
        <v>394247.11599999998</v>
      </c>
    </row>
    <row r="83" spans="1:7" s="62" customFormat="1">
      <c r="A83" s="186">
        <v>51</v>
      </c>
      <c r="B83" s="187"/>
      <c r="C83" s="187" t="s">
        <v>327</v>
      </c>
      <c r="D83" s="105"/>
      <c r="E83" s="348">
        <v>0</v>
      </c>
      <c r="F83" s="105"/>
      <c r="G83" s="348"/>
    </row>
    <row r="84" spans="1:7" s="62" customFormat="1">
      <c r="A84" s="186">
        <v>52</v>
      </c>
      <c r="B84" s="187"/>
      <c r="C84" s="187" t="s">
        <v>328</v>
      </c>
      <c r="D84" s="105"/>
      <c r="E84" s="348">
        <v>43043.745000000003</v>
      </c>
      <c r="F84" s="105"/>
      <c r="G84" s="348">
        <v>50733.720999999998</v>
      </c>
    </row>
    <row r="85" spans="1:7" s="62" customFormat="1">
      <c r="A85" s="188">
        <v>54</v>
      </c>
      <c r="B85" s="189"/>
      <c r="C85" s="189" t="s">
        <v>142</v>
      </c>
      <c r="D85" s="150"/>
      <c r="E85" s="348">
        <v>105140</v>
      </c>
      <c r="F85" s="150"/>
      <c r="G85" s="348">
        <v>111400</v>
      </c>
    </row>
    <row r="86" spans="1:7" s="62" customFormat="1">
      <c r="A86" s="188">
        <v>55</v>
      </c>
      <c r="B86" s="189"/>
      <c r="C86" s="189" t="s">
        <v>182</v>
      </c>
      <c r="D86" s="150"/>
      <c r="E86" s="348">
        <v>20020</v>
      </c>
      <c r="F86" s="150"/>
      <c r="G86" s="348">
        <v>40277</v>
      </c>
    </row>
    <row r="87" spans="1:7" s="62" customFormat="1">
      <c r="A87" s="188">
        <v>56</v>
      </c>
      <c r="B87" s="189"/>
      <c r="C87" s="189" t="s">
        <v>329</v>
      </c>
      <c r="D87" s="150"/>
      <c r="E87" s="348">
        <v>107157</v>
      </c>
      <c r="F87" s="150"/>
      <c r="G87" s="348">
        <v>118497.5</v>
      </c>
    </row>
    <row r="88" spans="1:7" s="62" customFormat="1">
      <c r="A88" s="186">
        <v>57</v>
      </c>
      <c r="B88" s="187"/>
      <c r="C88" s="187" t="s">
        <v>152</v>
      </c>
      <c r="D88" s="105"/>
      <c r="E88" s="348">
        <v>0</v>
      </c>
      <c r="F88" s="105"/>
      <c r="G88" s="348"/>
    </row>
    <row r="89" spans="1:7" s="203" customFormat="1" ht="28">
      <c r="A89" s="192">
        <v>580</v>
      </c>
      <c r="B89" s="193"/>
      <c r="C89" s="193" t="s">
        <v>330</v>
      </c>
      <c r="D89" s="117"/>
      <c r="E89" s="363">
        <v>0</v>
      </c>
      <c r="F89" s="117"/>
      <c r="G89" s="363"/>
    </row>
    <row r="90" spans="1:7" s="203" customFormat="1" ht="28">
      <c r="A90" s="192">
        <v>582</v>
      </c>
      <c r="B90" s="193"/>
      <c r="C90" s="193" t="s">
        <v>331</v>
      </c>
      <c r="D90" s="117"/>
      <c r="E90" s="363">
        <v>0</v>
      </c>
      <c r="F90" s="117"/>
      <c r="G90" s="363"/>
    </row>
    <row r="91" spans="1:7" s="62" customFormat="1">
      <c r="A91" s="186">
        <v>584</v>
      </c>
      <c r="B91" s="187"/>
      <c r="C91" s="187" t="s">
        <v>332</v>
      </c>
      <c r="D91" s="105"/>
      <c r="E91" s="348">
        <v>0</v>
      </c>
      <c r="F91" s="105"/>
      <c r="G91" s="348"/>
    </row>
    <row r="92" spans="1:7" s="203" customFormat="1" ht="28">
      <c r="A92" s="192">
        <v>585</v>
      </c>
      <c r="B92" s="193"/>
      <c r="C92" s="193" t="s">
        <v>333</v>
      </c>
      <c r="D92" s="117"/>
      <c r="E92" s="363">
        <v>0</v>
      </c>
      <c r="F92" s="117"/>
      <c r="G92" s="363"/>
    </row>
    <row r="93" spans="1:7" s="62" customFormat="1">
      <c r="A93" s="186">
        <v>586</v>
      </c>
      <c r="B93" s="187"/>
      <c r="C93" s="187" t="s">
        <v>334</v>
      </c>
      <c r="D93" s="105"/>
      <c r="E93" s="348">
        <v>0</v>
      </c>
      <c r="F93" s="105"/>
      <c r="G93" s="348"/>
    </row>
    <row r="94" spans="1:7" s="62" customFormat="1">
      <c r="A94" s="190">
        <v>589</v>
      </c>
      <c r="B94" s="191"/>
      <c r="C94" s="191" t="s">
        <v>335</v>
      </c>
      <c r="D94" s="135"/>
      <c r="E94" s="352">
        <v>0</v>
      </c>
      <c r="F94" s="135"/>
      <c r="G94" s="352"/>
    </row>
    <row r="95" spans="1:7">
      <c r="A95" s="41">
        <v>5</v>
      </c>
      <c r="B95" s="32"/>
      <c r="C95" s="32" t="s">
        <v>135</v>
      </c>
      <c r="D95" s="33">
        <f t="shared" ref="D95:G95" si="12">SUM(D82:D94)</f>
        <v>0</v>
      </c>
      <c r="E95" s="33">
        <f t="shared" si="12"/>
        <v>736564.5</v>
      </c>
      <c r="F95" s="33">
        <f t="shared" si="12"/>
        <v>0</v>
      </c>
      <c r="G95" s="33">
        <f t="shared" si="12"/>
        <v>715155.33700000006</v>
      </c>
    </row>
    <row r="96" spans="1:7" s="203" customFormat="1" ht="14">
      <c r="A96" s="192">
        <v>60</v>
      </c>
      <c r="B96" s="193"/>
      <c r="C96" s="193" t="s">
        <v>336</v>
      </c>
      <c r="D96" s="117"/>
      <c r="E96" s="363">
        <v>20000</v>
      </c>
      <c r="F96" s="117"/>
      <c r="G96" s="363">
        <v>22000</v>
      </c>
    </row>
    <row r="97" spans="1:7" s="203" customFormat="1" ht="14">
      <c r="A97" s="192">
        <v>61</v>
      </c>
      <c r="B97" s="193"/>
      <c r="C97" s="193" t="s">
        <v>337</v>
      </c>
      <c r="D97" s="117"/>
      <c r="E97" s="363"/>
      <c r="F97" s="117"/>
      <c r="G97" s="363"/>
    </row>
    <row r="98" spans="1:7" s="62" customFormat="1">
      <c r="A98" s="186">
        <v>62</v>
      </c>
      <c r="B98" s="187"/>
      <c r="C98" s="187" t="s">
        <v>338</v>
      </c>
      <c r="D98" s="105"/>
      <c r="E98" s="348"/>
      <c r="F98" s="105"/>
      <c r="G98" s="348"/>
    </row>
    <row r="99" spans="1:7" s="62" customFormat="1">
      <c r="A99" s="186">
        <v>63</v>
      </c>
      <c r="B99" s="187"/>
      <c r="C99" s="187" t="s">
        <v>339</v>
      </c>
      <c r="D99" s="105"/>
      <c r="E99" s="348">
        <v>56532.5</v>
      </c>
      <c r="F99" s="105"/>
      <c r="G99" s="348">
        <v>43832.5</v>
      </c>
    </row>
    <row r="100" spans="1:7" s="62" customFormat="1">
      <c r="A100" s="186">
        <v>64</v>
      </c>
      <c r="B100" s="187"/>
      <c r="C100" s="187" t="s">
        <v>183</v>
      </c>
      <c r="D100" s="105"/>
      <c r="E100" s="348">
        <v>99549</v>
      </c>
      <c r="F100" s="105"/>
      <c r="G100" s="348">
        <v>3477</v>
      </c>
    </row>
    <row r="101" spans="1:7" s="62" customFormat="1">
      <c r="A101" s="186">
        <v>65</v>
      </c>
      <c r="B101" s="187"/>
      <c r="C101" s="187" t="s">
        <v>184</v>
      </c>
      <c r="D101" s="105"/>
      <c r="E101" s="348"/>
      <c r="F101" s="105"/>
      <c r="G101" s="348"/>
    </row>
    <row r="102" spans="1:7" s="203" customFormat="1" ht="14">
      <c r="A102" s="192">
        <v>66</v>
      </c>
      <c r="B102" s="193"/>
      <c r="C102" s="193" t="s">
        <v>340</v>
      </c>
      <c r="D102" s="117"/>
      <c r="E102" s="363"/>
      <c r="F102" s="117"/>
      <c r="G102" s="363"/>
    </row>
    <row r="103" spans="1:7" s="62" customFormat="1">
      <c r="A103" s="186">
        <v>67</v>
      </c>
      <c r="B103" s="187"/>
      <c r="C103" s="187" t="s">
        <v>152</v>
      </c>
      <c r="D103" s="105"/>
      <c r="E103" s="346"/>
      <c r="F103" s="105"/>
      <c r="G103" s="346"/>
    </row>
    <row r="104" spans="1:7" s="62" customFormat="1" ht="42">
      <c r="A104" s="192" t="s">
        <v>268</v>
      </c>
      <c r="B104" s="187"/>
      <c r="C104" s="193" t="s">
        <v>341</v>
      </c>
      <c r="D104" s="105"/>
      <c r="E104" s="348"/>
      <c r="F104" s="105"/>
      <c r="G104" s="348"/>
    </row>
    <row r="105" spans="1:7" s="62" customFormat="1" ht="56.5" customHeight="1">
      <c r="A105" s="194" t="s">
        <v>363</v>
      </c>
      <c r="B105" s="191"/>
      <c r="C105" s="195" t="s">
        <v>342</v>
      </c>
      <c r="D105" s="135"/>
      <c r="E105" s="352"/>
      <c r="F105" s="135"/>
      <c r="G105" s="352"/>
    </row>
    <row r="106" spans="1:7">
      <c r="A106" s="41">
        <v>6</v>
      </c>
      <c r="B106" s="32"/>
      <c r="C106" s="32" t="s">
        <v>195</v>
      </c>
      <c r="D106" s="33">
        <f t="shared" ref="D106:G106" si="13">SUM(D96:D105)</f>
        <v>0</v>
      </c>
      <c r="E106" s="33">
        <f t="shared" si="13"/>
        <v>176081.5</v>
      </c>
      <c r="F106" s="33">
        <f t="shared" si="13"/>
        <v>0</v>
      </c>
      <c r="G106" s="33">
        <f t="shared" si="13"/>
        <v>69309.5</v>
      </c>
    </row>
    <row r="107" spans="1:7">
      <c r="A107" s="228" t="s">
        <v>387</v>
      </c>
      <c r="B107" s="31"/>
      <c r="C107" s="32" t="s">
        <v>68</v>
      </c>
      <c r="D107" s="33">
        <f t="shared" ref="D107:G107" si="14">(D95-D88)-(D106-D103)</f>
        <v>0</v>
      </c>
      <c r="E107" s="33">
        <f t="shared" si="14"/>
        <v>560483</v>
      </c>
      <c r="F107" s="33">
        <f t="shared" si="14"/>
        <v>0</v>
      </c>
      <c r="G107" s="33">
        <f t="shared" si="14"/>
        <v>645845.83700000006</v>
      </c>
    </row>
    <row r="108" spans="1:7">
      <c r="A108" s="229" t="s">
        <v>407</v>
      </c>
      <c r="B108" s="30"/>
      <c r="C108" s="49" t="s">
        <v>144</v>
      </c>
      <c r="D108" s="33">
        <f t="shared" ref="D108:G108" si="15">D107-D85-D86+D100+D101</f>
        <v>0</v>
      </c>
      <c r="E108" s="33">
        <f t="shared" si="15"/>
        <v>534872</v>
      </c>
      <c r="F108" s="33">
        <f t="shared" si="15"/>
        <v>0</v>
      </c>
      <c r="G108" s="33">
        <f t="shared" si="15"/>
        <v>497645.83700000006</v>
      </c>
    </row>
    <row r="109" spans="1:7">
      <c r="C109" s="11"/>
      <c r="D109" s="17"/>
      <c r="E109" s="17"/>
      <c r="F109" s="17"/>
      <c r="G109" s="17"/>
    </row>
    <row r="110" spans="1:7">
      <c r="A110" s="230" t="s">
        <v>109</v>
      </c>
      <c r="B110" s="12"/>
      <c r="C110" s="21"/>
      <c r="D110" s="17"/>
      <c r="E110" s="17"/>
      <c r="F110" s="17"/>
      <c r="G110" s="17"/>
    </row>
    <row r="111" spans="1:7" s="62" customFormat="1">
      <c r="A111" s="256">
        <v>10</v>
      </c>
      <c r="B111" s="253"/>
      <c r="C111" s="253" t="s">
        <v>69</v>
      </c>
      <c r="D111" s="336">
        <f t="shared" ref="D111:G111" si="16">D112+D117</f>
        <v>0</v>
      </c>
      <c r="E111" s="337">
        <f t="shared" si="16"/>
        <v>0</v>
      </c>
      <c r="F111" s="336">
        <f t="shared" si="16"/>
        <v>0</v>
      </c>
      <c r="G111" s="337">
        <f t="shared" si="16"/>
        <v>0</v>
      </c>
    </row>
    <row r="112" spans="1:7" s="62" customFormat="1">
      <c r="A112" s="254" t="s">
        <v>288</v>
      </c>
      <c r="B112" s="255"/>
      <c r="C112" s="255" t="s">
        <v>473</v>
      </c>
      <c r="D112" s="336">
        <f t="shared" ref="D112:G112" si="17">D113+D114+D115+D116</f>
        <v>0</v>
      </c>
      <c r="E112" s="337">
        <f t="shared" si="17"/>
        <v>0</v>
      </c>
      <c r="F112" s="336">
        <f t="shared" si="17"/>
        <v>0</v>
      </c>
      <c r="G112" s="337">
        <f t="shared" si="17"/>
        <v>0</v>
      </c>
    </row>
    <row r="113" spans="1:7" s="62" customFormat="1">
      <c r="A113" s="212" t="s">
        <v>466</v>
      </c>
      <c r="B113" s="206"/>
      <c r="C113" s="206" t="s">
        <v>343</v>
      </c>
      <c r="D113" s="105"/>
      <c r="E113" s="113"/>
      <c r="F113" s="105"/>
      <c r="G113" s="113"/>
    </row>
    <row r="114" spans="1:7" s="95" customFormat="1" ht="15" customHeight="1">
      <c r="A114" s="262">
        <v>102</v>
      </c>
      <c r="B114" s="265"/>
      <c r="C114" s="265" t="s">
        <v>344</v>
      </c>
      <c r="D114" s="270"/>
      <c r="E114" s="271"/>
      <c r="F114" s="270"/>
      <c r="G114" s="271"/>
    </row>
    <row r="115" spans="1:7" s="62" customFormat="1">
      <c r="A115" s="212">
        <v>104</v>
      </c>
      <c r="B115" s="206"/>
      <c r="C115" s="206" t="s">
        <v>345</v>
      </c>
      <c r="D115" s="105"/>
      <c r="E115" s="113"/>
      <c r="F115" s="105"/>
      <c r="G115" s="113"/>
    </row>
    <row r="116" spans="1:7" s="62" customFormat="1">
      <c r="A116" s="212">
        <v>106</v>
      </c>
      <c r="B116" s="206"/>
      <c r="C116" s="206" t="s">
        <v>482</v>
      </c>
      <c r="D116" s="105"/>
      <c r="E116" s="113"/>
      <c r="F116" s="105"/>
      <c r="G116" s="113"/>
    </row>
    <row r="117" spans="1:7" s="62" customFormat="1">
      <c r="A117" s="254" t="s">
        <v>292</v>
      </c>
      <c r="B117" s="255"/>
      <c r="C117" s="255" t="s">
        <v>474</v>
      </c>
      <c r="D117" s="336">
        <f t="shared" ref="D117:G117" si="18">D118+D119+D120</f>
        <v>0</v>
      </c>
      <c r="E117" s="337">
        <f t="shared" si="18"/>
        <v>0</v>
      </c>
      <c r="F117" s="336">
        <f t="shared" si="18"/>
        <v>0</v>
      </c>
      <c r="G117" s="337">
        <f t="shared" si="18"/>
        <v>0</v>
      </c>
    </row>
    <row r="118" spans="1:7" s="62" customFormat="1">
      <c r="A118" s="212">
        <v>107</v>
      </c>
      <c r="B118" s="206"/>
      <c r="C118" s="206" t="s">
        <v>346</v>
      </c>
      <c r="D118" s="105"/>
      <c r="E118" s="113"/>
      <c r="F118" s="105"/>
      <c r="G118" s="113"/>
    </row>
    <row r="119" spans="1:7" s="62" customFormat="1">
      <c r="A119" s="212">
        <v>108</v>
      </c>
      <c r="B119" s="206"/>
      <c r="C119" s="206" t="s">
        <v>347</v>
      </c>
      <c r="D119" s="105"/>
      <c r="E119" s="113"/>
      <c r="F119" s="105"/>
      <c r="G119" s="113"/>
    </row>
    <row r="120" spans="1:7" s="203" customFormat="1" ht="28">
      <c r="A120" s="262">
        <v>109</v>
      </c>
      <c r="B120" s="263"/>
      <c r="C120" s="263" t="s">
        <v>348</v>
      </c>
      <c r="D120" s="117"/>
      <c r="E120" s="249"/>
      <c r="F120" s="117"/>
      <c r="G120" s="249"/>
    </row>
    <row r="121" spans="1:7" s="62" customFormat="1">
      <c r="A121" s="254">
        <v>14</v>
      </c>
      <c r="B121" s="255"/>
      <c r="C121" s="255" t="s">
        <v>70</v>
      </c>
      <c r="D121" s="336">
        <f t="shared" ref="D121:G121" si="19">SUM(D122:D130)</f>
        <v>0</v>
      </c>
      <c r="E121" s="336">
        <f t="shared" si="19"/>
        <v>0</v>
      </c>
      <c r="F121" s="336">
        <f t="shared" si="19"/>
        <v>0</v>
      </c>
      <c r="G121" s="336">
        <f t="shared" si="19"/>
        <v>0</v>
      </c>
    </row>
    <row r="122" spans="1:7" s="62" customFormat="1">
      <c r="A122" s="212" t="s">
        <v>467</v>
      </c>
      <c r="B122" s="206"/>
      <c r="C122" s="206" t="s">
        <v>349</v>
      </c>
      <c r="D122" s="105"/>
      <c r="E122" s="113"/>
      <c r="F122" s="105"/>
      <c r="G122" s="113"/>
    </row>
    <row r="123" spans="1:7" s="62" customFormat="1">
      <c r="A123" s="212">
        <v>144</v>
      </c>
      <c r="B123" s="206"/>
      <c r="C123" s="206" t="s">
        <v>142</v>
      </c>
      <c r="D123" s="105"/>
      <c r="E123" s="113"/>
      <c r="F123" s="105"/>
      <c r="G123" s="113"/>
    </row>
    <row r="124" spans="1:7" s="62" customFormat="1">
      <c r="A124" s="212">
        <v>145</v>
      </c>
      <c r="B124" s="206"/>
      <c r="C124" s="206" t="s">
        <v>143</v>
      </c>
      <c r="D124" s="105"/>
      <c r="E124" s="210"/>
      <c r="F124" s="105"/>
      <c r="G124" s="210"/>
    </row>
    <row r="125" spans="1:7" s="62" customFormat="1">
      <c r="A125" s="212">
        <v>146</v>
      </c>
      <c r="B125" s="206"/>
      <c r="C125" s="206" t="s">
        <v>350</v>
      </c>
      <c r="D125" s="105"/>
      <c r="E125" s="210"/>
      <c r="F125" s="105"/>
      <c r="G125" s="210"/>
    </row>
    <row r="126" spans="1:7" s="203" customFormat="1" ht="29.5" customHeight="1">
      <c r="A126" s="262" t="s">
        <v>468</v>
      </c>
      <c r="B126" s="263"/>
      <c r="C126" s="263" t="s">
        <v>351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352</v>
      </c>
      <c r="D127" s="105"/>
      <c r="E127" s="210"/>
      <c r="F127" s="105"/>
      <c r="G127" s="210"/>
    </row>
    <row r="128" spans="1:7" s="203" customFormat="1" ht="14">
      <c r="A128" s="262">
        <v>1485</v>
      </c>
      <c r="B128" s="263"/>
      <c r="C128" s="263" t="s">
        <v>353</v>
      </c>
      <c r="D128" s="117"/>
      <c r="E128" s="276"/>
      <c r="F128" s="117"/>
      <c r="G128" s="276"/>
    </row>
    <row r="129" spans="1:7" s="203" customFormat="1" ht="28">
      <c r="A129" s="262">
        <v>1486</v>
      </c>
      <c r="B129" s="263"/>
      <c r="C129" s="263" t="s">
        <v>354</v>
      </c>
      <c r="D129" s="117"/>
      <c r="E129" s="276"/>
      <c r="F129" s="117"/>
      <c r="G129" s="276"/>
    </row>
    <row r="130" spans="1:7" s="203" customFormat="1" ht="14">
      <c r="A130" s="304">
        <v>1489</v>
      </c>
      <c r="B130" s="305"/>
      <c r="C130" s="305" t="s">
        <v>355</v>
      </c>
      <c r="D130" s="278"/>
      <c r="E130" s="306"/>
      <c r="F130" s="278"/>
      <c r="G130" s="306"/>
    </row>
    <row r="131" spans="1:7">
      <c r="A131" s="231">
        <v>1</v>
      </c>
      <c r="B131" s="14"/>
      <c r="C131" s="13" t="s">
        <v>71</v>
      </c>
      <c r="D131" s="18">
        <f>D111+D121</f>
        <v>0</v>
      </c>
      <c r="E131" s="18">
        <f>E111+E121</f>
        <v>0</v>
      </c>
      <c r="F131" s="18">
        <f>F111+F121</f>
        <v>0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6">
        <v>20</v>
      </c>
      <c r="B133" s="253"/>
      <c r="C133" s="253" t="s">
        <v>72</v>
      </c>
      <c r="D133" s="338">
        <f t="shared" ref="D133:G133" si="20">D134+D140</f>
        <v>0</v>
      </c>
      <c r="E133" s="339">
        <f t="shared" si="20"/>
        <v>0</v>
      </c>
      <c r="F133" s="338">
        <f t="shared" si="20"/>
        <v>0</v>
      </c>
      <c r="G133" s="339">
        <f t="shared" si="20"/>
        <v>0</v>
      </c>
    </row>
    <row r="134" spans="1:7" s="62" customFormat="1">
      <c r="A134" s="257" t="s">
        <v>286</v>
      </c>
      <c r="B134" s="255"/>
      <c r="C134" s="255" t="s">
        <v>356</v>
      </c>
      <c r="D134" s="336">
        <f t="shared" ref="D134:G134" si="21">D135+D136+D138+D139</f>
        <v>0</v>
      </c>
      <c r="E134" s="337">
        <f t="shared" si="21"/>
        <v>0</v>
      </c>
      <c r="F134" s="336">
        <f t="shared" si="21"/>
        <v>0</v>
      </c>
      <c r="G134" s="337">
        <f t="shared" si="21"/>
        <v>0</v>
      </c>
    </row>
    <row r="135" spans="1:7" s="63" customFormat="1">
      <c r="A135" s="208">
        <v>200</v>
      </c>
      <c r="B135" s="206"/>
      <c r="C135" s="206" t="s">
        <v>73</v>
      </c>
      <c r="D135" s="105"/>
      <c r="E135" s="113"/>
      <c r="F135" s="105"/>
      <c r="G135" s="113"/>
    </row>
    <row r="136" spans="1:7" s="63" customFormat="1">
      <c r="A136" s="208">
        <v>201</v>
      </c>
      <c r="B136" s="206"/>
      <c r="C136" s="206" t="s">
        <v>357</v>
      </c>
      <c r="D136" s="105"/>
      <c r="E136" s="113"/>
      <c r="F136" s="105"/>
      <c r="G136" s="113"/>
    </row>
    <row r="137" spans="1:7" s="63" customFormat="1">
      <c r="A137" s="204" t="s">
        <v>110</v>
      </c>
      <c r="B137" s="205"/>
      <c r="C137" s="205" t="s">
        <v>112</v>
      </c>
      <c r="D137" s="150"/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358</v>
      </c>
      <c r="D138" s="105"/>
      <c r="E138" s="210"/>
      <c r="F138" s="105"/>
      <c r="G138" s="210"/>
    </row>
    <row r="139" spans="1:7" s="63" customFormat="1">
      <c r="A139" s="208">
        <v>205</v>
      </c>
      <c r="B139" s="206"/>
      <c r="C139" s="206" t="s">
        <v>359</v>
      </c>
      <c r="D139" s="105"/>
      <c r="E139" s="210"/>
      <c r="F139" s="105"/>
      <c r="G139" s="210"/>
    </row>
    <row r="140" spans="1:7" s="63" customFormat="1">
      <c r="A140" s="257" t="s">
        <v>287</v>
      </c>
      <c r="B140" s="255"/>
      <c r="C140" s="255" t="s">
        <v>360</v>
      </c>
      <c r="D140" s="336">
        <f t="shared" ref="D140:G140" si="22">D141+D143+D144</f>
        <v>0</v>
      </c>
      <c r="E140" s="337">
        <f t="shared" si="22"/>
        <v>0</v>
      </c>
      <c r="F140" s="336">
        <f t="shared" si="22"/>
        <v>0</v>
      </c>
      <c r="G140" s="337">
        <f t="shared" si="22"/>
        <v>0</v>
      </c>
    </row>
    <row r="141" spans="1:7" s="63" customFormat="1">
      <c r="A141" s="208">
        <v>206</v>
      </c>
      <c r="B141" s="206"/>
      <c r="C141" s="206" t="s">
        <v>74</v>
      </c>
      <c r="D141" s="105"/>
      <c r="E141" s="210"/>
      <c r="F141" s="105"/>
      <c r="G141" s="210"/>
    </row>
    <row r="142" spans="1:7" s="63" customFormat="1">
      <c r="A142" s="204" t="s">
        <v>111</v>
      </c>
      <c r="B142" s="205"/>
      <c r="C142" s="205" t="s">
        <v>113</v>
      </c>
      <c r="D142" s="150"/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362</v>
      </c>
      <c r="D143" s="105"/>
      <c r="E143" s="210"/>
      <c r="F143" s="105"/>
      <c r="G143" s="210"/>
    </row>
    <row r="144" spans="1:7" s="64" customFormat="1" ht="28">
      <c r="A144" s="262">
        <v>209</v>
      </c>
      <c r="B144" s="263"/>
      <c r="C144" s="263" t="s">
        <v>361</v>
      </c>
      <c r="D144" s="117"/>
      <c r="E144" s="276"/>
      <c r="F144" s="117"/>
      <c r="G144" s="276"/>
    </row>
    <row r="145" spans="1:7" s="62" customFormat="1">
      <c r="A145" s="257">
        <v>29</v>
      </c>
      <c r="B145" s="255"/>
      <c r="C145" s="255" t="s">
        <v>75</v>
      </c>
      <c r="D145" s="209"/>
      <c r="E145" s="210"/>
      <c r="F145" s="209"/>
      <c r="G145" s="210"/>
    </row>
    <row r="146" spans="1:7" s="62" customFormat="1">
      <c r="A146" s="211" t="s">
        <v>192</v>
      </c>
      <c r="B146" s="207"/>
      <c r="C146" s="207" t="s">
        <v>193</v>
      </c>
      <c r="D146" s="169"/>
      <c r="E146" s="174"/>
      <c r="F146" s="169"/>
      <c r="G146" s="174"/>
    </row>
    <row r="147" spans="1:7">
      <c r="A147" s="231">
        <v>2</v>
      </c>
      <c r="B147" s="14"/>
      <c r="C147" s="13" t="s">
        <v>76</v>
      </c>
      <c r="D147" s="18">
        <f>D133+D145</f>
        <v>0</v>
      </c>
      <c r="E147" s="18">
        <f>E133+E145</f>
        <v>0</v>
      </c>
      <c r="F147" s="18">
        <f>F133+F145</f>
        <v>0</v>
      </c>
      <c r="G147" s="18">
        <f>G133+G145</f>
        <v>0</v>
      </c>
    </row>
    <row r="148" spans="1:7" ht="7.5" customHeight="1"/>
    <row r="149" spans="1:7" ht="13.5" customHeight="1">
      <c r="A149" s="330" t="s">
        <v>495</v>
      </c>
      <c r="B149" s="19"/>
      <c r="C149" s="38"/>
      <c r="D149" s="19"/>
      <c r="E149" s="19"/>
      <c r="F149" s="19"/>
      <c r="G149" s="19"/>
    </row>
    <row r="150" spans="1:7">
      <c r="A150" s="307" t="s">
        <v>422</v>
      </c>
      <c r="B150" s="307"/>
      <c r="C150" s="307" t="s">
        <v>155</v>
      </c>
      <c r="D150" s="55">
        <f t="shared" ref="D150:E150" si="23">D77+SUM(D8:D12)-D30-D31+D16-D33+D59+D63-D73+D64-D74-D54+D20-D35</f>
        <v>0</v>
      </c>
      <c r="E150" s="55">
        <f t="shared" si="23"/>
        <v>388890.5895999989</v>
      </c>
      <c r="F150" s="55">
        <f t="shared" ref="F150:G150" si="24">F77+SUM(F8:F12)-F30-F31+F16-F33+F59+F63-F73+F64-F74-F54+F20-F35</f>
        <v>0</v>
      </c>
      <c r="G150" s="55">
        <f t="shared" si="24"/>
        <v>429833.78599999892</v>
      </c>
    </row>
    <row r="151" spans="1:7">
      <c r="A151" s="308" t="s">
        <v>423</v>
      </c>
      <c r="B151" s="308"/>
      <c r="C151" s="308" t="s">
        <v>156</v>
      </c>
      <c r="D151" s="258">
        <f t="shared" ref="D151:G151" si="25">IF(D177=0,0,D150/D177)</f>
        <v>0</v>
      </c>
      <c r="E151" s="258">
        <f t="shared" si="25"/>
        <v>4.9794204325224016E-2</v>
      </c>
      <c r="F151" s="258">
        <f t="shared" si="25"/>
        <v>0</v>
      </c>
      <c r="G151" s="258">
        <f t="shared" si="25"/>
        <v>5.420602576765416E-2</v>
      </c>
    </row>
    <row r="152" spans="1:7" s="251" customFormat="1" ht="28">
      <c r="A152" s="310" t="s">
        <v>424</v>
      </c>
      <c r="B152" s="310"/>
      <c r="C152" s="310" t="s">
        <v>157</v>
      </c>
      <c r="D152" s="245">
        <f t="shared" ref="D152:G152" si="26">IF(D107=0,0,D150/D107)</f>
        <v>0</v>
      </c>
      <c r="E152" s="245">
        <f t="shared" si="26"/>
        <v>0.69384903663447228</v>
      </c>
      <c r="F152" s="245">
        <f t="shared" si="26"/>
        <v>0</v>
      </c>
      <c r="G152" s="245">
        <f t="shared" si="26"/>
        <v>0.665536202875608</v>
      </c>
    </row>
    <row r="153" spans="1:7" s="251" customFormat="1" ht="28">
      <c r="A153" s="311" t="s">
        <v>424</v>
      </c>
      <c r="B153" s="311"/>
      <c r="C153" s="311" t="s">
        <v>159</v>
      </c>
      <c r="D153" s="322">
        <f t="shared" ref="D153:G153" si="27">IF(0=D108,0,D150/D108)</f>
        <v>0</v>
      </c>
      <c r="E153" s="322">
        <f t="shared" si="27"/>
        <v>0.72707225205282555</v>
      </c>
      <c r="F153" s="322">
        <f t="shared" si="27"/>
        <v>0</v>
      </c>
      <c r="G153" s="322">
        <f t="shared" si="27"/>
        <v>0.86373431473113849</v>
      </c>
    </row>
    <row r="154" spans="1:7" s="251" customFormat="1" ht="28">
      <c r="A154" s="309" t="s">
        <v>443</v>
      </c>
      <c r="B154" s="309"/>
      <c r="C154" s="309" t="s">
        <v>158</v>
      </c>
      <c r="D154" s="59">
        <f t="shared" ref="D154:G154" si="28">D150-D107</f>
        <v>0</v>
      </c>
      <c r="E154" s="59">
        <f t="shared" si="28"/>
        <v>-171592.4104000011</v>
      </c>
      <c r="F154" s="59">
        <f t="shared" si="28"/>
        <v>0</v>
      </c>
      <c r="G154" s="59">
        <f t="shared" si="28"/>
        <v>-216012.05100000114</v>
      </c>
    </row>
    <row r="155" spans="1:7" ht="27.5" customHeight="1">
      <c r="A155" s="321" t="s">
        <v>444</v>
      </c>
      <c r="B155" s="321"/>
      <c r="C155" s="321" t="s">
        <v>160</v>
      </c>
      <c r="D155" s="56">
        <f t="shared" ref="D155:G155" si="29">D150-D108</f>
        <v>0</v>
      </c>
      <c r="E155" s="56">
        <f t="shared" si="29"/>
        <v>-145981.4104000011</v>
      </c>
      <c r="F155" s="56">
        <f t="shared" si="29"/>
        <v>0</v>
      </c>
      <c r="G155" s="56">
        <f t="shared" si="29"/>
        <v>-67812.051000001142</v>
      </c>
    </row>
    <row r="156" spans="1:7">
      <c r="A156" s="307" t="s">
        <v>425</v>
      </c>
      <c r="B156" s="307"/>
      <c r="C156" s="307" t="s">
        <v>77</v>
      </c>
      <c r="D156" s="47">
        <f t="shared" ref="D156:G156" si="30">D135+D136-D137+D141-D142</f>
        <v>0</v>
      </c>
      <c r="E156" s="47">
        <f t="shared" si="30"/>
        <v>0</v>
      </c>
      <c r="F156" s="47">
        <f t="shared" si="30"/>
        <v>0</v>
      </c>
      <c r="G156" s="47">
        <f t="shared" si="30"/>
        <v>0</v>
      </c>
    </row>
    <row r="157" spans="1:7">
      <c r="A157" s="319" t="s">
        <v>426</v>
      </c>
      <c r="B157" s="319"/>
      <c r="C157" s="319" t="s">
        <v>122</v>
      </c>
      <c r="D157" s="241">
        <f t="shared" ref="D157:G157" si="31">IF(D177=0,0,D156/D177)</f>
        <v>0</v>
      </c>
      <c r="E157" s="241">
        <f t="shared" si="31"/>
        <v>0</v>
      </c>
      <c r="F157" s="241">
        <f t="shared" si="31"/>
        <v>0</v>
      </c>
      <c r="G157" s="241">
        <f t="shared" si="31"/>
        <v>0</v>
      </c>
    </row>
    <row r="158" spans="1:7">
      <c r="A158" s="307" t="s">
        <v>427</v>
      </c>
      <c r="B158" s="307"/>
      <c r="C158" s="307" t="s">
        <v>445</v>
      </c>
      <c r="D158" s="47">
        <f t="shared" ref="D158:G158" si="32">D133-D142-D111</f>
        <v>0</v>
      </c>
      <c r="E158" s="47">
        <f t="shared" si="32"/>
        <v>0</v>
      </c>
      <c r="F158" s="47">
        <f t="shared" si="32"/>
        <v>0</v>
      </c>
      <c r="G158" s="47">
        <f t="shared" si="32"/>
        <v>0</v>
      </c>
    </row>
    <row r="159" spans="1:7">
      <c r="A159" s="308" t="s">
        <v>428</v>
      </c>
      <c r="B159" s="308"/>
      <c r="C159" s="308" t="s">
        <v>446</v>
      </c>
      <c r="D159" s="40">
        <f t="shared" ref="D159:G159" si="33">D121-D123-D124-D142-D145</f>
        <v>0</v>
      </c>
      <c r="E159" s="40">
        <f t="shared" si="33"/>
        <v>0</v>
      </c>
      <c r="F159" s="40">
        <f t="shared" si="33"/>
        <v>0</v>
      </c>
      <c r="G159" s="40">
        <f t="shared" si="33"/>
        <v>0</v>
      </c>
    </row>
    <row r="160" spans="1:7">
      <c r="A160" s="308" t="s">
        <v>429</v>
      </c>
      <c r="B160" s="308"/>
      <c r="C160" s="308" t="s">
        <v>123</v>
      </c>
      <c r="D160" s="240" t="str">
        <f t="shared" ref="D160:G160" si="34">IF(D175=0,"-",1000*D158/D175)</f>
        <v>-</v>
      </c>
      <c r="E160" s="240">
        <f t="shared" si="34"/>
        <v>0</v>
      </c>
      <c r="F160" s="240" t="str">
        <f t="shared" si="34"/>
        <v>-</v>
      </c>
      <c r="G160" s="240">
        <f t="shared" si="34"/>
        <v>0</v>
      </c>
    </row>
    <row r="161" spans="1:7">
      <c r="A161" s="308" t="s">
        <v>429</v>
      </c>
      <c r="B161" s="308"/>
      <c r="C161" s="308" t="s">
        <v>124</v>
      </c>
      <c r="D161" s="40">
        <f t="shared" ref="D161:G161" si="35">IF(D175=0,0,1000*(D159/D175))</f>
        <v>0</v>
      </c>
      <c r="E161" s="40">
        <f t="shared" si="35"/>
        <v>0</v>
      </c>
      <c r="F161" s="40">
        <f t="shared" si="35"/>
        <v>0</v>
      </c>
      <c r="G161" s="40">
        <f t="shared" si="35"/>
        <v>0</v>
      </c>
    </row>
    <row r="162" spans="1:7">
      <c r="A162" s="319" t="s">
        <v>430</v>
      </c>
      <c r="B162" s="319"/>
      <c r="C162" s="319" t="s">
        <v>125</v>
      </c>
      <c r="D162" s="241">
        <f t="shared" ref="D162:G162" si="36">IF((D22+D23+D65+D66)=0,0,D158/(D22+D23+D65+D66))</f>
        <v>0</v>
      </c>
      <c r="E162" s="241">
        <f t="shared" si="36"/>
        <v>0</v>
      </c>
      <c r="F162" s="241">
        <f t="shared" si="36"/>
        <v>0</v>
      </c>
      <c r="G162" s="241">
        <f t="shared" si="36"/>
        <v>0</v>
      </c>
    </row>
    <row r="163" spans="1:7">
      <c r="A163" s="308" t="s">
        <v>447</v>
      </c>
      <c r="B163" s="308"/>
      <c r="C163" s="308" t="s">
        <v>126</v>
      </c>
      <c r="D163" s="55">
        <f t="shared" ref="D163:G163" si="37">D145</f>
        <v>0</v>
      </c>
      <c r="E163" s="55">
        <f t="shared" si="37"/>
        <v>0</v>
      </c>
      <c r="F163" s="55">
        <f t="shared" si="37"/>
        <v>0</v>
      </c>
      <c r="G163" s="55">
        <f t="shared" si="37"/>
        <v>0</v>
      </c>
    </row>
    <row r="164" spans="1:7" ht="28">
      <c r="A164" s="310" t="s">
        <v>448</v>
      </c>
      <c r="B164" s="319"/>
      <c r="C164" s="319" t="s">
        <v>127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</v>
      </c>
      <c r="G164" s="245">
        <f>IF(G178=0,0,G146/G178)</f>
        <v>0</v>
      </c>
    </row>
    <row r="165" spans="1:7">
      <c r="A165" s="320" t="s">
        <v>494</v>
      </c>
      <c r="B165" s="320"/>
      <c r="C165" s="320" t="s">
        <v>128</v>
      </c>
      <c r="D165" s="259">
        <f t="shared" ref="D165:G165" si="38">IF(D177=0,0,D180/D177)</f>
        <v>0</v>
      </c>
      <c r="E165" s="259">
        <f t="shared" si="38"/>
        <v>6.6169286678927672E-2</v>
      </c>
      <c r="F165" s="259">
        <f t="shared" si="38"/>
        <v>0</v>
      </c>
      <c r="G165" s="259">
        <f t="shared" si="38"/>
        <v>6.9123814626378052E-2</v>
      </c>
    </row>
    <row r="166" spans="1:7">
      <c r="A166" s="308" t="s">
        <v>449</v>
      </c>
      <c r="B166" s="308"/>
      <c r="C166" s="308" t="s">
        <v>451</v>
      </c>
      <c r="D166" s="55">
        <f t="shared" ref="D166:G166" si="39">D55</f>
        <v>0</v>
      </c>
      <c r="E166" s="55">
        <f t="shared" si="39"/>
        <v>47169.409999999974</v>
      </c>
      <c r="F166" s="55">
        <f t="shared" si="39"/>
        <v>0</v>
      </c>
      <c r="G166" s="55">
        <f t="shared" si="39"/>
        <v>9985.4930000000168</v>
      </c>
    </row>
    <row r="167" spans="1:7" s="251" customFormat="1" ht="28">
      <c r="A167" s="310" t="s">
        <v>450</v>
      </c>
      <c r="B167" s="319"/>
      <c r="C167" s="319" t="s">
        <v>129</v>
      </c>
      <c r="D167" s="245">
        <f t="shared" ref="D167:G167" si="40">IF(0=D111,0,(D44+D45+D46+D47+D48)/D111)</f>
        <v>0</v>
      </c>
      <c r="E167" s="245">
        <f t="shared" si="40"/>
        <v>0</v>
      </c>
      <c r="F167" s="245">
        <f t="shared" si="40"/>
        <v>0</v>
      </c>
      <c r="G167" s="245">
        <f t="shared" si="40"/>
        <v>0</v>
      </c>
    </row>
    <row r="168" spans="1:7">
      <c r="A168" s="308" t="s">
        <v>432</v>
      </c>
      <c r="B168" s="307"/>
      <c r="C168" s="307" t="s">
        <v>452</v>
      </c>
      <c r="D168" s="55">
        <f t="shared" ref="D168:G168" si="41">D38-D44</f>
        <v>0</v>
      </c>
      <c r="E168" s="55">
        <f t="shared" si="41"/>
        <v>92561.907999999996</v>
      </c>
      <c r="F168" s="55">
        <f t="shared" si="41"/>
        <v>0</v>
      </c>
      <c r="G168" s="55">
        <f t="shared" si="41"/>
        <v>114890.18599999999</v>
      </c>
    </row>
    <row r="169" spans="1:7">
      <c r="A169" s="319" t="s">
        <v>433</v>
      </c>
      <c r="B169" s="319"/>
      <c r="C169" s="319" t="s">
        <v>130</v>
      </c>
      <c r="D169" s="258">
        <f t="shared" ref="D169:G169" si="42">IF(D177=0,0,D168/D177)</f>
        <v>0</v>
      </c>
      <c r="E169" s="258">
        <f t="shared" si="42"/>
        <v>1.185178217972647E-2</v>
      </c>
      <c r="F169" s="258">
        <f t="shared" si="42"/>
        <v>0</v>
      </c>
      <c r="G169" s="258">
        <f t="shared" si="42"/>
        <v>1.4488717698814383E-2</v>
      </c>
    </row>
    <row r="170" spans="1:7">
      <c r="A170" s="308" t="s">
        <v>434</v>
      </c>
      <c r="B170" s="308"/>
      <c r="C170" s="308" t="s">
        <v>453</v>
      </c>
      <c r="D170" s="55">
        <f t="shared" ref="D170:E170" si="43">SUM(D82:D87)+SUM(D89:D94)</f>
        <v>0</v>
      </c>
      <c r="E170" s="55">
        <f t="shared" si="43"/>
        <v>736564.5</v>
      </c>
      <c r="F170" s="55">
        <f t="shared" ref="F170:G170" si="44">SUM(F82:F87)+SUM(F89:F94)</f>
        <v>0</v>
      </c>
      <c r="G170" s="55">
        <f t="shared" si="44"/>
        <v>715155.33700000006</v>
      </c>
    </row>
    <row r="171" spans="1:7">
      <c r="A171" s="308" t="s">
        <v>435</v>
      </c>
      <c r="B171" s="308"/>
      <c r="C171" s="308" t="s">
        <v>454</v>
      </c>
      <c r="D171" s="40">
        <f t="shared" ref="D171:E171" si="45">SUM(D96:D102)+SUM(D104:D105)</f>
        <v>0</v>
      </c>
      <c r="E171" s="40">
        <f t="shared" si="45"/>
        <v>176081.5</v>
      </c>
      <c r="F171" s="40">
        <f t="shared" ref="F171:G171" si="46">SUM(F96:F102)+SUM(F104:F105)</f>
        <v>0</v>
      </c>
      <c r="G171" s="40">
        <f t="shared" si="46"/>
        <v>69309.5</v>
      </c>
    </row>
    <row r="172" spans="1:7">
      <c r="A172" s="320" t="s">
        <v>431</v>
      </c>
      <c r="B172" s="320"/>
      <c r="C172" s="320" t="s">
        <v>131</v>
      </c>
      <c r="D172" s="259">
        <f t="shared" ref="D172:G172" si="47">IF(D184=0,0,D170/D184)</f>
        <v>0</v>
      </c>
      <c r="E172" s="259">
        <f t="shared" si="47"/>
        <v>9.0787043811234314E-2</v>
      </c>
      <c r="F172" s="259">
        <f t="shared" si="47"/>
        <v>0</v>
      </c>
      <c r="G172" s="259">
        <f t="shared" si="47"/>
        <v>8.7640424793232308E-2</v>
      </c>
    </row>
    <row r="174" spans="1:7">
      <c r="A174" s="332" t="s">
        <v>114</v>
      </c>
      <c r="C174" s="11"/>
      <c r="D174" s="66"/>
      <c r="E174" s="66"/>
      <c r="F174" s="66"/>
      <c r="G174" s="66"/>
    </row>
    <row r="175" spans="1:7" s="62" customFormat="1">
      <c r="A175" s="61" t="s">
        <v>436</v>
      </c>
      <c r="B175" s="1"/>
      <c r="C175" s="1" t="s">
        <v>189</v>
      </c>
      <c r="D175" s="66"/>
      <c r="E175" s="66">
        <v>476006</v>
      </c>
      <c r="F175" s="66"/>
      <c r="G175" s="66">
        <v>476374</v>
      </c>
    </row>
    <row r="176" spans="1:7">
      <c r="A176" s="235" t="s">
        <v>455</v>
      </c>
      <c r="B176" s="23"/>
      <c r="C176" s="23"/>
      <c r="D176" s="23"/>
      <c r="E176" s="23"/>
      <c r="F176" s="23"/>
      <c r="G176" s="23"/>
    </row>
    <row r="177" spans="1:7">
      <c r="A177" s="236" t="s">
        <v>437</v>
      </c>
      <c r="B177" s="23"/>
      <c r="C177" s="23" t="s">
        <v>459</v>
      </c>
      <c r="D177" s="39">
        <f t="shared" ref="D177:E177" si="48">SUM(D22:D32)+SUM(D44:D53)+SUM(D65:D72)+D75</f>
        <v>0</v>
      </c>
      <c r="E177" s="39">
        <f t="shared" si="48"/>
        <v>7809956.8989999993</v>
      </c>
      <c r="F177" s="39">
        <f t="shared" ref="F177:G177" si="49">SUM(F22:F32)+SUM(F44:F53)+SUM(F65:F72)+F75</f>
        <v>0</v>
      </c>
      <c r="G177" s="39">
        <f t="shared" si="49"/>
        <v>7929631.067999999</v>
      </c>
    </row>
    <row r="178" spans="1:7">
      <c r="A178" s="236" t="s">
        <v>438</v>
      </c>
      <c r="B178" s="23"/>
      <c r="C178" s="23" t="s">
        <v>458</v>
      </c>
      <c r="D178" s="39">
        <f t="shared" ref="D178:G178" si="50">D78-D17-D20-D59-D63-D64</f>
        <v>0</v>
      </c>
      <c r="E178" s="39">
        <f t="shared" si="50"/>
        <v>7841546.8464000002</v>
      </c>
      <c r="F178" s="39">
        <f t="shared" si="50"/>
        <v>0</v>
      </c>
      <c r="G178" s="39">
        <f t="shared" si="50"/>
        <v>7929386.3090000004</v>
      </c>
    </row>
    <row r="179" spans="1:7">
      <c r="A179" s="236"/>
      <c r="B179" s="23"/>
      <c r="C179" s="23" t="s">
        <v>456</v>
      </c>
      <c r="D179" s="39">
        <f t="shared" ref="D179:G179" si="51">D178+D170</f>
        <v>0</v>
      </c>
      <c r="E179" s="39">
        <f t="shared" si="51"/>
        <v>8578111.3464000002</v>
      </c>
      <c r="F179" s="39">
        <f t="shared" si="51"/>
        <v>0</v>
      </c>
      <c r="G179" s="39">
        <f t="shared" si="51"/>
        <v>8644541.6459999997</v>
      </c>
    </row>
    <row r="180" spans="1:7">
      <c r="A180" s="23" t="s">
        <v>439</v>
      </c>
      <c r="B180" s="23"/>
      <c r="C180" s="23" t="s">
        <v>457</v>
      </c>
      <c r="D180" s="39">
        <f t="shared" ref="D180:G180" si="52">D38-D44+D8+D9+D10+D16-D33</f>
        <v>0</v>
      </c>
      <c r="E180" s="39">
        <f t="shared" si="52"/>
        <v>516779.27699999994</v>
      </c>
      <c r="F180" s="39">
        <f t="shared" si="52"/>
        <v>0</v>
      </c>
      <c r="G180" s="39">
        <f t="shared" si="52"/>
        <v>548126.34800000011</v>
      </c>
    </row>
    <row r="181" spans="1:7" ht="27.5" customHeight="1">
      <c r="A181" s="239" t="s">
        <v>460</v>
      </c>
      <c r="B181" s="71"/>
      <c r="C181" s="71" t="s">
        <v>462</v>
      </c>
      <c r="D181" s="73">
        <f t="shared" ref="D181:E181" si="53">D22+D23+D24+D25+D26+D29+SUM(D44:D47)+SUM(D49:D53)-D54+D32-D33+SUM(D65:D70)+D72</f>
        <v>0</v>
      </c>
      <c r="E181" s="73">
        <f t="shared" si="53"/>
        <v>7765308.7409999995</v>
      </c>
      <c r="F181" s="73">
        <f t="shared" ref="F181:G181" si="54">F22+F23+F24+F25+F26+F29+SUM(F44:F47)+SUM(F49:F53)-F54+F32-F33+SUM(F65:F70)+F72</f>
        <v>0</v>
      </c>
      <c r="G181" s="73">
        <f t="shared" si="54"/>
        <v>7886032.2759999996</v>
      </c>
    </row>
    <row r="182" spans="1:7">
      <c r="A182" s="237" t="s">
        <v>440</v>
      </c>
      <c r="B182" s="71"/>
      <c r="C182" s="71" t="s">
        <v>461</v>
      </c>
      <c r="D182" s="73">
        <f t="shared" ref="D182:G182" si="55">D181+D171</f>
        <v>0</v>
      </c>
      <c r="E182" s="73">
        <f t="shared" si="55"/>
        <v>7941390.2409999995</v>
      </c>
      <c r="F182" s="73">
        <f t="shared" si="55"/>
        <v>0</v>
      </c>
      <c r="G182" s="73">
        <f t="shared" si="55"/>
        <v>7955341.7759999996</v>
      </c>
    </row>
    <row r="183" spans="1:7">
      <c r="A183" s="237" t="s">
        <v>441</v>
      </c>
      <c r="B183" s="71"/>
      <c r="C183" s="71" t="s">
        <v>492</v>
      </c>
      <c r="D183" s="73">
        <f>D4+D5-D7+D38+D39+D40+D41+D43+D13-D16+D57+D58+D60+D62</f>
        <v>0</v>
      </c>
      <c r="E183" s="73">
        <f t="shared" ref="E183:G183" si="56">E4+E5-E7+E38+E39+E40+E41+E43+E13-E16+E57+E58+E60+E62</f>
        <v>7376536.9853999997</v>
      </c>
      <c r="F183" s="73">
        <f t="shared" si="56"/>
        <v>0</v>
      </c>
      <c r="G183" s="73">
        <f t="shared" si="56"/>
        <v>7444952.7259999998</v>
      </c>
    </row>
    <row r="184" spans="1:7">
      <c r="A184" s="237" t="s">
        <v>442</v>
      </c>
      <c r="B184" s="71"/>
      <c r="C184" s="71" t="s">
        <v>463</v>
      </c>
      <c r="D184" s="73">
        <f t="shared" ref="D184:G184" si="57">D183+D170</f>
        <v>0</v>
      </c>
      <c r="E184" s="73">
        <f t="shared" si="57"/>
        <v>8113101.4853999997</v>
      </c>
      <c r="F184" s="73">
        <f t="shared" si="57"/>
        <v>0</v>
      </c>
      <c r="G184" s="73">
        <f t="shared" si="57"/>
        <v>8160108.0630000001</v>
      </c>
    </row>
    <row r="185" spans="1:7">
      <c r="A185" s="237"/>
      <c r="B185" s="71"/>
      <c r="C185" s="71" t="s">
        <v>464</v>
      </c>
      <c r="D185" s="73">
        <f t="shared" ref="D185:G186" si="58">D181-D183</f>
        <v>0</v>
      </c>
      <c r="E185" s="73">
        <f t="shared" si="58"/>
        <v>388771.7555999998</v>
      </c>
      <c r="F185" s="73">
        <f t="shared" si="58"/>
        <v>0</v>
      </c>
      <c r="G185" s="73">
        <f t="shared" si="58"/>
        <v>441079.54999999981</v>
      </c>
    </row>
    <row r="186" spans="1:7">
      <c r="A186" s="237"/>
      <c r="B186" s="71"/>
      <c r="C186" s="71" t="s">
        <v>465</v>
      </c>
      <c r="D186" s="73">
        <f t="shared" si="58"/>
        <v>0</v>
      </c>
      <c r="E186" s="73">
        <f t="shared" si="58"/>
        <v>-171711.2444000002</v>
      </c>
      <c r="F186" s="73">
        <f t="shared" si="58"/>
        <v>0</v>
      </c>
      <c r="G186" s="73">
        <f t="shared" si="58"/>
        <v>-204766.28700000048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50"/>
  </sheetPr>
  <dimension ref="A1:AY186"/>
  <sheetViews>
    <sheetView view="pageLayout" topLeftCell="A19" zoomScaleNormal="115" workbookViewId="0">
      <selection activeCell="J32" sqref="J32"/>
    </sheetView>
  </sheetViews>
  <sheetFormatPr baseColWidth="10" defaultColWidth="11.5" defaultRowHeight="13"/>
  <cols>
    <col min="1" max="1" width="20.332031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1" s="2" customFormat="1" ht="18" customHeight="1">
      <c r="A1" s="45" t="s">
        <v>3</v>
      </c>
      <c r="B1" s="284" t="s">
        <v>205</v>
      </c>
      <c r="C1" s="284" t="s">
        <v>206</v>
      </c>
      <c r="D1" s="28" t="s">
        <v>172</v>
      </c>
      <c r="E1" s="24" t="s">
        <v>2</v>
      </c>
      <c r="F1" s="28" t="s">
        <v>172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s="3" customFormat="1" ht="15" customHeight="1">
      <c r="A2" s="25"/>
      <c r="B2" s="26"/>
      <c r="C2" s="42" t="s">
        <v>39</v>
      </c>
      <c r="D2" s="29">
        <v>2012</v>
      </c>
      <c r="E2" s="27">
        <v>2013</v>
      </c>
      <c r="F2" s="29">
        <v>2013</v>
      </c>
      <c r="G2" s="27">
        <v>2014</v>
      </c>
    </row>
    <row r="3" spans="1:51" ht="15" customHeight="1">
      <c r="A3" s="800" t="s">
        <v>40</v>
      </c>
      <c r="B3" s="797"/>
      <c r="C3" s="797"/>
      <c r="E3" s="85" t="s">
        <v>483</v>
      </c>
      <c r="G3" s="85" t="s">
        <v>483</v>
      </c>
    </row>
    <row r="4" spans="1:51" s="62" customFormat="1" ht="12.75" customHeight="1">
      <c r="A4" s="148">
        <v>30</v>
      </c>
      <c r="B4" s="96"/>
      <c r="C4" s="97" t="s">
        <v>41</v>
      </c>
      <c r="D4" s="98">
        <v>253385.04063999999</v>
      </c>
      <c r="E4" s="100">
        <v>254193.4</v>
      </c>
      <c r="F4" s="98">
        <v>257583.87641</v>
      </c>
      <c r="G4" s="100">
        <v>260902.7</v>
      </c>
    </row>
    <row r="5" spans="1:51" s="62" customFormat="1" ht="12.75" customHeight="1">
      <c r="A5" s="101">
        <v>31</v>
      </c>
      <c r="B5" s="102"/>
      <c r="C5" s="103" t="s">
        <v>42</v>
      </c>
      <c r="D5" s="105">
        <v>69669.039959999995</v>
      </c>
      <c r="E5" s="106">
        <v>71803.5</v>
      </c>
      <c r="F5" s="105">
        <v>70679.239709999994</v>
      </c>
      <c r="G5" s="106">
        <v>74410.399999999994</v>
      </c>
    </row>
    <row r="6" spans="1:51" s="62" customFormat="1" ht="12.75" customHeight="1">
      <c r="A6" s="107" t="s">
        <v>298</v>
      </c>
      <c r="B6" s="108"/>
      <c r="C6" s="109" t="s">
        <v>299</v>
      </c>
      <c r="D6" s="150">
        <v>8624.62745</v>
      </c>
      <c r="E6" s="155">
        <v>8778.5</v>
      </c>
      <c r="F6" s="150">
        <v>9229.0133499999993</v>
      </c>
      <c r="G6" s="155">
        <v>9147</v>
      </c>
    </row>
    <row r="7" spans="1:51" s="62" customFormat="1" ht="12.75" customHeight="1">
      <c r="A7" s="107" t="s">
        <v>415</v>
      </c>
      <c r="B7" s="108"/>
      <c r="C7" s="109" t="s">
        <v>414</v>
      </c>
      <c r="D7" s="150">
        <v>0</v>
      </c>
      <c r="E7" s="155">
        <v>0</v>
      </c>
      <c r="F7" s="150">
        <v>0</v>
      </c>
      <c r="G7" s="155">
        <v>0</v>
      </c>
    </row>
    <row r="8" spans="1:51" s="62" customFormat="1" ht="12.75" customHeight="1">
      <c r="A8" s="145">
        <v>330</v>
      </c>
      <c r="B8" s="102"/>
      <c r="C8" s="103" t="s">
        <v>300</v>
      </c>
      <c r="D8" s="105">
        <v>16614.251</v>
      </c>
      <c r="E8" s="113">
        <v>16689.7</v>
      </c>
      <c r="F8" s="105">
        <v>16620.913</v>
      </c>
      <c r="G8" s="113">
        <v>16639</v>
      </c>
    </row>
    <row r="9" spans="1:51" s="62" customFormat="1" ht="12.75" customHeight="1">
      <c r="A9" s="145">
        <v>332</v>
      </c>
      <c r="B9" s="102"/>
      <c r="C9" s="103" t="s">
        <v>301</v>
      </c>
      <c r="D9" s="105">
        <v>0</v>
      </c>
      <c r="E9" s="113">
        <v>0</v>
      </c>
      <c r="F9" s="105">
        <v>0</v>
      </c>
      <c r="G9" s="113">
        <v>0</v>
      </c>
    </row>
    <row r="10" spans="1:51" s="62" customFormat="1" ht="12.75" customHeight="1">
      <c r="A10" s="145">
        <v>339</v>
      </c>
      <c r="B10" s="102"/>
      <c r="C10" s="103" t="s">
        <v>302</v>
      </c>
      <c r="D10" s="105">
        <v>0</v>
      </c>
      <c r="E10" s="113">
        <v>0</v>
      </c>
      <c r="F10" s="105">
        <v>0</v>
      </c>
      <c r="G10" s="113">
        <v>0</v>
      </c>
    </row>
    <row r="11" spans="1:51" s="203" customFormat="1" ht="28.25" customHeight="1">
      <c r="A11" s="248">
        <v>350</v>
      </c>
      <c r="B11" s="216"/>
      <c r="C11" s="116" t="s">
        <v>303</v>
      </c>
      <c r="D11" s="117">
        <v>82.4</v>
      </c>
      <c r="E11" s="249">
        <v>82</v>
      </c>
      <c r="F11" s="117">
        <v>82.4</v>
      </c>
      <c r="G11" s="249">
        <v>62</v>
      </c>
    </row>
    <row r="12" spans="1:51" s="63" customFormat="1" ht="28">
      <c r="A12" s="114">
        <v>351</v>
      </c>
      <c r="B12" s="115"/>
      <c r="C12" s="116" t="s">
        <v>304</v>
      </c>
      <c r="D12" s="119">
        <v>9253.3513199999998</v>
      </c>
      <c r="E12" s="296">
        <v>9673.2000000000007</v>
      </c>
      <c r="F12" s="119">
        <v>8810.0898799999995</v>
      </c>
      <c r="G12" s="296">
        <v>10067</v>
      </c>
    </row>
    <row r="13" spans="1:51" s="62" customFormat="1" ht="12.75" customHeight="1">
      <c r="A13" s="101">
        <v>36</v>
      </c>
      <c r="B13" s="102"/>
      <c r="C13" s="103" t="s">
        <v>43</v>
      </c>
      <c r="D13" s="104">
        <v>387284.61670999997</v>
      </c>
      <c r="E13" s="113">
        <v>402743.9</v>
      </c>
      <c r="F13" s="104">
        <v>410311.12682</v>
      </c>
      <c r="G13" s="113">
        <v>425279.8</v>
      </c>
    </row>
    <row r="14" spans="1:51" s="62" customFormat="1" ht="12.75" customHeight="1">
      <c r="A14" s="121" t="s">
        <v>177</v>
      </c>
      <c r="B14" s="102"/>
      <c r="C14" s="122" t="s">
        <v>179</v>
      </c>
      <c r="D14" s="104">
        <v>83481.580230000007</v>
      </c>
      <c r="E14" s="113">
        <v>86832.9</v>
      </c>
      <c r="F14" s="104">
        <v>87483.261920000004</v>
      </c>
      <c r="G14" s="113">
        <v>89455.7</v>
      </c>
    </row>
    <row r="15" spans="1:51" s="62" customFormat="1" ht="12.75" customHeight="1">
      <c r="A15" s="121" t="s">
        <v>178</v>
      </c>
      <c r="B15" s="102"/>
      <c r="C15" s="122" t="s">
        <v>180</v>
      </c>
      <c r="D15" s="104">
        <v>14693.91029</v>
      </c>
      <c r="E15" s="113">
        <v>17477.5</v>
      </c>
      <c r="F15" s="104">
        <v>16835.443569999999</v>
      </c>
      <c r="G15" s="113">
        <v>23385.1</v>
      </c>
    </row>
    <row r="16" spans="1:51" s="64" customFormat="1" ht="26.25" customHeight="1">
      <c r="A16" s="121" t="s">
        <v>147</v>
      </c>
      <c r="B16" s="123"/>
      <c r="C16" s="122" t="s">
        <v>149</v>
      </c>
      <c r="D16" s="126">
        <v>21875.794999999998</v>
      </c>
      <c r="E16" s="127">
        <v>21016.3</v>
      </c>
      <c r="F16" s="126">
        <v>20942.571</v>
      </c>
      <c r="G16" s="127">
        <v>19945</v>
      </c>
    </row>
    <row r="17" spans="1:7" s="65" customFormat="1">
      <c r="A17" s="101">
        <v>37</v>
      </c>
      <c r="B17" s="102"/>
      <c r="C17" s="103" t="s">
        <v>44</v>
      </c>
      <c r="D17" s="104">
        <v>105209.3606</v>
      </c>
      <c r="E17" s="157">
        <v>105641.4</v>
      </c>
      <c r="F17" s="104">
        <v>104344.91005000001</v>
      </c>
      <c r="G17" s="157">
        <v>105128.4</v>
      </c>
    </row>
    <row r="18" spans="1:7" s="65" customFormat="1">
      <c r="A18" s="145" t="s">
        <v>200</v>
      </c>
      <c r="B18" s="102"/>
      <c r="C18" s="103" t="s">
        <v>201</v>
      </c>
      <c r="D18" s="104">
        <v>0</v>
      </c>
      <c r="E18" s="113">
        <v>0</v>
      </c>
      <c r="F18" s="104">
        <v>0</v>
      </c>
      <c r="G18" s="113">
        <v>0</v>
      </c>
    </row>
    <row r="19" spans="1:7" s="65" customFormat="1">
      <c r="A19" s="145" t="s">
        <v>216</v>
      </c>
      <c r="B19" s="102"/>
      <c r="C19" s="103" t="s">
        <v>202</v>
      </c>
      <c r="D19" s="104">
        <v>101542.64885</v>
      </c>
      <c r="E19" s="157">
        <v>103102</v>
      </c>
      <c r="F19" s="104">
        <v>101300.57614999999</v>
      </c>
      <c r="G19" s="157">
        <v>102380</v>
      </c>
    </row>
    <row r="20" spans="1:7" s="62" customFormat="1" ht="12.75" customHeight="1">
      <c r="A20" s="131">
        <v>39</v>
      </c>
      <c r="B20" s="132"/>
      <c r="C20" s="133" t="s">
        <v>45</v>
      </c>
      <c r="D20" s="134">
        <v>391.47354999999999</v>
      </c>
      <c r="E20" s="159">
        <v>501</v>
      </c>
      <c r="F20" s="134">
        <v>357.84025000000003</v>
      </c>
      <c r="G20" s="159">
        <v>334.5</v>
      </c>
    </row>
    <row r="21" spans="1:7" ht="12.75" customHeight="1">
      <c r="A21" s="7"/>
      <c r="B21" s="7"/>
      <c r="C21" s="8" t="s">
        <v>478</v>
      </c>
      <c r="D21" s="15">
        <f t="shared" ref="D21:E21" si="0">D4+D5+SUM(D8:D13)+D17</f>
        <v>841498.06022999994</v>
      </c>
      <c r="E21" s="15">
        <f t="shared" si="0"/>
        <v>860827.10000000009</v>
      </c>
      <c r="F21" s="15">
        <f t="shared" ref="F21:G21" si="1">F4+F5+SUM(F8:F13)+F17</f>
        <v>868432.55587000004</v>
      </c>
      <c r="G21" s="15">
        <f t="shared" si="1"/>
        <v>892489.29999999993</v>
      </c>
    </row>
    <row r="22" spans="1:7" s="62" customFormat="1" ht="12.75" customHeight="1">
      <c r="A22" s="145" t="s">
        <v>416</v>
      </c>
      <c r="B22" s="102"/>
      <c r="C22" s="103" t="s">
        <v>305</v>
      </c>
      <c r="D22" s="152">
        <v>263528.24442</v>
      </c>
      <c r="E22" s="141">
        <v>263955</v>
      </c>
      <c r="F22" s="105">
        <v>266611.21814000001</v>
      </c>
      <c r="G22" s="113">
        <v>271310</v>
      </c>
    </row>
    <row r="23" spans="1:7" s="62" customFormat="1" ht="12.75" customHeight="1">
      <c r="A23" s="145" t="s">
        <v>417</v>
      </c>
      <c r="B23" s="102"/>
      <c r="C23" s="103" t="s">
        <v>306</v>
      </c>
      <c r="D23" s="152">
        <v>47849.129000000001</v>
      </c>
      <c r="E23" s="141">
        <v>48555</v>
      </c>
      <c r="F23" s="105">
        <v>50626.434999999998</v>
      </c>
      <c r="G23" s="113">
        <v>51005</v>
      </c>
    </row>
    <row r="24" spans="1:7" s="67" customFormat="1" ht="12.75" customHeight="1">
      <c r="A24" s="101">
        <v>41</v>
      </c>
      <c r="B24" s="102"/>
      <c r="C24" s="103" t="s">
        <v>46</v>
      </c>
      <c r="D24" s="152">
        <v>7930.9744499999997</v>
      </c>
      <c r="E24" s="141">
        <v>7752.7</v>
      </c>
      <c r="F24" s="105">
        <v>7784.1563900000001</v>
      </c>
      <c r="G24" s="113">
        <v>7807.1</v>
      </c>
    </row>
    <row r="25" spans="1:7" s="62" customFormat="1" ht="12.75" customHeight="1">
      <c r="A25" s="161">
        <v>42</v>
      </c>
      <c r="B25" s="162"/>
      <c r="C25" s="103" t="s">
        <v>47</v>
      </c>
      <c r="D25" s="152">
        <v>38787.706760000001</v>
      </c>
      <c r="E25" s="141">
        <v>37816.400000000001</v>
      </c>
      <c r="F25" s="105">
        <v>40021.454870000001</v>
      </c>
      <c r="G25" s="113">
        <v>38849.300000000003</v>
      </c>
    </row>
    <row r="26" spans="1:7" s="68" customFormat="1" ht="12.75" customHeight="1">
      <c r="A26" s="114">
        <v>430</v>
      </c>
      <c r="B26" s="102"/>
      <c r="C26" s="103" t="s">
        <v>418</v>
      </c>
      <c r="D26" s="268">
        <v>122.4053</v>
      </c>
      <c r="E26" s="144">
        <v>121.2</v>
      </c>
      <c r="F26" s="128">
        <v>135.78989999999999</v>
      </c>
      <c r="G26" s="157">
        <v>128</v>
      </c>
    </row>
    <row r="27" spans="1:7" s="68" customFormat="1" ht="12.75" customHeight="1">
      <c r="A27" s="114">
        <v>431</v>
      </c>
      <c r="B27" s="102"/>
      <c r="C27" s="103" t="s">
        <v>419</v>
      </c>
      <c r="D27" s="268">
        <v>141.584</v>
      </c>
      <c r="E27" s="144">
        <v>20</v>
      </c>
      <c r="F27" s="128">
        <v>14.215350000000001</v>
      </c>
      <c r="G27" s="157">
        <v>20</v>
      </c>
    </row>
    <row r="28" spans="1:7" s="68" customFormat="1" ht="12.75" customHeight="1">
      <c r="A28" s="114">
        <v>432</v>
      </c>
      <c r="B28" s="102"/>
      <c r="C28" s="103" t="s">
        <v>420</v>
      </c>
      <c r="D28" s="268">
        <v>0</v>
      </c>
      <c r="E28" s="144">
        <v>0</v>
      </c>
      <c r="F28" s="128">
        <v>0</v>
      </c>
      <c r="G28" s="157">
        <v>0</v>
      </c>
    </row>
    <row r="29" spans="1:7" s="68" customFormat="1" ht="12.75" customHeight="1">
      <c r="A29" s="114">
        <v>439</v>
      </c>
      <c r="B29" s="102"/>
      <c r="C29" s="103" t="s">
        <v>421</v>
      </c>
      <c r="D29" s="268">
        <v>3</v>
      </c>
      <c r="E29" s="144">
        <v>3</v>
      </c>
      <c r="F29" s="128">
        <v>3.0292500000000002</v>
      </c>
      <c r="G29" s="157">
        <v>3</v>
      </c>
    </row>
    <row r="30" spans="1:7" s="62" customFormat="1" ht="28">
      <c r="A30" s="114">
        <v>450</v>
      </c>
      <c r="B30" s="115"/>
      <c r="C30" s="116" t="s">
        <v>307</v>
      </c>
      <c r="D30" s="104">
        <v>18.654419999999998</v>
      </c>
      <c r="E30" s="106">
        <v>0</v>
      </c>
      <c r="F30" s="104">
        <v>485.59888000000001</v>
      </c>
      <c r="G30" s="106">
        <v>0</v>
      </c>
    </row>
    <row r="31" spans="1:7" s="63" customFormat="1" ht="28">
      <c r="A31" s="114">
        <v>451</v>
      </c>
      <c r="B31" s="115"/>
      <c r="C31" s="116" t="s">
        <v>48</v>
      </c>
      <c r="D31" s="280">
        <v>4486.3725999999997</v>
      </c>
      <c r="E31" s="281">
        <v>10164.200000000001</v>
      </c>
      <c r="F31" s="359">
        <v>13975.59773</v>
      </c>
      <c r="G31" s="360">
        <v>12508.9</v>
      </c>
    </row>
    <row r="32" spans="1:7" s="69" customFormat="1" ht="12.75" customHeight="1">
      <c r="A32" s="101">
        <v>46</v>
      </c>
      <c r="B32" s="102"/>
      <c r="C32" s="103" t="s">
        <v>49</v>
      </c>
      <c r="D32" s="152">
        <v>362761.72553</v>
      </c>
      <c r="E32" s="141">
        <v>382512.7</v>
      </c>
      <c r="F32" s="105">
        <v>377996.50971000001</v>
      </c>
      <c r="G32" s="113">
        <v>397040.2</v>
      </c>
    </row>
    <row r="33" spans="1:7" s="63" customFormat="1" ht="12.75" customHeight="1">
      <c r="A33" s="112" t="s">
        <v>51</v>
      </c>
      <c r="B33" s="108"/>
      <c r="C33" s="109" t="s">
        <v>50</v>
      </c>
      <c r="D33" s="250">
        <v>0</v>
      </c>
      <c r="E33" s="143">
        <v>0</v>
      </c>
      <c r="F33" s="150">
        <v>0</v>
      </c>
      <c r="G33" s="155">
        <v>0</v>
      </c>
    </row>
    <row r="34" spans="1:7" s="62" customFormat="1" ht="15" customHeight="1">
      <c r="A34" s="101">
        <v>47</v>
      </c>
      <c r="B34" s="102"/>
      <c r="C34" s="103" t="s">
        <v>44</v>
      </c>
      <c r="D34" s="152">
        <v>105209.3606</v>
      </c>
      <c r="E34" s="141">
        <v>105641.4</v>
      </c>
      <c r="F34" s="105">
        <v>104344.91005000001</v>
      </c>
      <c r="G34" s="113">
        <v>105128.4</v>
      </c>
    </row>
    <row r="35" spans="1:7" s="62" customFormat="1" ht="15" customHeight="1">
      <c r="A35" s="131">
        <v>49</v>
      </c>
      <c r="B35" s="132"/>
      <c r="C35" s="133" t="s">
        <v>45</v>
      </c>
      <c r="D35" s="146">
        <v>391.47354999999999</v>
      </c>
      <c r="E35" s="147">
        <v>500.5</v>
      </c>
      <c r="F35" s="134">
        <v>357.84025000000003</v>
      </c>
      <c r="G35" s="159">
        <v>334.5</v>
      </c>
    </row>
    <row r="36" spans="1:7" s="4" customFormat="1" ht="13.5" customHeight="1">
      <c r="A36" s="7"/>
      <c r="B36" s="10"/>
      <c r="C36" s="8" t="s">
        <v>477</v>
      </c>
      <c r="D36" s="15">
        <f t="shared" ref="D36:E36" si="2">D22+D23+D24+D25+D26+D27+D28+D29+D30+D31+D32+D34</f>
        <v>830839.15708000003</v>
      </c>
      <c r="E36" s="15">
        <f t="shared" si="2"/>
        <v>856541.60000000009</v>
      </c>
      <c r="F36" s="15">
        <f t="shared" ref="F36:G36" si="3">F22+F23+F24+F25+F26+F27+F28+F29+F30+F31+F32+F34</f>
        <v>861998.91527</v>
      </c>
      <c r="G36" s="15">
        <f t="shared" si="3"/>
        <v>883799.9</v>
      </c>
    </row>
    <row r="37" spans="1:7" s="5" customFormat="1" ht="15" customHeight="1">
      <c r="A37" s="7"/>
      <c r="B37" s="10"/>
      <c r="C37" s="8" t="s">
        <v>52</v>
      </c>
      <c r="D37" s="16">
        <f t="shared" ref="D37:E37" si="4">D36-D21</f>
        <v>-10658.903149999911</v>
      </c>
      <c r="E37" s="16">
        <f t="shared" si="4"/>
        <v>-4285.5</v>
      </c>
      <c r="F37" s="16">
        <f t="shared" ref="F37:G37" si="5">F36-F21</f>
        <v>-6433.6406000000425</v>
      </c>
      <c r="G37" s="16">
        <f t="shared" si="5"/>
        <v>-8689.3999999999069</v>
      </c>
    </row>
    <row r="38" spans="1:7" s="63" customFormat="1" ht="15" customHeight="1">
      <c r="A38" s="145">
        <v>340</v>
      </c>
      <c r="B38" s="102"/>
      <c r="C38" s="103" t="s">
        <v>101</v>
      </c>
      <c r="D38" s="140">
        <v>6853.3388800000002</v>
      </c>
      <c r="E38" s="141">
        <v>5244.8</v>
      </c>
      <c r="F38" s="104">
        <v>4920.2303199999997</v>
      </c>
      <c r="G38" s="113">
        <v>6762.8</v>
      </c>
    </row>
    <row r="39" spans="1:7" s="63" customFormat="1" ht="15" customHeight="1">
      <c r="A39" s="145">
        <v>341</v>
      </c>
      <c r="B39" s="102"/>
      <c r="C39" s="103" t="s">
        <v>308</v>
      </c>
      <c r="D39" s="152">
        <v>0.38455</v>
      </c>
      <c r="E39" s="141">
        <v>0</v>
      </c>
      <c r="F39" s="105">
        <v>0</v>
      </c>
      <c r="G39" s="113">
        <v>0</v>
      </c>
    </row>
    <row r="40" spans="1:7" s="63" customFormat="1" ht="15" customHeight="1">
      <c r="A40" s="145">
        <v>342</v>
      </c>
      <c r="B40" s="102"/>
      <c r="C40" s="103" t="s">
        <v>309</v>
      </c>
      <c r="D40" s="152">
        <v>2.9792000000000001</v>
      </c>
      <c r="E40" s="141">
        <v>3.2</v>
      </c>
      <c r="F40" s="105">
        <v>3.23055</v>
      </c>
      <c r="G40" s="113">
        <v>3</v>
      </c>
    </row>
    <row r="41" spans="1:7" s="63" customFormat="1" ht="15" customHeight="1">
      <c r="A41" s="145">
        <v>343</v>
      </c>
      <c r="B41" s="102"/>
      <c r="C41" s="103" t="s">
        <v>469</v>
      </c>
      <c r="D41" s="152">
        <v>67.632599999999996</v>
      </c>
      <c r="E41" s="141">
        <v>66.5</v>
      </c>
      <c r="F41" s="105">
        <v>33.697400000000002</v>
      </c>
      <c r="G41" s="113">
        <v>62.5</v>
      </c>
    </row>
    <row r="42" spans="1:7" s="63" customFormat="1" ht="15" customHeight="1">
      <c r="A42" s="145">
        <v>344</v>
      </c>
      <c r="B42" s="102"/>
      <c r="C42" s="103" t="s">
        <v>311</v>
      </c>
      <c r="D42" s="152">
        <v>0</v>
      </c>
      <c r="E42" s="141">
        <v>0</v>
      </c>
      <c r="F42" s="105">
        <v>0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312</v>
      </c>
      <c r="D43" s="152">
        <v>0.67535000000000001</v>
      </c>
      <c r="E43" s="141">
        <v>0</v>
      </c>
      <c r="F43" s="105">
        <v>0</v>
      </c>
      <c r="G43" s="113">
        <v>0</v>
      </c>
    </row>
    <row r="44" spans="1:7" s="62" customFormat="1" ht="15" customHeight="1">
      <c r="A44" s="101">
        <v>440</v>
      </c>
      <c r="B44" s="102"/>
      <c r="C44" s="103" t="s">
        <v>102</v>
      </c>
      <c r="D44" s="140">
        <v>3733.8243699999998</v>
      </c>
      <c r="E44" s="141">
        <v>2979.5</v>
      </c>
      <c r="F44" s="104">
        <v>2950.6472100000001</v>
      </c>
      <c r="G44" s="113">
        <v>2839.5</v>
      </c>
    </row>
    <row r="45" spans="1:7" s="62" customFormat="1" ht="15" customHeight="1">
      <c r="A45" s="101">
        <v>441</v>
      </c>
      <c r="B45" s="102"/>
      <c r="C45" s="103" t="s">
        <v>103</v>
      </c>
      <c r="D45" s="140">
        <v>140.87899999999999</v>
      </c>
      <c r="E45" s="141">
        <v>100</v>
      </c>
      <c r="F45" s="104">
        <v>16.156220000000001</v>
      </c>
      <c r="G45" s="113">
        <v>100</v>
      </c>
    </row>
    <row r="46" spans="1:7" s="62" customFormat="1" ht="15" customHeight="1">
      <c r="A46" s="101">
        <v>442</v>
      </c>
      <c r="B46" s="102"/>
      <c r="C46" s="103" t="s">
        <v>104</v>
      </c>
      <c r="D46" s="140">
        <v>264.84800000000001</v>
      </c>
      <c r="E46" s="141">
        <v>264.8</v>
      </c>
      <c r="F46" s="104">
        <v>264.84800000000001</v>
      </c>
      <c r="G46" s="113">
        <v>264.8</v>
      </c>
    </row>
    <row r="47" spans="1:7" s="62" customFormat="1" ht="15" customHeight="1">
      <c r="A47" s="101">
        <v>443</v>
      </c>
      <c r="B47" s="102"/>
      <c r="C47" s="103" t="s">
        <v>105</v>
      </c>
      <c r="D47" s="140">
        <v>21.6434</v>
      </c>
      <c r="E47" s="141">
        <v>21</v>
      </c>
      <c r="F47" s="104">
        <v>22.908300000000001</v>
      </c>
      <c r="G47" s="113">
        <v>21</v>
      </c>
    </row>
    <row r="48" spans="1:7" s="62" customFormat="1" ht="15" customHeight="1">
      <c r="A48" s="101">
        <v>444</v>
      </c>
      <c r="B48" s="102"/>
      <c r="C48" s="103" t="s">
        <v>106</v>
      </c>
      <c r="D48" s="140">
        <v>0</v>
      </c>
      <c r="E48" s="141">
        <v>0</v>
      </c>
      <c r="F48" s="104">
        <v>0</v>
      </c>
      <c r="G48" s="113">
        <v>0</v>
      </c>
    </row>
    <row r="49" spans="1:7" s="62" customFormat="1" ht="15" customHeight="1">
      <c r="A49" s="101">
        <v>445</v>
      </c>
      <c r="B49" s="102"/>
      <c r="C49" s="103" t="s">
        <v>107</v>
      </c>
      <c r="D49" s="140">
        <v>2708.04</v>
      </c>
      <c r="E49" s="141">
        <v>2867.2</v>
      </c>
      <c r="F49" s="104">
        <v>2710.84</v>
      </c>
      <c r="G49" s="361">
        <v>2708</v>
      </c>
    </row>
    <row r="50" spans="1:7" s="62" customFormat="1" ht="15" customHeight="1">
      <c r="A50" s="101">
        <v>446</v>
      </c>
      <c r="B50" s="102"/>
      <c r="C50" s="103" t="s">
        <v>313</v>
      </c>
      <c r="D50" s="140">
        <v>940.26</v>
      </c>
      <c r="E50" s="141">
        <v>947.3</v>
      </c>
      <c r="F50" s="104">
        <v>965.76</v>
      </c>
      <c r="G50" s="361">
        <v>982.3</v>
      </c>
    </row>
    <row r="51" spans="1:7" s="62" customFormat="1" ht="15" customHeight="1">
      <c r="A51" s="101">
        <v>447</v>
      </c>
      <c r="B51" s="102"/>
      <c r="C51" s="103" t="s">
        <v>314</v>
      </c>
      <c r="D51" s="140">
        <v>2203.45415</v>
      </c>
      <c r="E51" s="141">
        <v>2340.3000000000002</v>
      </c>
      <c r="F51" s="104">
        <v>2233.0079500000002</v>
      </c>
      <c r="G51" s="113">
        <v>2246.9</v>
      </c>
    </row>
    <row r="52" spans="1:7" s="62" customFormat="1" ht="15" customHeight="1">
      <c r="A52" s="101">
        <v>448</v>
      </c>
      <c r="B52" s="102"/>
      <c r="C52" s="103" t="s">
        <v>108</v>
      </c>
      <c r="D52" s="140">
        <v>0</v>
      </c>
      <c r="E52" s="141">
        <v>0</v>
      </c>
      <c r="F52" s="104">
        <v>0</v>
      </c>
      <c r="G52" s="113">
        <v>0</v>
      </c>
    </row>
    <row r="53" spans="1:7" s="62" customFormat="1" ht="15" customHeight="1">
      <c r="A53" s="101">
        <v>449</v>
      </c>
      <c r="B53" s="102"/>
      <c r="C53" s="103" t="s">
        <v>194</v>
      </c>
      <c r="D53" s="140">
        <v>0</v>
      </c>
      <c r="E53" s="141">
        <v>0</v>
      </c>
      <c r="F53" s="104">
        <v>0</v>
      </c>
      <c r="G53" s="113">
        <v>0</v>
      </c>
    </row>
    <row r="54" spans="1:7" s="63" customFormat="1" ht="13.5" customHeight="1">
      <c r="A54" s="166" t="s">
        <v>54</v>
      </c>
      <c r="B54" s="167"/>
      <c r="C54" s="167" t="s">
        <v>53</v>
      </c>
      <c r="D54" s="170">
        <v>0</v>
      </c>
      <c r="E54" s="171">
        <v>0</v>
      </c>
      <c r="F54" s="168">
        <v>0</v>
      </c>
      <c r="G54" s="174">
        <v>0</v>
      </c>
    </row>
    <row r="55" spans="1:7" ht="15" customHeight="1">
      <c r="A55" s="10"/>
      <c r="B55" s="10"/>
      <c r="C55" s="8" t="s">
        <v>55</v>
      </c>
      <c r="D55" s="15">
        <f t="shared" ref="D55:E55" si="6">SUM(D44:D53)-SUM(D38:D43)</f>
        <v>3087.9383400000006</v>
      </c>
      <c r="E55" s="15">
        <f t="shared" si="6"/>
        <v>4205.6000000000004</v>
      </c>
      <c r="F55" s="15">
        <f t="shared" ref="F55:G55" si="7">SUM(F44:F53)-SUM(F38:F43)</f>
        <v>4207.0094100000006</v>
      </c>
      <c r="G55" s="15">
        <f t="shared" si="7"/>
        <v>2334.1999999999998</v>
      </c>
    </row>
    <row r="56" spans="1:7" ht="14.25" customHeight="1">
      <c r="A56" s="10"/>
      <c r="B56" s="10"/>
      <c r="C56" s="8" t="s">
        <v>56</v>
      </c>
      <c r="D56" s="15">
        <f t="shared" ref="D56:E56" si="8">D55+D37</f>
        <v>-7570.9648099999104</v>
      </c>
      <c r="E56" s="15">
        <f t="shared" si="8"/>
        <v>-79.899999999999636</v>
      </c>
      <c r="F56" s="15">
        <f t="shared" ref="F56:G56" si="9">F55+F37</f>
        <v>-2226.6311900000419</v>
      </c>
      <c r="G56" s="15">
        <f t="shared" si="9"/>
        <v>-6355.199999999907</v>
      </c>
    </row>
    <row r="57" spans="1:7" s="62" customFormat="1" ht="15.75" customHeight="1">
      <c r="A57" s="285">
        <v>380</v>
      </c>
      <c r="B57" s="286"/>
      <c r="C57" s="287" t="s">
        <v>486</v>
      </c>
      <c r="D57" s="290">
        <v>0</v>
      </c>
      <c r="E57" s="291">
        <v>0</v>
      </c>
      <c r="F57" s="153">
        <v>0</v>
      </c>
      <c r="G57" s="362">
        <v>0</v>
      </c>
    </row>
    <row r="58" spans="1:7" s="62" customFormat="1" ht="15.75" customHeight="1">
      <c r="A58" s="285">
        <v>381</v>
      </c>
      <c r="B58" s="286"/>
      <c r="C58" s="287" t="s">
        <v>487</v>
      </c>
      <c r="D58" s="290">
        <v>0</v>
      </c>
      <c r="E58" s="291">
        <v>0</v>
      </c>
      <c r="F58" s="153">
        <v>0</v>
      </c>
      <c r="G58" s="362">
        <v>0</v>
      </c>
    </row>
    <row r="59" spans="1:7" s="63" customFormat="1" ht="28">
      <c r="A59" s="114">
        <v>383</v>
      </c>
      <c r="B59" s="115"/>
      <c r="C59" s="116" t="s">
        <v>59</v>
      </c>
      <c r="D59" s="261">
        <v>0</v>
      </c>
      <c r="E59" s="165">
        <v>0</v>
      </c>
      <c r="F59" s="201">
        <v>0</v>
      </c>
      <c r="G59" s="271">
        <v>0</v>
      </c>
    </row>
    <row r="60" spans="1:7" s="63" customFormat="1" ht="14">
      <c r="A60" s="114">
        <v>3840</v>
      </c>
      <c r="B60" s="115"/>
      <c r="C60" s="116" t="s">
        <v>315</v>
      </c>
      <c r="D60" s="154">
        <v>0</v>
      </c>
      <c r="E60" s="149">
        <v>0</v>
      </c>
      <c r="F60" s="118">
        <v>0</v>
      </c>
      <c r="G60" s="296">
        <v>0</v>
      </c>
    </row>
    <row r="61" spans="1:7" s="63" customFormat="1" ht="28">
      <c r="A61" s="114">
        <v>3841</v>
      </c>
      <c r="B61" s="115"/>
      <c r="C61" s="116" t="s">
        <v>316</v>
      </c>
      <c r="D61" s="154">
        <v>0</v>
      </c>
      <c r="E61" s="149">
        <v>0</v>
      </c>
      <c r="F61" s="118">
        <v>0</v>
      </c>
      <c r="G61" s="296">
        <v>0</v>
      </c>
    </row>
    <row r="62" spans="1:7" s="63" customFormat="1" ht="14">
      <c r="A62" s="177">
        <v>386</v>
      </c>
      <c r="B62" s="178"/>
      <c r="C62" s="179" t="s">
        <v>317</v>
      </c>
      <c r="D62" s="154">
        <v>0</v>
      </c>
      <c r="E62" s="149">
        <v>0</v>
      </c>
      <c r="F62" s="118">
        <v>0</v>
      </c>
      <c r="G62" s="296">
        <v>0</v>
      </c>
    </row>
    <row r="63" spans="1:7" s="63" customFormat="1" ht="28">
      <c r="A63" s="114">
        <v>387</v>
      </c>
      <c r="B63" s="115"/>
      <c r="C63" s="116" t="s">
        <v>60</v>
      </c>
      <c r="D63" s="154">
        <v>0</v>
      </c>
      <c r="E63" s="149">
        <v>0</v>
      </c>
      <c r="F63" s="118">
        <v>0</v>
      </c>
      <c r="G63" s="296">
        <v>0</v>
      </c>
    </row>
    <row r="64" spans="1:7" s="63" customFormat="1">
      <c r="A64" s="145">
        <v>389</v>
      </c>
      <c r="B64" s="294"/>
      <c r="C64" s="103" t="s">
        <v>61</v>
      </c>
      <c r="D64" s="152">
        <v>0</v>
      </c>
      <c r="E64" s="141">
        <v>0</v>
      </c>
      <c r="F64" s="105">
        <v>0</v>
      </c>
      <c r="G64" s="113">
        <v>0</v>
      </c>
    </row>
    <row r="65" spans="1:7" s="62" customFormat="1" ht="14">
      <c r="A65" s="264" t="s">
        <v>471</v>
      </c>
      <c r="B65" s="102"/>
      <c r="C65" s="103" t="s">
        <v>318</v>
      </c>
      <c r="D65" s="152">
        <v>404</v>
      </c>
      <c r="E65" s="141">
        <v>800</v>
      </c>
      <c r="F65" s="105">
        <v>675.27229999999997</v>
      </c>
      <c r="G65" s="113">
        <v>900</v>
      </c>
    </row>
    <row r="66" spans="1:7" s="95" customFormat="1" ht="28">
      <c r="A66" s="114" t="s">
        <v>472</v>
      </c>
      <c r="B66" s="111"/>
      <c r="C66" s="116" t="s">
        <v>319</v>
      </c>
      <c r="D66" s="260">
        <v>24</v>
      </c>
      <c r="E66" s="165">
        <v>7</v>
      </c>
      <c r="F66" s="270">
        <v>12.723929999999999</v>
      </c>
      <c r="G66" s="271">
        <v>7</v>
      </c>
    </row>
    <row r="67" spans="1:7" s="62" customFormat="1">
      <c r="A67" s="248">
        <v>481</v>
      </c>
      <c r="B67" s="102"/>
      <c r="C67" s="103" t="s">
        <v>320</v>
      </c>
      <c r="D67" s="152">
        <v>0</v>
      </c>
      <c r="E67" s="141">
        <v>0</v>
      </c>
      <c r="F67" s="105">
        <v>0</v>
      </c>
      <c r="G67" s="113">
        <v>0</v>
      </c>
    </row>
    <row r="68" spans="1:7" s="62" customFormat="1">
      <c r="A68" s="248">
        <v>482</v>
      </c>
      <c r="B68" s="102"/>
      <c r="C68" s="103" t="s">
        <v>321</v>
      </c>
      <c r="D68" s="152">
        <v>0</v>
      </c>
      <c r="E68" s="141">
        <v>0</v>
      </c>
      <c r="F68" s="105">
        <v>0</v>
      </c>
      <c r="G68" s="113">
        <v>0</v>
      </c>
    </row>
    <row r="69" spans="1:7" s="62" customFormat="1">
      <c r="A69" s="248">
        <v>483</v>
      </c>
      <c r="B69" s="102"/>
      <c r="C69" s="103" t="s">
        <v>322</v>
      </c>
      <c r="D69" s="152">
        <v>0</v>
      </c>
      <c r="E69" s="141">
        <v>0</v>
      </c>
      <c r="F69" s="105">
        <v>0</v>
      </c>
      <c r="G69" s="113">
        <v>0</v>
      </c>
    </row>
    <row r="70" spans="1:7" s="62" customFormat="1">
      <c r="A70" s="248">
        <v>484</v>
      </c>
      <c r="B70" s="102"/>
      <c r="C70" s="103" t="s">
        <v>323</v>
      </c>
      <c r="D70" s="152">
        <v>0</v>
      </c>
      <c r="E70" s="141">
        <v>0</v>
      </c>
      <c r="F70" s="105">
        <v>0</v>
      </c>
      <c r="G70" s="113">
        <v>0</v>
      </c>
    </row>
    <row r="71" spans="1:7" s="62" customFormat="1">
      <c r="A71" s="248">
        <v>485</v>
      </c>
      <c r="B71" s="102"/>
      <c r="C71" s="103" t="s">
        <v>324</v>
      </c>
      <c r="D71" s="152">
        <v>0</v>
      </c>
      <c r="E71" s="141">
        <v>0</v>
      </c>
      <c r="F71" s="105">
        <v>0</v>
      </c>
      <c r="G71" s="113">
        <v>0</v>
      </c>
    </row>
    <row r="72" spans="1:7" s="62" customFormat="1">
      <c r="A72" s="248">
        <v>486</v>
      </c>
      <c r="B72" s="102"/>
      <c r="C72" s="103" t="s">
        <v>325</v>
      </c>
      <c r="D72" s="152">
        <v>0</v>
      </c>
      <c r="E72" s="141">
        <v>0</v>
      </c>
      <c r="F72" s="105">
        <v>0</v>
      </c>
      <c r="G72" s="113">
        <v>0</v>
      </c>
    </row>
    <row r="73" spans="1:7" s="63" customFormat="1" ht="28">
      <c r="A73" s="248">
        <v>487</v>
      </c>
      <c r="B73" s="185"/>
      <c r="C73" s="116" t="s">
        <v>62</v>
      </c>
      <c r="D73" s="261">
        <v>0</v>
      </c>
      <c r="E73" s="165">
        <v>0</v>
      </c>
      <c r="F73" s="201">
        <v>0</v>
      </c>
      <c r="G73" s="271">
        <v>0</v>
      </c>
    </row>
    <row r="74" spans="1:7" s="63" customFormat="1">
      <c r="A74" s="248">
        <v>489</v>
      </c>
      <c r="B74" s="182"/>
      <c r="C74" s="133" t="s">
        <v>63</v>
      </c>
      <c r="D74" s="261">
        <v>0</v>
      </c>
      <c r="E74" s="165">
        <v>0</v>
      </c>
      <c r="F74" s="201">
        <v>0</v>
      </c>
      <c r="G74" s="271">
        <v>0</v>
      </c>
    </row>
    <row r="75" spans="1:7" s="63" customFormat="1">
      <c r="A75" s="181" t="s">
        <v>383</v>
      </c>
      <c r="B75" s="182"/>
      <c r="C75" s="133" t="s">
        <v>384</v>
      </c>
      <c r="D75" s="152">
        <v>0</v>
      </c>
      <c r="E75" s="141">
        <v>0</v>
      </c>
      <c r="F75" s="105">
        <v>0</v>
      </c>
      <c r="G75" s="113">
        <v>0</v>
      </c>
    </row>
    <row r="76" spans="1:7">
      <c r="A76" s="7"/>
      <c r="B76" s="7"/>
      <c r="C76" s="8" t="s">
        <v>65</v>
      </c>
      <c r="D76" s="15">
        <f t="shared" ref="D76:E76" si="10">SUM(D65:D74)-SUM(D57:D64)</f>
        <v>428</v>
      </c>
      <c r="E76" s="15">
        <f t="shared" si="10"/>
        <v>807</v>
      </c>
      <c r="F76" s="15">
        <f t="shared" ref="F76:G76" si="11">SUM(F65:F74)-SUM(F57:F64)</f>
        <v>687.99622999999997</v>
      </c>
      <c r="G76" s="15">
        <f t="shared" si="11"/>
        <v>907</v>
      </c>
    </row>
    <row r="77" spans="1:7">
      <c r="A77" s="9"/>
      <c r="B77" s="9"/>
      <c r="C77" s="8" t="s">
        <v>66</v>
      </c>
      <c r="D77" s="15">
        <f t="shared" ref="D77:E77" si="12">D56+D76</f>
        <v>-7142.9648099999104</v>
      </c>
      <c r="E77" s="15">
        <f t="shared" si="12"/>
        <v>727.10000000000036</v>
      </c>
      <c r="F77" s="15">
        <f t="shared" ref="F77:G77" si="13">F56+F76</f>
        <v>-1538.6349600000419</v>
      </c>
      <c r="G77" s="15">
        <f t="shared" si="13"/>
        <v>-5448.199999999907</v>
      </c>
    </row>
    <row r="78" spans="1:7">
      <c r="A78" s="35">
        <v>3</v>
      </c>
      <c r="B78" s="35"/>
      <c r="C78" s="36" t="s">
        <v>479</v>
      </c>
      <c r="D78" s="37">
        <f t="shared" ref="D78:E78" si="14">D20+D21+SUM(D38:D43)+SUM(D57:D64)</f>
        <v>848814.54435999994</v>
      </c>
      <c r="E78" s="37">
        <f t="shared" si="14"/>
        <v>866642.60000000009</v>
      </c>
      <c r="F78" s="37">
        <f t="shared" ref="F78:G78" si="15">F20+F21+SUM(F38:F43)+SUM(F57:F64)</f>
        <v>873747.55439000006</v>
      </c>
      <c r="G78" s="37">
        <f t="shared" si="15"/>
        <v>899652.1</v>
      </c>
    </row>
    <row r="79" spans="1:7">
      <c r="A79" s="35">
        <v>4</v>
      </c>
      <c r="B79" s="35"/>
      <c r="C79" s="36" t="s">
        <v>480</v>
      </c>
      <c r="D79" s="37">
        <f t="shared" ref="D79:E79" si="16">D35+D36+SUM(D44:D53)+SUM(D65:D74)</f>
        <v>841671.57955000002</v>
      </c>
      <c r="E79" s="37">
        <f t="shared" si="16"/>
        <v>867369.20000000007</v>
      </c>
      <c r="F79" s="37">
        <f t="shared" ref="F79:G79" si="17">F35+F36+SUM(F44:F53)+SUM(F65:F74)</f>
        <v>872208.91943000001</v>
      </c>
      <c r="G79" s="37">
        <f t="shared" si="17"/>
        <v>894203.9</v>
      </c>
    </row>
    <row r="80" spans="1:7">
      <c r="C80" s="11"/>
      <c r="D80" s="17"/>
      <c r="E80" s="17"/>
      <c r="F80" s="17"/>
      <c r="G80" s="17"/>
    </row>
    <row r="81" spans="1:7">
      <c r="A81" s="801" t="s">
        <v>67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326</v>
      </c>
      <c r="D82" s="152">
        <v>31356.133259999999</v>
      </c>
      <c r="E82" s="141">
        <v>30616</v>
      </c>
      <c r="F82" s="105">
        <v>31830.177780000002</v>
      </c>
      <c r="G82" s="113">
        <v>29802</v>
      </c>
    </row>
    <row r="83" spans="1:7" s="62" customFormat="1">
      <c r="A83" s="186">
        <v>51</v>
      </c>
      <c r="B83" s="187"/>
      <c r="C83" s="187" t="s">
        <v>327</v>
      </c>
      <c r="D83" s="152">
        <v>0</v>
      </c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328</v>
      </c>
      <c r="D84" s="152">
        <v>0</v>
      </c>
      <c r="E84" s="141">
        <v>0</v>
      </c>
      <c r="F84" s="105">
        <v>0</v>
      </c>
      <c r="G84" s="113">
        <v>0</v>
      </c>
    </row>
    <row r="85" spans="1:7" s="62" customFormat="1">
      <c r="A85" s="188">
        <v>54</v>
      </c>
      <c r="B85" s="189"/>
      <c r="C85" s="189" t="s">
        <v>142</v>
      </c>
      <c r="D85" s="152">
        <v>1435.29</v>
      </c>
      <c r="E85" s="141">
        <v>1200</v>
      </c>
      <c r="F85" s="105">
        <v>859.05499999999995</v>
      </c>
      <c r="G85" s="113">
        <v>1000</v>
      </c>
    </row>
    <row r="86" spans="1:7" s="62" customFormat="1">
      <c r="A86" s="188">
        <v>55</v>
      </c>
      <c r="B86" s="189"/>
      <c r="C86" s="189" t="s">
        <v>182</v>
      </c>
      <c r="D86" s="152">
        <v>30</v>
      </c>
      <c r="E86" s="141">
        <v>0</v>
      </c>
      <c r="F86" s="105">
        <v>400</v>
      </c>
      <c r="G86" s="113">
        <v>0</v>
      </c>
    </row>
    <row r="87" spans="1:7" s="62" customFormat="1">
      <c r="A87" s="188">
        <v>56</v>
      </c>
      <c r="B87" s="189"/>
      <c r="C87" s="189" t="s">
        <v>329</v>
      </c>
      <c r="D87" s="152">
        <v>12033.582249999999</v>
      </c>
      <c r="E87" s="141">
        <v>12050.5</v>
      </c>
      <c r="F87" s="105">
        <v>10843.3609</v>
      </c>
      <c r="G87" s="113">
        <v>12853</v>
      </c>
    </row>
    <row r="88" spans="1:7" s="62" customFormat="1">
      <c r="A88" s="186">
        <v>57</v>
      </c>
      <c r="B88" s="187"/>
      <c r="C88" s="187" t="s">
        <v>152</v>
      </c>
      <c r="D88" s="152">
        <v>9530.5896499999999</v>
      </c>
      <c r="E88" s="141">
        <v>7908.7</v>
      </c>
      <c r="F88" s="105">
        <v>11654.79075</v>
      </c>
      <c r="G88" s="113">
        <v>8093.9</v>
      </c>
    </row>
    <row r="89" spans="1:7" s="62" customFormat="1">
      <c r="A89" s="186">
        <v>580</v>
      </c>
      <c r="B89" s="187"/>
      <c r="C89" s="187" t="s">
        <v>330</v>
      </c>
      <c r="D89" s="152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331</v>
      </c>
      <c r="D90" s="152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332</v>
      </c>
      <c r="D91" s="152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333</v>
      </c>
      <c r="D92" s="152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334</v>
      </c>
      <c r="D93" s="152">
        <v>2.109</v>
      </c>
      <c r="E93" s="141">
        <v>0</v>
      </c>
      <c r="F93" s="105">
        <v>41.070999999999998</v>
      </c>
      <c r="G93" s="113">
        <v>10</v>
      </c>
    </row>
    <row r="94" spans="1:7" s="62" customFormat="1">
      <c r="A94" s="190">
        <v>589</v>
      </c>
      <c r="B94" s="191"/>
      <c r="C94" s="191" t="s">
        <v>335</v>
      </c>
      <c r="D94" s="273">
        <v>0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135</v>
      </c>
      <c r="D95" s="33">
        <f t="shared" ref="D95:E95" si="18">SUM(D82:D94)</f>
        <v>54387.704159999994</v>
      </c>
      <c r="E95" s="33">
        <f t="shared" si="18"/>
        <v>51775.199999999997</v>
      </c>
      <c r="F95" s="33">
        <f t="shared" ref="F95:G95" si="19">SUM(F82:F94)</f>
        <v>55628.455430000009</v>
      </c>
      <c r="G95" s="33">
        <f t="shared" si="19"/>
        <v>51758.9</v>
      </c>
    </row>
    <row r="96" spans="1:7" s="62" customFormat="1">
      <c r="A96" s="186">
        <v>60</v>
      </c>
      <c r="B96" s="187"/>
      <c r="C96" s="187" t="s">
        <v>336</v>
      </c>
      <c r="D96" s="152">
        <v>3.4209999999999998</v>
      </c>
      <c r="E96" s="141">
        <v>0</v>
      </c>
      <c r="F96" s="105">
        <v>0</v>
      </c>
      <c r="G96" s="113">
        <v>0</v>
      </c>
    </row>
    <row r="97" spans="1:7" s="62" customFormat="1">
      <c r="A97" s="186">
        <v>61</v>
      </c>
      <c r="B97" s="187"/>
      <c r="C97" s="187" t="s">
        <v>337</v>
      </c>
      <c r="D97" s="152">
        <v>0</v>
      </c>
      <c r="E97" s="141">
        <v>0</v>
      </c>
      <c r="F97" s="105">
        <v>0</v>
      </c>
      <c r="G97" s="113">
        <v>0</v>
      </c>
    </row>
    <row r="98" spans="1:7" s="62" customFormat="1">
      <c r="A98" s="186">
        <v>62</v>
      </c>
      <c r="B98" s="187"/>
      <c r="C98" s="187" t="s">
        <v>338</v>
      </c>
      <c r="D98" s="152">
        <v>0</v>
      </c>
      <c r="E98" s="141">
        <v>0</v>
      </c>
      <c r="F98" s="105">
        <v>0</v>
      </c>
      <c r="G98" s="113">
        <v>0</v>
      </c>
    </row>
    <row r="99" spans="1:7" s="62" customFormat="1">
      <c r="A99" s="186">
        <v>63</v>
      </c>
      <c r="B99" s="187"/>
      <c r="C99" s="187" t="s">
        <v>339</v>
      </c>
      <c r="D99" s="152">
        <v>3575.9429</v>
      </c>
      <c r="E99" s="141">
        <v>2899.2</v>
      </c>
      <c r="F99" s="105">
        <v>3781.0079500000002</v>
      </c>
      <c r="G99" s="113">
        <v>1809.8</v>
      </c>
    </row>
    <row r="100" spans="1:7" s="62" customFormat="1">
      <c r="A100" s="186">
        <v>64</v>
      </c>
      <c r="B100" s="187"/>
      <c r="C100" s="187" t="s">
        <v>183</v>
      </c>
      <c r="D100" s="152">
        <v>2880.1217499999998</v>
      </c>
      <c r="E100" s="141">
        <v>2548.6999999999998</v>
      </c>
      <c r="F100" s="105">
        <v>2316.6300500000002</v>
      </c>
      <c r="G100" s="113">
        <v>2660.7</v>
      </c>
    </row>
    <row r="101" spans="1:7" s="62" customFormat="1">
      <c r="A101" s="186">
        <v>65</v>
      </c>
      <c r="B101" s="187"/>
      <c r="C101" s="187" t="s">
        <v>184</v>
      </c>
      <c r="D101" s="152">
        <v>0</v>
      </c>
      <c r="E101" s="141">
        <v>0</v>
      </c>
      <c r="F101" s="105">
        <v>0</v>
      </c>
      <c r="G101" s="113">
        <v>0</v>
      </c>
    </row>
    <row r="102" spans="1:7" s="62" customFormat="1">
      <c r="A102" s="186">
        <v>66</v>
      </c>
      <c r="B102" s="187"/>
      <c r="C102" s="187" t="s">
        <v>340</v>
      </c>
      <c r="D102" s="152">
        <v>4.742</v>
      </c>
      <c r="E102" s="141">
        <v>25</v>
      </c>
      <c r="F102" s="105">
        <v>2.2810000000000001</v>
      </c>
      <c r="G102" s="113">
        <v>10</v>
      </c>
    </row>
    <row r="103" spans="1:7" s="62" customFormat="1">
      <c r="A103" s="186">
        <v>67</v>
      </c>
      <c r="B103" s="187"/>
      <c r="C103" s="187" t="s">
        <v>152</v>
      </c>
      <c r="D103" s="140">
        <v>9530.5896499999999</v>
      </c>
      <c r="E103" s="138">
        <v>7908.7</v>
      </c>
      <c r="F103" s="104">
        <v>11654.79075</v>
      </c>
      <c r="G103" s="106">
        <v>8093.9</v>
      </c>
    </row>
    <row r="104" spans="1:7" s="62" customFormat="1" ht="42">
      <c r="A104" s="192" t="s">
        <v>268</v>
      </c>
      <c r="B104" s="187"/>
      <c r="C104" s="193" t="s">
        <v>341</v>
      </c>
      <c r="D104" s="140">
        <v>0</v>
      </c>
      <c r="E104" s="138">
        <v>0</v>
      </c>
      <c r="F104" s="104">
        <v>0</v>
      </c>
      <c r="G104" s="106">
        <v>0</v>
      </c>
    </row>
    <row r="105" spans="1:7" s="95" customFormat="1" ht="54" customHeight="1">
      <c r="A105" s="194" t="s">
        <v>363</v>
      </c>
      <c r="B105" s="196"/>
      <c r="C105" s="195" t="s">
        <v>342</v>
      </c>
      <c r="D105" s="198">
        <v>550</v>
      </c>
      <c r="E105" s="199">
        <v>15</v>
      </c>
      <c r="F105" s="197">
        <v>0</v>
      </c>
      <c r="G105" s="357">
        <v>500</v>
      </c>
    </row>
    <row r="106" spans="1:7">
      <c r="A106" s="41">
        <v>6</v>
      </c>
      <c r="B106" s="32"/>
      <c r="C106" s="32" t="s">
        <v>195</v>
      </c>
      <c r="D106" s="33">
        <f t="shared" ref="D106:E106" si="20">SUM(D96:D105)</f>
        <v>16544.817299999999</v>
      </c>
      <c r="E106" s="33">
        <f t="shared" si="20"/>
        <v>13396.599999999999</v>
      </c>
      <c r="F106" s="33">
        <f t="shared" ref="F106:G106" si="21">SUM(F96:F105)</f>
        <v>17754.709750000002</v>
      </c>
      <c r="G106" s="33">
        <f t="shared" si="21"/>
        <v>13074.4</v>
      </c>
    </row>
    <row r="107" spans="1:7">
      <c r="A107" s="31" t="s">
        <v>387</v>
      </c>
      <c r="B107" s="31"/>
      <c r="C107" s="32" t="s">
        <v>68</v>
      </c>
      <c r="D107" s="33">
        <f t="shared" ref="D107:E107" si="22">(D95-D88)-(D106-D103)</f>
        <v>37842.886859999991</v>
      </c>
      <c r="E107" s="33">
        <f t="shared" si="22"/>
        <v>38378.6</v>
      </c>
      <c r="F107" s="33">
        <f t="shared" ref="F107:G107" si="23">(F95-F88)-(F106-F103)</f>
        <v>37873.745680000007</v>
      </c>
      <c r="G107" s="33">
        <f t="shared" si="23"/>
        <v>38684.5</v>
      </c>
    </row>
    <row r="108" spans="1:7">
      <c r="A108" s="30" t="s">
        <v>407</v>
      </c>
      <c r="B108" s="30"/>
      <c r="C108" s="49" t="s">
        <v>144</v>
      </c>
      <c r="D108" s="50">
        <f t="shared" ref="D108:E108" si="24">D107-D85-D86+D100+D101</f>
        <v>39257.718609999989</v>
      </c>
      <c r="E108" s="50">
        <f t="shared" si="24"/>
        <v>39727.299999999996</v>
      </c>
      <c r="F108" s="50">
        <f t="shared" ref="F108:G108" si="25">F107-F85-F86+F100+F101</f>
        <v>38931.320730000007</v>
      </c>
      <c r="G108" s="50">
        <f t="shared" si="25"/>
        <v>40345.199999999997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69</v>
      </c>
      <c r="D111" s="336">
        <f t="shared" ref="D111:E111" si="26">D112+D117</f>
        <v>231452.80030999999</v>
      </c>
      <c r="E111" s="337">
        <f t="shared" si="26"/>
        <v>0</v>
      </c>
      <c r="F111" s="336">
        <f t="shared" ref="F111:G111" si="27">F112+F117</f>
        <v>261013.89446000001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473</v>
      </c>
      <c r="D112" s="336">
        <f t="shared" ref="D112:E112" si="28">D113+D114+D115+D116</f>
        <v>222542.02661</v>
      </c>
      <c r="E112" s="337">
        <f t="shared" si="28"/>
        <v>0</v>
      </c>
      <c r="F112" s="336">
        <f t="shared" ref="F112:G112" si="29">F113+F114+F115+F116</f>
        <v>252300.66956000001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343</v>
      </c>
      <c r="D113" s="105">
        <v>180778.76366999999</v>
      </c>
      <c r="E113" s="113"/>
      <c r="F113" s="105">
        <f>8416.85358+201092.19167</f>
        <v>209509.04525</v>
      </c>
      <c r="G113" s="113"/>
    </row>
    <row r="114" spans="1:7" s="95" customFormat="1" ht="15" customHeight="1">
      <c r="A114" s="262">
        <v>102</v>
      </c>
      <c r="B114" s="265"/>
      <c r="C114" s="265" t="s">
        <v>344</v>
      </c>
      <c r="D114" s="270">
        <v>0</v>
      </c>
      <c r="E114" s="271"/>
      <c r="F114" s="270">
        <v>0</v>
      </c>
      <c r="G114" s="271"/>
    </row>
    <row r="115" spans="1:7" s="62" customFormat="1">
      <c r="A115" s="212">
        <v>104</v>
      </c>
      <c r="B115" s="206"/>
      <c r="C115" s="206" t="s">
        <v>345</v>
      </c>
      <c r="D115" s="105">
        <v>41613.833189999998</v>
      </c>
      <c r="E115" s="113"/>
      <c r="F115" s="105">
        <f>42643.16146</f>
        <v>42643.161460000003</v>
      </c>
      <c r="G115" s="113"/>
    </row>
    <row r="116" spans="1:7" s="62" customFormat="1">
      <c r="A116" s="212">
        <v>106</v>
      </c>
      <c r="B116" s="206"/>
      <c r="C116" s="206" t="s">
        <v>482</v>
      </c>
      <c r="D116" s="105">
        <v>149.42975000000001</v>
      </c>
      <c r="E116" s="113"/>
      <c r="F116" s="105">
        <v>148.46285</v>
      </c>
      <c r="G116" s="113"/>
    </row>
    <row r="117" spans="1:7" s="62" customFormat="1">
      <c r="A117" s="254" t="s">
        <v>292</v>
      </c>
      <c r="B117" s="255"/>
      <c r="C117" s="255" t="s">
        <v>474</v>
      </c>
      <c r="D117" s="336">
        <f t="shared" ref="D117:E117" si="30">D118+D119+D120</f>
        <v>8910.7736999999997</v>
      </c>
      <c r="E117" s="337">
        <f t="shared" si="30"/>
        <v>0</v>
      </c>
      <c r="F117" s="336">
        <f t="shared" ref="F117:G117" si="31">F118+F119+F120</f>
        <v>8713.2248999999993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346</v>
      </c>
      <c r="D118" s="105">
        <v>2650.18345</v>
      </c>
      <c r="E118" s="113"/>
      <c r="F118" s="105">
        <v>2610.7746499999998</v>
      </c>
      <c r="G118" s="113"/>
    </row>
    <row r="119" spans="1:7" s="62" customFormat="1">
      <c r="A119" s="212">
        <v>108</v>
      </c>
      <c r="B119" s="206"/>
      <c r="C119" s="206" t="s">
        <v>347</v>
      </c>
      <c r="D119" s="105">
        <v>6260.5902500000002</v>
      </c>
      <c r="E119" s="113"/>
      <c r="F119" s="105">
        <v>6102.4502499999999</v>
      </c>
      <c r="G119" s="113"/>
    </row>
    <row r="120" spans="1:7" s="203" customFormat="1" ht="28">
      <c r="A120" s="262">
        <v>109</v>
      </c>
      <c r="B120" s="263"/>
      <c r="C120" s="263" t="s">
        <v>348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70</v>
      </c>
      <c r="D121" s="336">
        <f t="shared" ref="D121:E121" si="32">SUM(D122:D130)</f>
        <v>470918.09308999998</v>
      </c>
      <c r="E121" s="336">
        <f t="shared" si="32"/>
        <v>0</v>
      </c>
      <c r="F121" s="336">
        <f t="shared" ref="F121:G121" si="33">SUM(F122:F130)</f>
        <v>471344.46087000007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349</v>
      </c>
      <c r="D122" s="105">
        <v>217848.12938999999</v>
      </c>
      <c r="E122" s="113"/>
      <c r="F122" s="105">
        <v>229797.50722</v>
      </c>
      <c r="G122" s="113"/>
    </row>
    <row r="123" spans="1:7" s="62" customFormat="1">
      <c r="A123" s="212">
        <v>144</v>
      </c>
      <c r="B123" s="206"/>
      <c r="C123" s="206" t="s">
        <v>142</v>
      </c>
      <c r="D123" s="105">
        <v>95363.487999999998</v>
      </c>
      <c r="E123" s="113"/>
      <c r="F123" s="105">
        <v>94062.019050000003</v>
      </c>
      <c r="G123" s="113"/>
    </row>
    <row r="124" spans="1:7" s="62" customFormat="1">
      <c r="A124" s="212">
        <v>145</v>
      </c>
      <c r="B124" s="206"/>
      <c r="C124" s="206" t="s">
        <v>143</v>
      </c>
      <c r="D124" s="105">
        <v>22555.53</v>
      </c>
      <c r="E124" s="210"/>
      <c r="F124" s="105">
        <v>22955.53</v>
      </c>
      <c r="G124" s="210"/>
    </row>
    <row r="125" spans="1:7" s="62" customFormat="1">
      <c r="A125" s="212">
        <v>146</v>
      </c>
      <c r="B125" s="206"/>
      <c r="C125" s="206" t="s">
        <v>350</v>
      </c>
      <c r="D125" s="105">
        <v>135150.94570000001</v>
      </c>
      <c r="E125" s="210"/>
      <c r="F125" s="105">
        <v>124529.40459999999</v>
      </c>
      <c r="G125" s="210"/>
    </row>
    <row r="126" spans="1:7" s="203" customFormat="1" ht="29.5" customHeight="1">
      <c r="A126" s="262" t="s">
        <v>468</v>
      </c>
      <c r="B126" s="263"/>
      <c r="C126" s="263" t="s">
        <v>351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352</v>
      </c>
      <c r="D127" s="105">
        <v>0</v>
      </c>
      <c r="E127" s="210"/>
      <c r="F127" s="105">
        <v>0</v>
      </c>
      <c r="G127" s="210"/>
    </row>
    <row r="128" spans="1:7" s="203" customFormat="1" ht="14">
      <c r="A128" s="262">
        <v>1485</v>
      </c>
      <c r="B128" s="263"/>
      <c r="C128" s="263" t="s">
        <v>353</v>
      </c>
      <c r="D128" s="117">
        <v>0</v>
      </c>
      <c r="E128" s="276"/>
      <c r="F128" s="117">
        <v>0</v>
      </c>
      <c r="G128" s="276"/>
    </row>
    <row r="129" spans="1:7" s="203" customFormat="1" ht="28">
      <c r="A129" s="262">
        <v>1486</v>
      </c>
      <c r="B129" s="263"/>
      <c r="C129" s="263" t="s">
        <v>354</v>
      </c>
      <c r="D129" s="117">
        <v>0</v>
      </c>
      <c r="E129" s="276"/>
      <c r="F129" s="117">
        <v>0</v>
      </c>
      <c r="G129" s="276"/>
    </row>
    <row r="130" spans="1:7" s="203" customFormat="1" ht="14">
      <c r="A130" s="304">
        <v>1489</v>
      </c>
      <c r="B130" s="305"/>
      <c r="C130" s="305" t="s">
        <v>355</v>
      </c>
      <c r="D130" s="278">
        <v>0</v>
      </c>
      <c r="E130" s="306"/>
      <c r="F130" s="278">
        <v>0</v>
      </c>
      <c r="G130" s="306"/>
    </row>
    <row r="131" spans="1:7">
      <c r="A131" s="13">
        <v>1</v>
      </c>
      <c r="B131" s="14"/>
      <c r="C131" s="13" t="s">
        <v>71</v>
      </c>
      <c r="D131" s="18">
        <f t="shared" ref="D131:E131" si="34">D111+D121</f>
        <v>702370.89339999994</v>
      </c>
      <c r="E131" s="18">
        <f t="shared" si="34"/>
        <v>0</v>
      </c>
      <c r="F131" s="18">
        <f t="shared" ref="F131:G131" si="35">F111+F121</f>
        <v>732358.35533000005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72</v>
      </c>
      <c r="D133" s="338">
        <f t="shared" ref="D133:E133" si="36">D134+D140</f>
        <v>486016.86059</v>
      </c>
      <c r="E133" s="339">
        <f t="shared" si="36"/>
        <v>0</v>
      </c>
      <c r="F133" s="338">
        <f t="shared" ref="F133:G133" si="37">F134+F140</f>
        <v>565681.58682999993</v>
      </c>
      <c r="G133" s="339">
        <f t="shared" si="37"/>
        <v>0</v>
      </c>
    </row>
    <row r="134" spans="1:7" s="62" customFormat="1">
      <c r="A134" s="257" t="s">
        <v>286</v>
      </c>
      <c r="B134" s="255"/>
      <c r="C134" s="255" t="s">
        <v>356</v>
      </c>
      <c r="D134" s="336">
        <f t="shared" ref="D134:E134" si="38">D135+D136+D138+D139</f>
        <v>199697.49333999999</v>
      </c>
      <c r="E134" s="337">
        <f t="shared" si="38"/>
        <v>0</v>
      </c>
      <c r="F134" s="336">
        <f t="shared" ref="F134:G134" si="39">F135+F136+F138+F139</f>
        <v>276695.38517999998</v>
      </c>
      <c r="G134" s="337">
        <f t="shared" si="39"/>
        <v>0</v>
      </c>
    </row>
    <row r="135" spans="1:7" s="63" customFormat="1">
      <c r="A135" s="208">
        <v>200</v>
      </c>
      <c r="B135" s="206"/>
      <c r="C135" s="206" t="s">
        <v>73</v>
      </c>
      <c r="D135" s="105">
        <v>67196.03976</v>
      </c>
      <c r="E135" s="113"/>
      <c r="F135" s="105">
        <v>76058.197549999997</v>
      </c>
      <c r="G135" s="113"/>
    </row>
    <row r="136" spans="1:7" s="63" customFormat="1">
      <c r="A136" s="208">
        <v>201</v>
      </c>
      <c r="B136" s="206"/>
      <c r="C136" s="206" t="s">
        <v>357</v>
      </c>
      <c r="D136" s="105">
        <v>91226.009659999996</v>
      </c>
      <c r="E136" s="113"/>
      <c r="F136" s="105">
        <v>112126.44635</v>
      </c>
      <c r="G136" s="113"/>
    </row>
    <row r="137" spans="1:7" s="63" customFormat="1">
      <c r="A137" s="204" t="s">
        <v>110</v>
      </c>
      <c r="B137" s="205"/>
      <c r="C137" s="205" t="s">
        <v>112</v>
      </c>
      <c r="D137" s="150">
        <v>0</v>
      </c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358</v>
      </c>
      <c r="D138" s="105">
        <v>32127.207719999999</v>
      </c>
      <c r="E138" s="210"/>
      <c r="F138" s="105">
        <v>38844.04808</v>
      </c>
      <c r="G138" s="210"/>
    </row>
    <row r="139" spans="1:7" s="63" customFormat="1">
      <c r="A139" s="208">
        <v>205</v>
      </c>
      <c r="B139" s="206"/>
      <c r="C139" s="206" t="s">
        <v>359</v>
      </c>
      <c r="D139" s="105">
        <v>9148.2361999999994</v>
      </c>
      <c r="E139" s="210"/>
      <c r="F139" s="105">
        <v>49666.693200000002</v>
      </c>
      <c r="G139" s="210"/>
    </row>
    <row r="140" spans="1:7" s="63" customFormat="1">
      <c r="A140" s="257" t="s">
        <v>287</v>
      </c>
      <c r="B140" s="255"/>
      <c r="C140" s="255" t="s">
        <v>360</v>
      </c>
      <c r="D140" s="336">
        <f t="shared" ref="D140:E140" si="40">D141+D143+D144</f>
        <v>286319.36725000001</v>
      </c>
      <c r="E140" s="337">
        <f t="shared" si="40"/>
        <v>0</v>
      </c>
      <c r="F140" s="336">
        <f t="shared" ref="F140:G140" si="41">F141+F143+F144</f>
        <v>288986.20165</v>
      </c>
      <c r="G140" s="337">
        <f t="shared" si="41"/>
        <v>0</v>
      </c>
    </row>
    <row r="141" spans="1:7" s="63" customFormat="1">
      <c r="A141" s="208">
        <v>206</v>
      </c>
      <c r="B141" s="206"/>
      <c r="C141" s="206" t="s">
        <v>74</v>
      </c>
      <c r="D141" s="105">
        <v>280915.87378999998</v>
      </c>
      <c r="E141" s="210"/>
      <c r="F141" s="105">
        <v>283552.73463999998</v>
      </c>
      <c r="G141" s="210"/>
    </row>
    <row r="142" spans="1:7" s="63" customFormat="1">
      <c r="A142" s="204" t="s">
        <v>111</v>
      </c>
      <c r="B142" s="205"/>
      <c r="C142" s="205" t="s">
        <v>113</v>
      </c>
      <c r="D142" s="150">
        <v>0</v>
      </c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362</v>
      </c>
      <c r="D143" s="105">
        <v>0</v>
      </c>
      <c r="E143" s="210"/>
      <c r="F143" s="105">
        <v>0</v>
      </c>
      <c r="G143" s="210"/>
    </row>
    <row r="144" spans="1:7" s="64" customFormat="1" ht="28">
      <c r="A144" s="262">
        <v>209</v>
      </c>
      <c r="B144" s="263"/>
      <c r="C144" s="263" t="s">
        <v>361</v>
      </c>
      <c r="D144" s="117">
        <v>5403.4934599999997</v>
      </c>
      <c r="E144" s="276"/>
      <c r="F144" s="117">
        <v>5433.4670100000003</v>
      </c>
      <c r="G144" s="276"/>
    </row>
    <row r="145" spans="1:7" s="62" customFormat="1">
      <c r="A145" s="257">
        <v>29</v>
      </c>
      <c r="B145" s="255"/>
      <c r="C145" s="255" t="s">
        <v>75</v>
      </c>
      <c r="D145" s="209">
        <v>216354.03281</v>
      </c>
      <c r="E145" s="210"/>
      <c r="F145" s="209">
        <v>166676.76850000001</v>
      </c>
      <c r="G145" s="210"/>
    </row>
    <row r="146" spans="1:7" s="62" customFormat="1">
      <c r="A146" s="211" t="s">
        <v>192</v>
      </c>
      <c r="B146" s="207"/>
      <c r="C146" s="207" t="s">
        <v>193</v>
      </c>
      <c r="D146" s="169">
        <v>201432.01172000001</v>
      </c>
      <c r="E146" s="174"/>
      <c r="F146" s="169">
        <v>157475.71825999999</v>
      </c>
      <c r="G146" s="174"/>
    </row>
    <row r="147" spans="1:7">
      <c r="A147" s="13">
        <v>2</v>
      </c>
      <c r="B147" s="14"/>
      <c r="C147" s="13" t="s">
        <v>76</v>
      </c>
      <c r="D147" s="18">
        <f>D133+D145</f>
        <v>702370.89339999994</v>
      </c>
      <c r="E147" s="18">
        <f>E133+E145</f>
        <v>0</v>
      </c>
      <c r="F147" s="18">
        <f>F133+F145</f>
        <v>732358.35532999993</v>
      </c>
      <c r="G147" s="18">
        <f>G133+G145</f>
        <v>0</v>
      </c>
    </row>
    <row r="148" spans="1:7" ht="7.5" customHeight="1"/>
    <row r="149" spans="1:7" ht="13.5" customHeight="1">
      <c r="A149" s="20" t="s">
        <v>140</v>
      </c>
      <c r="B149" s="19"/>
      <c r="C149" s="38"/>
      <c r="D149" s="19"/>
      <c r="E149" s="19"/>
      <c r="F149" s="19"/>
      <c r="G149" s="19"/>
    </row>
    <row r="150" spans="1:7">
      <c r="A150" s="325" t="s">
        <v>422</v>
      </c>
      <c r="B150" s="307"/>
      <c r="C150" s="307" t="s">
        <v>155</v>
      </c>
      <c r="D150" s="55">
        <f t="shared" ref="D150:E150" si="42">D77+SUM(D8:D12)-D30-D31+D16-D33+D59+D63-D73+D64-D74-D54+D20-D35</f>
        <v>36177.805490000086</v>
      </c>
      <c r="E150" s="55">
        <f t="shared" si="42"/>
        <v>38024.6</v>
      </c>
      <c r="F150" s="55">
        <f t="shared" ref="F150:G150" si="43">F77+SUM(F8:F12)-F30-F31+F16-F33+F59+F63-F73+F64-F74-F54+F20-F35</f>
        <v>30456.142309999959</v>
      </c>
      <c r="G150" s="55">
        <f t="shared" si="43"/>
        <v>28755.900000000096</v>
      </c>
    </row>
    <row r="151" spans="1:7">
      <c r="A151" s="326" t="s">
        <v>423</v>
      </c>
      <c r="B151" s="308"/>
      <c r="C151" s="308" t="s">
        <v>156</v>
      </c>
      <c r="D151" s="258">
        <f t="shared" ref="D151:E151" si="44">IF(D177=0,0,D150/D177)</f>
        <v>4.9149902663690466E-2</v>
      </c>
      <c r="E151" s="258">
        <f t="shared" si="44"/>
        <v>4.9951702993310927E-2</v>
      </c>
      <c r="F151" s="258">
        <f t="shared" ref="F151:G151" si="45">IF(F177=0,0,F150/F177)</f>
        <v>3.9681951149035395E-2</v>
      </c>
      <c r="G151" s="258">
        <f t="shared" si="45"/>
        <v>3.6457975431732466E-2</v>
      </c>
    </row>
    <row r="152" spans="1:7" s="251" customFormat="1" ht="28">
      <c r="A152" s="58" t="s">
        <v>424</v>
      </c>
      <c r="B152" s="309"/>
      <c r="C152" s="309" t="s">
        <v>157</v>
      </c>
      <c r="D152" s="242">
        <f t="shared" ref="D152:E152" si="46">IF(D107=0,0,D150/D107)</f>
        <v>0.95600014935013056</v>
      </c>
      <c r="E152" s="242">
        <f t="shared" si="46"/>
        <v>0.99077610960274731</v>
      </c>
      <c r="F152" s="242">
        <f t="shared" ref="F152:G152" si="47">IF(F107=0,0,F150/F107)</f>
        <v>0.80414920053927852</v>
      </c>
      <c r="G152" s="242">
        <f t="shared" si="47"/>
        <v>0.74334423347852752</v>
      </c>
    </row>
    <row r="153" spans="1:7" s="251" customFormat="1" ht="28">
      <c r="A153" s="57" t="s">
        <v>424</v>
      </c>
      <c r="B153" s="310"/>
      <c r="C153" s="310" t="s">
        <v>159</v>
      </c>
      <c r="D153" s="245">
        <f t="shared" ref="D153:E153" si="48">IF(0=D108,0,D150/D108)</f>
        <v>0.92154630403776527</v>
      </c>
      <c r="E153" s="245">
        <f t="shared" si="48"/>
        <v>0.95714030402267469</v>
      </c>
      <c r="F153" s="245">
        <f t="shared" ref="F153:G153" si="49">IF(0=F108,0,F150/F108)</f>
        <v>0.78230436930773894</v>
      </c>
      <c r="G153" s="245">
        <f t="shared" si="49"/>
        <v>0.71274649772463883</v>
      </c>
    </row>
    <row r="154" spans="1:7" ht="28">
      <c r="A154" s="60" t="s">
        <v>443</v>
      </c>
      <c r="B154" s="311"/>
      <c r="C154" s="311" t="s">
        <v>158</v>
      </c>
      <c r="D154" s="56">
        <f t="shared" ref="D154:E154" si="50">D150-D107</f>
        <v>-1665.0813699999053</v>
      </c>
      <c r="E154" s="56">
        <f t="shared" si="50"/>
        <v>-354</v>
      </c>
      <c r="F154" s="56">
        <f t="shared" ref="F154:G154" si="51">F150-F107</f>
        <v>-7417.603370000048</v>
      </c>
      <c r="G154" s="56">
        <f t="shared" si="51"/>
        <v>-9928.599999999904</v>
      </c>
    </row>
    <row r="155" spans="1:7" ht="27.5" customHeight="1">
      <c r="A155" s="57" t="s">
        <v>444</v>
      </c>
      <c r="B155" s="310"/>
      <c r="C155" s="310" t="s">
        <v>160</v>
      </c>
      <c r="D155" s="59">
        <f t="shared" ref="D155:E155" si="52">D150-D108</f>
        <v>-3079.9131199999028</v>
      </c>
      <c r="E155" s="59">
        <f t="shared" si="52"/>
        <v>-1702.6999999999971</v>
      </c>
      <c r="F155" s="59">
        <f t="shared" ref="F155:G155" si="53">F150-F108</f>
        <v>-8475.1784200000475</v>
      </c>
      <c r="G155" s="59">
        <f t="shared" si="53"/>
        <v>-11589.299999999901</v>
      </c>
    </row>
    <row r="156" spans="1:7">
      <c r="A156" s="325" t="s">
        <v>425</v>
      </c>
      <c r="B156" s="307"/>
      <c r="C156" s="307" t="s">
        <v>77</v>
      </c>
      <c r="D156" s="47">
        <f t="shared" ref="D156:E156" si="54">D135+D136-D137+D141-D142</f>
        <v>439337.92320999998</v>
      </c>
      <c r="E156" s="47">
        <f t="shared" si="54"/>
        <v>0</v>
      </c>
      <c r="F156" s="47">
        <f t="shared" ref="F156:G156" si="55">F135+F136-F137+F141-F142</f>
        <v>471737.37853999995</v>
      </c>
      <c r="G156" s="47">
        <f t="shared" si="55"/>
        <v>0</v>
      </c>
    </row>
    <row r="157" spans="1:7">
      <c r="A157" s="327" t="s">
        <v>426</v>
      </c>
      <c r="B157" s="319"/>
      <c r="C157" s="319" t="s">
        <v>122</v>
      </c>
      <c r="D157" s="241">
        <f t="shared" ref="D157:E157" si="56">IF(D177=0,0,D156/D177)</f>
        <v>0.5968691541616048</v>
      </c>
      <c r="E157" s="241">
        <f t="shared" si="56"/>
        <v>0</v>
      </c>
      <c r="F157" s="241">
        <f t="shared" ref="F157:G157" si="57">IF(F177=0,0,F156/F177)</f>
        <v>0.61463659513608049</v>
      </c>
      <c r="G157" s="241">
        <f t="shared" si="57"/>
        <v>0</v>
      </c>
    </row>
    <row r="158" spans="1:7">
      <c r="A158" s="325" t="s">
        <v>427</v>
      </c>
      <c r="B158" s="307"/>
      <c r="C158" s="307" t="s">
        <v>445</v>
      </c>
      <c r="D158" s="47">
        <f t="shared" ref="D158:E158" si="58">D133-D142-D111</f>
        <v>254564.06028000001</v>
      </c>
      <c r="E158" s="47">
        <f t="shared" si="58"/>
        <v>0</v>
      </c>
      <c r="F158" s="47">
        <f t="shared" ref="F158:G158" si="59">F133-F142-F111</f>
        <v>304667.69236999995</v>
      </c>
      <c r="G158" s="47">
        <f t="shared" si="59"/>
        <v>0</v>
      </c>
    </row>
    <row r="159" spans="1:7">
      <c r="A159" s="326" t="s">
        <v>428</v>
      </c>
      <c r="B159" s="308"/>
      <c r="C159" s="308" t="s">
        <v>446</v>
      </c>
      <c r="D159" s="40">
        <f t="shared" ref="D159:E159" si="60">D121-D123-D124-D142-D145</f>
        <v>136645.04227999994</v>
      </c>
      <c r="E159" s="40">
        <f t="shared" si="60"/>
        <v>0</v>
      </c>
      <c r="F159" s="40">
        <f t="shared" ref="F159:G159" si="61">F121-F123-F124-F142-F145</f>
        <v>187650.14332000003</v>
      </c>
      <c r="G159" s="40">
        <f t="shared" si="61"/>
        <v>0</v>
      </c>
    </row>
    <row r="160" spans="1:7">
      <c r="A160" s="326" t="s">
        <v>429</v>
      </c>
      <c r="B160" s="308"/>
      <c r="C160" s="308" t="s">
        <v>123</v>
      </c>
      <c r="D160" s="240">
        <f t="shared" ref="D160:E160" si="62">IF(D175=0,"-",1000*D158/D175)</f>
        <v>3588.3406202249726</v>
      </c>
      <c r="E160" s="240">
        <f t="shared" si="62"/>
        <v>0</v>
      </c>
      <c r="F160" s="240">
        <f t="shared" ref="F160:G160" si="63">IF(F175=0,"-",1000*F158/F175)</f>
        <v>4248.4304431553546</v>
      </c>
      <c r="G160" s="240">
        <f t="shared" si="63"/>
        <v>0</v>
      </c>
    </row>
    <row r="161" spans="1:7">
      <c r="A161" s="326" t="s">
        <v>429</v>
      </c>
      <c r="B161" s="308"/>
      <c r="C161" s="308" t="s">
        <v>124</v>
      </c>
      <c r="D161" s="40">
        <f t="shared" ref="D161:E161" si="64">IF(D175=0,0,1000*(D159/D175))</f>
        <v>1926.1515361844879</v>
      </c>
      <c r="E161" s="40">
        <f t="shared" si="64"/>
        <v>0</v>
      </c>
      <c r="F161" s="40">
        <f t="shared" ref="F161:G161" si="65">IF(F175=0,0,1000*(F159/F175))</f>
        <v>2616.6823772537759</v>
      </c>
      <c r="G161" s="40">
        <f t="shared" si="65"/>
        <v>0</v>
      </c>
    </row>
    <row r="162" spans="1:7">
      <c r="A162" s="327" t="s">
        <v>430</v>
      </c>
      <c r="B162" s="319"/>
      <c r="C162" s="319" t="s">
        <v>125</v>
      </c>
      <c r="D162" s="241">
        <f t="shared" ref="D162:E162" si="66">IF((D22+D23+D65+D66)=0,0,D158/(D22+D23+D65+D66))</f>
        <v>0.81641973481035457</v>
      </c>
      <c r="E162" s="241">
        <f t="shared" si="66"/>
        <v>0</v>
      </c>
      <c r="F162" s="241">
        <f t="shared" ref="F162:G162" si="67">IF((F22+F23+F65+F66)=0,0,F158/(F22+F23+F65+F66))</f>
        <v>0.95829856123193591</v>
      </c>
      <c r="G162" s="241">
        <f t="shared" si="67"/>
        <v>0</v>
      </c>
    </row>
    <row r="163" spans="1:7">
      <c r="A163" s="326" t="s">
        <v>447</v>
      </c>
      <c r="B163" s="308"/>
      <c r="C163" s="308" t="s">
        <v>126</v>
      </c>
      <c r="D163" s="55">
        <f t="shared" ref="D163:E163" si="68">D145</f>
        <v>216354.03281</v>
      </c>
      <c r="E163" s="55">
        <f t="shared" si="68"/>
        <v>0</v>
      </c>
      <c r="F163" s="55">
        <f t="shared" ref="F163:G163" si="69">F145</f>
        <v>166676.76850000001</v>
      </c>
      <c r="G163" s="55">
        <f t="shared" si="69"/>
        <v>0</v>
      </c>
    </row>
    <row r="164" spans="1:7" ht="28">
      <c r="A164" s="57" t="s">
        <v>448</v>
      </c>
      <c r="B164" s="319"/>
      <c r="C164" s="319" t="s">
        <v>127</v>
      </c>
      <c r="D164" s="245">
        <f>IF(D178=0,0,D146/D178)</f>
        <v>0.2710283851775071</v>
      </c>
      <c r="E164" s="245">
        <f>IF(E178=0,0,E146/E178)</f>
        <v>0</v>
      </c>
      <c r="F164" s="245">
        <f>IF(F178=0,0,F146/F178)</f>
        <v>0.20476793734578155</v>
      </c>
      <c r="G164" s="245">
        <f>IF(G178=0,0,G146/G178)</f>
        <v>0</v>
      </c>
    </row>
    <row r="165" spans="1:7">
      <c r="A165" s="328" t="s">
        <v>494</v>
      </c>
      <c r="B165" s="320"/>
      <c r="C165" s="320" t="s">
        <v>128</v>
      </c>
      <c r="D165" s="259">
        <f t="shared" ref="D165:E165" si="70">IF(D177=0,0,D180/D177)</f>
        <v>5.6529295274991911E-2</v>
      </c>
      <c r="E165" s="259">
        <f t="shared" si="70"/>
        <v>5.2509020630237511E-2</v>
      </c>
      <c r="F165" s="259">
        <f t="shared" ref="F165:G165" si="71">IF(F177=0,0,F180/F177)</f>
        <v>5.1508468205294519E-2</v>
      </c>
      <c r="G165" s="259">
        <f t="shared" si="71"/>
        <v>5.1356909302293155E-2</v>
      </c>
    </row>
    <row r="166" spans="1:7">
      <c r="A166" s="326" t="s">
        <v>449</v>
      </c>
      <c r="B166" s="308"/>
      <c r="C166" s="308" t="s">
        <v>451</v>
      </c>
      <c r="D166" s="55">
        <f t="shared" ref="D166:E166" si="72">D55</f>
        <v>3087.9383400000006</v>
      </c>
      <c r="E166" s="55">
        <f t="shared" si="72"/>
        <v>4205.6000000000004</v>
      </c>
      <c r="F166" s="55">
        <f t="shared" ref="F166:G166" si="73">F55</f>
        <v>4207.0094100000006</v>
      </c>
      <c r="G166" s="55">
        <f t="shared" si="73"/>
        <v>2334.1999999999998</v>
      </c>
    </row>
    <row r="167" spans="1:7" s="251" customFormat="1" ht="14">
      <c r="A167" s="57" t="s">
        <v>450</v>
      </c>
      <c r="B167" s="319"/>
      <c r="C167" s="319" t="s">
        <v>129</v>
      </c>
      <c r="D167" s="245">
        <f t="shared" ref="D167:E167" si="74">IF(0=D111,0,(D44+D45+D46+D47+D48)/D111)</f>
        <v>1.7978589001414705E-2</v>
      </c>
      <c r="E167" s="245">
        <f t="shared" si="74"/>
        <v>0</v>
      </c>
      <c r="F167" s="245">
        <f t="shared" ref="F167:G167" si="75">IF(0=F111,0,(F44+F45+F46+F47+F48)/F111)</f>
        <v>1.2468913720984905E-2</v>
      </c>
      <c r="G167" s="245">
        <f t="shared" si="75"/>
        <v>0</v>
      </c>
    </row>
    <row r="168" spans="1:7">
      <c r="A168" s="326" t="s">
        <v>432</v>
      </c>
      <c r="B168" s="307"/>
      <c r="C168" s="307" t="s">
        <v>452</v>
      </c>
      <c r="D168" s="55">
        <f t="shared" ref="D168:E168" si="76">D38-D44</f>
        <v>3119.5145100000004</v>
      </c>
      <c r="E168" s="55">
        <f t="shared" si="76"/>
        <v>2265.3000000000002</v>
      </c>
      <c r="F168" s="55">
        <f t="shared" ref="F168:G168" si="77">F38-F44</f>
        <v>1969.5831099999996</v>
      </c>
      <c r="G168" s="55">
        <f t="shared" si="77"/>
        <v>3923.3</v>
      </c>
    </row>
    <row r="169" spans="1:7">
      <c r="A169" s="327" t="s">
        <v>433</v>
      </c>
      <c r="B169" s="319"/>
      <c r="C169" s="319" t="s">
        <v>130</v>
      </c>
      <c r="D169" s="258">
        <f t="shared" ref="D169:E169" si="78">IF(D177=0,0,D168/D177)</f>
        <v>4.2380634327543812E-3</v>
      </c>
      <c r="E169" s="258">
        <f t="shared" si="78"/>
        <v>2.9758522848563106E-3</v>
      </c>
      <c r="F169" s="258">
        <f t="shared" ref="F169:G169" si="79">IF(F177=0,0,F168/F177)</f>
        <v>2.5662114380560659E-3</v>
      </c>
      <c r="G169" s="258">
        <f t="shared" si="79"/>
        <v>4.9741296572639185E-3</v>
      </c>
    </row>
    <row r="170" spans="1:7">
      <c r="A170" s="326" t="s">
        <v>434</v>
      </c>
      <c r="B170" s="308"/>
      <c r="C170" s="308" t="s">
        <v>453</v>
      </c>
      <c r="D170" s="55">
        <f t="shared" ref="D170:E170" si="80">SUM(D82:D87)+SUM(D89:D94)</f>
        <v>44857.114509999992</v>
      </c>
      <c r="E170" s="55">
        <f t="shared" si="80"/>
        <v>43866.5</v>
      </c>
      <c r="F170" s="55">
        <f t="shared" ref="F170:G170" si="81">SUM(F82:F87)+SUM(F89:F94)</f>
        <v>43973.664680000009</v>
      </c>
      <c r="G170" s="55">
        <f t="shared" si="81"/>
        <v>43665</v>
      </c>
    </row>
    <row r="171" spans="1:7">
      <c r="A171" s="326" t="s">
        <v>435</v>
      </c>
      <c r="B171" s="308"/>
      <c r="C171" s="308" t="s">
        <v>454</v>
      </c>
      <c r="D171" s="40">
        <f t="shared" ref="D171:E171" si="82">SUM(D96:D102)+SUM(D104:D105)</f>
        <v>7014.2276499999998</v>
      </c>
      <c r="E171" s="40">
        <f t="shared" si="82"/>
        <v>5487.9</v>
      </c>
      <c r="F171" s="40">
        <f t="shared" ref="F171:G171" si="83">SUM(F96:F102)+SUM(F104:F105)</f>
        <v>6099.9190000000008</v>
      </c>
      <c r="G171" s="40">
        <f t="shared" si="83"/>
        <v>4980.5</v>
      </c>
    </row>
    <row r="172" spans="1:7">
      <c r="A172" s="328" t="s">
        <v>431</v>
      </c>
      <c r="B172" s="320"/>
      <c r="C172" s="320" t="s">
        <v>131</v>
      </c>
      <c r="D172" s="259">
        <f t="shared" ref="D172:E172" si="84">IF(D184=0,0,D170/D184)</f>
        <v>6.0597657329160191E-2</v>
      </c>
      <c r="E172" s="259">
        <f t="shared" si="84"/>
        <v>5.7955055155498272E-2</v>
      </c>
      <c r="F172" s="259">
        <f t="shared" ref="F172:G172" si="85">IF(F184=0,0,F170/F184)</f>
        <v>5.7364748436212143E-2</v>
      </c>
      <c r="G172" s="259">
        <f t="shared" si="85"/>
        <v>5.5192423299405977E-2</v>
      </c>
    </row>
    <row r="173" spans="1:7">
      <c r="A173" s="61"/>
    </row>
    <row r="174" spans="1:7">
      <c r="A174" s="235" t="s">
        <v>114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436</v>
      </c>
      <c r="B175" s="23"/>
      <c r="C175" s="23" t="s">
        <v>189</v>
      </c>
      <c r="D175" s="39">
        <v>70942</v>
      </c>
      <c r="E175" s="342">
        <v>70926</v>
      </c>
      <c r="F175" s="343">
        <v>71713</v>
      </c>
      <c r="G175" s="342">
        <v>72000</v>
      </c>
    </row>
    <row r="176" spans="1:7">
      <c r="A176" s="235" t="s">
        <v>455</v>
      </c>
      <c r="B176" s="23"/>
      <c r="C176" s="23"/>
      <c r="D176" s="23"/>
      <c r="E176" s="23"/>
      <c r="F176" s="23"/>
      <c r="G176" s="23"/>
    </row>
    <row r="177" spans="1:7">
      <c r="A177" s="236" t="s">
        <v>437</v>
      </c>
      <c r="B177" s="23"/>
      <c r="C177" s="23" t="s">
        <v>459</v>
      </c>
      <c r="D177" s="39">
        <f t="shared" ref="D177:E177" si="86">SUM(D22:D32)+SUM(D44:D53)+SUM(D65:D72)+D75</f>
        <v>736070.74540000001</v>
      </c>
      <c r="E177" s="39">
        <f t="shared" si="86"/>
        <v>761227.3</v>
      </c>
      <c r="F177" s="39">
        <f t="shared" ref="F177:G177" si="87">SUM(F22:F32)+SUM(F44:F53)+SUM(F65:F72)+F75</f>
        <v>767506.16913000005</v>
      </c>
      <c r="G177" s="39">
        <f t="shared" si="87"/>
        <v>788741</v>
      </c>
    </row>
    <row r="178" spans="1:7">
      <c r="A178" s="236" t="s">
        <v>438</v>
      </c>
      <c r="B178" s="23"/>
      <c r="C178" s="23" t="s">
        <v>458</v>
      </c>
      <c r="D178" s="39">
        <f t="shared" ref="D178:E178" si="88">D78-D17-D20-D59-D63-D64</f>
        <v>743213.71020999993</v>
      </c>
      <c r="E178" s="39">
        <f t="shared" si="88"/>
        <v>760500.20000000007</v>
      </c>
      <c r="F178" s="39">
        <f t="shared" ref="F178:G178" si="89">F78-F17-F20-F59-F63-F64</f>
        <v>769044.80409000011</v>
      </c>
      <c r="G178" s="39">
        <f t="shared" si="89"/>
        <v>794189.2</v>
      </c>
    </row>
    <row r="179" spans="1:7">
      <c r="A179" s="236"/>
      <c r="B179" s="23"/>
      <c r="C179" s="23" t="s">
        <v>456</v>
      </c>
      <c r="D179" s="39">
        <f t="shared" ref="D179:E179" si="90">D178+D170</f>
        <v>788070.82471999992</v>
      </c>
      <c r="E179" s="39">
        <f t="shared" si="90"/>
        <v>804366.70000000007</v>
      </c>
      <c r="F179" s="39">
        <f t="shared" ref="F179:G179" si="91">F178+F170</f>
        <v>813018.46877000015</v>
      </c>
      <c r="G179" s="39">
        <f t="shared" si="91"/>
        <v>837854.2</v>
      </c>
    </row>
    <row r="180" spans="1:7">
      <c r="A180" s="236" t="s">
        <v>439</v>
      </c>
      <c r="B180" s="23"/>
      <c r="C180" s="23" t="s">
        <v>457</v>
      </c>
      <c r="D180" s="39">
        <f t="shared" ref="D180:E180" si="92">D38-D44+D8+D9+D10+D16-D33</f>
        <v>41609.560509999996</v>
      </c>
      <c r="E180" s="39">
        <f t="shared" si="92"/>
        <v>39971.300000000003</v>
      </c>
      <c r="F180" s="39">
        <f t="shared" ref="F180:G180" si="93">F38-F44+F8+F9+F10+F16-F33</f>
        <v>39533.067110000004</v>
      </c>
      <c r="G180" s="39">
        <f t="shared" si="93"/>
        <v>40507.300000000003</v>
      </c>
    </row>
    <row r="181" spans="1:7" ht="27.5" customHeight="1">
      <c r="A181" s="239" t="s">
        <v>460</v>
      </c>
      <c r="B181" s="71"/>
      <c r="C181" s="71" t="s">
        <v>462</v>
      </c>
      <c r="D181" s="73">
        <f t="shared" ref="D181:E181" si="94">D22+D23+D24+D25+D26+D29+SUM(D44:D47)+SUM(D49:D53)-D54+D32-D33+SUM(D65:D70)+D72</f>
        <v>731424.13437999994</v>
      </c>
      <c r="E181" s="73">
        <f t="shared" si="94"/>
        <v>751043.10000000009</v>
      </c>
      <c r="F181" s="73">
        <f t="shared" ref="F181:G181" si="95">F22+F23+F24+F25+F26+F29+SUM(F44:F47)+SUM(F49:F53)-F54+F32-F33+SUM(F65:F70)+F72</f>
        <v>753030.75717</v>
      </c>
      <c r="G181" s="73">
        <f t="shared" si="95"/>
        <v>776212.1</v>
      </c>
    </row>
    <row r="182" spans="1:7">
      <c r="A182" s="237" t="s">
        <v>440</v>
      </c>
      <c r="B182" s="71"/>
      <c r="C182" s="71" t="s">
        <v>461</v>
      </c>
      <c r="D182" s="73">
        <f t="shared" ref="D182:E182" si="96">D181+D171</f>
        <v>738438.36202999996</v>
      </c>
      <c r="E182" s="73">
        <f t="shared" si="96"/>
        <v>756531.00000000012</v>
      </c>
      <c r="F182" s="73">
        <f t="shared" ref="F182:G182" si="97">F181+F171</f>
        <v>759130.67616999999</v>
      </c>
      <c r="G182" s="73">
        <f t="shared" si="97"/>
        <v>781192.6</v>
      </c>
    </row>
    <row r="183" spans="1:7">
      <c r="A183" s="237" t="s">
        <v>441</v>
      </c>
      <c r="B183" s="71"/>
      <c r="C183" s="71" t="s">
        <v>492</v>
      </c>
      <c r="D183" s="73">
        <f t="shared" ref="D183:E183" si="98">D4+D5-D7+D38+D39+D40+D41+D43+D13-D16+D57+D58+D60+D61+D62</f>
        <v>695387.91288999992</v>
      </c>
      <c r="E183" s="73">
        <f t="shared" si="98"/>
        <v>713039</v>
      </c>
      <c r="F183" s="73">
        <f t="shared" ref="F183:G183" si="99">F4+F5-F7+F38+F39+F40+F41+F43+F13-F16+F57+F58+F60+F61+F62</f>
        <v>722588.83021000004</v>
      </c>
      <c r="G183" s="73">
        <f t="shared" si="99"/>
        <v>747476.2</v>
      </c>
    </row>
    <row r="184" spans="1:7">
      <c r="A184" s="237" t="s">
        <v>442</v>
      </c>
      <c r="B184" s="71"/>
      <c r="C184" s="71" t="s">
        <v>463</v>
      </c>
      <c r="D184" s="73">
        <f t="shared" ref="D184:E184" si="100">D183+D170</f>
        <v>740245.0273999999</v>
      </c>
      <c r="E184" s="73">
        <f t="shared" si="100"/>
        <v>756905.5</v>
      </c>
      <c r="F184" s="73">
        <f t="shared" ref="F184:G184" si="101">F183+F170</f>
        <v>766562.49489000009</v>
      </c>
      <c r="G184" s="73">
        <f t="shared" si="101"/>
        <v>791141.2</v>
      </c>
    </row>
    <row r="185" spans="1:7">
      <c r="A185" s="237"/>
      <c r="B185" s="71"/>
      <c r="C185" s="71" t="s">
        <v>464</v>
      </c>
      <c r="D185" s="73">
        <f t="shared" ref="D185:E185" si="102">D181-D183</f>
        <v>36036.221490000025</v>
      </c>
      <c r="E185" s="73">
        <f t="shared" si="102"/>
        <v>38004.100000000093</v>
      </c>
      <c r="F185" s="73">
        <f t="shared" ref="F185:G185" si="103">F181-F183</f>
        <v>30441.926959999953</v>
      </c>
      <c r="G185" s="73">
        <f t="shared" si="103"/>
        <v>28735.900000000023</v>
      </c>
    </row>
    <row r="186" spans="1:7">
      <c r="A186" s="237"/>
      <c r="B186" s="71"/>
      <c r="C186" s="71" t="s">
        <v>465</v>
      </c>
      <c r="D186" s="73">
        <f t="shared" ref="D186:E186" si="104">D182-D184</f>
        <v>-1806.6653699999442</v>
      </c>
      <c r="E186" s="73">
        <f t="shared" si="104"/>
        <v>-374.49999999988358</v>
      </c>
      <c r="F186" s="73">
        <f t="shared" ref="F186:G186" si="105">F182-F184</f>
        <v>-7431.8187200000975</v>
      </c>
      <c r="G186" s="73">
        <f t="shared" si="105"/>
        <v>-9948.5999999999767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I38"/>
  <sheetViews>
    <sheetView workbookViewId="0">
      <pane ySplit="8" topLeftCell="A9" activePane="bottomLeft" state="frozen"/>
      <selection activeCell="K44" sqref="K44:N48"/>
      <selection pane="bottomLeft" activeCell="G8" sqref="G8"/>
    </sheetView>
  </sheetViews>
  <sheetFormatPr baseColWidth="10" defaultColWidth="11.5" defaultRowHeight="13"/>
  <cols>
    <col min="1" max="1" width="27.83203125" style="457" customWidth="1"/>
    <col min="2" max="2" width="14.1640625" style="457" customWidth="1"/>
    <col min="3" max="3" width="15.5" style="457" customWidth="1"/>
    <col min="4" max="4" width="15.6640625" style="457" customWidth="1"/>
    <col min="5" max="5" width="21.33203125" style="457" customWidth="1"/>
    <col min="6" max="6" width="2.1640625" style="457" customWidth="1"/>
    <col min="7" max="7" width="11.5" style="457"/>
    <col min="8" max="8" width="14.33203125" style="457" bestFit="1" customWidth="1"/>
    <col min="9" max="9" width="12.5" style="457" bestFit="1" customWidth="1"/>
    <col min="10" max="16384" width="11.5" style="457"/>
  </cols>
  <sheetData>
    <row r="1" spans="1:8">
      <c r="B1" s="458"/>
      <c r="C1" s="458"/>
      <c r="D1" s="458"/>
      <c r="E1" s="458"/>
      <c r="F1" s="458"/>
    </row>
    <row r="2" spans="1:8" ht="16">
      <c r="A2" s="459" t="s">
        <v>679</v>
      </c>
      <c r="H2" s="457" t="s">
        <v>588</v>
      </c>
    </row>
    <row r="3" spans="1:8" ht="16">
      <c r="A3" s="459" t="s">
        <v>680</v>
      </c>
      <c r="B3" s="458"/>
      <c r="C3" s="458"/>
      <c r="D3" s="458"/>
      <c r="E3" s="458"/>
      <c r="F3" s="458"/>
      <c r="H3" s="457" t="s">
        <v>634</v>
      </c>
    </row>
    <row r="4" spans="1:8">
      <c r="A4" s="460" t="s">
        <v>506</v>
      </c>
      <c r="B4" s="461" t="s">
        <v>642</v>
      </c>
      <c r="C4" s="461" t="s">
        <v>145</v>
      </c>
      <c r="D4" s="461" t="s">
        <v>643</v>
      </c>
      <c r="E4" s="462" t="s">
        <v>585</v>
      </c>
    </row>
    <row r="5" spans="1:8">
      <c r="A5" s="463" t="s">
        <v>644</v>
      </c>
      <c r="B5" s="464" t="s">
        <v>645</v>
      </c>
      <c r="C5" s="464" t="s">
        <v>68</v>
      </c>
      <c r="D5" s="464" t="s">
        <v>646</v>
      </c>
      <c r="E5" s="465" t="s">
        <v>629</v>
      </c>
      <c r="F5" s="466"/>
    </row>
    <row r="6" spans="1:8">
      <c r="A6" s="467"/>
      <c r="B6" s="468" t="s">
        <v>647</v>
      </c>
      <c r="C6" s="468"/>
      <c r="D6" s="469"/>
      <c r="E6" s="470"/>
      <c r="F6" s="466"/>
    </row>
    <row r="7" spans="1:8" ht="16">
      <c r="A7" s="471"/>
      <c r="B7" s="472" t="s">
        <v>648</v>
      </c>
      <c r="C7" s="473"/>
      <c r="D7" s="473"/>
      <c r="E7" s="474"/>
      <c r="F7" s="475"/>
    </row>
    <row r="8" spans="1:8" s="479" customFormat="1" ht="22" customHeight="1">
      <c r="A8" s="476" t="s">
        <v>681</v>
      </c>
      <c r="B8" s="477">
        <v>105626.64999999851</v>
      </c>
      <c r="C8" s="477">
        <v>518609</v>
      </c>
      <c r="D8" s="477">
        <v>243125.77999999851</v>
      </c>
      <c r="E8" s="478">
        <v>1.4688036266242941</v>
      </c>
      <c r="F8" s="475"/>
    </row>
    <row r="9" spans="1:8" s="479" customFormat="1" ht="22" customHeight="1">
      <c r="A9" s="476" t="s">
        <v>507</v>
      </c>
      <c r="B9" s="480">
        <v>-188921.67879999988</v>
      </c>
      <c r="C9" s="480">
        <v>837701.94354999997</v>
      </c>
      <c r="D9" s="480">
        <v>-429572.74155999994</v>
      </c>
      <c r="E9" s="478">
        <v>0.48720097301008591</v>
      </c>
      <c r="F9" s="475"/>
    </row>
    <row r="10" spans="1:8" s="479" customFormat="1" ht="22" customHeight="1">
      <c r="A10" s="476" t="s">
        <v>682</v>
      </c>
      <c r="B10" s="480">
        <v>-57390.922699999996</v>
      </c>
      <c r="C10" s="480">
        <v>139908.67518999998</v>
      </c>
      <c r="D10" s="480">
        <v>-62256.66088999997</v>
      </c>
      <c r="E10" s="478">
        <v>0.55501929522630644</v>
      </c>
      <c r="F10" s="475"/>
    </row>
    <row r="11" spans="1:8" s="479" customFormat="1" ht="22" customHeight="1">
      <c r="A11" s="476" t="s">
        <v>683</v>
      </c>
      <c r="B11" s="480">
        <v>4634.9640000000363</v>
      </c>
      <c r="C11" s="480">
        <v>20443.703999999998</v>
      </c>
      <c r="D11" s="480">
        <v>-3566.2469999999594</v>
      </c>
      <c r="E11" s="478">
        <v>0.82555768758929593</v>
      </c>
      <c r="F11" s="475"/>
    </row>
    <row r="12" spans="1:8" s="479" customFormat="1" ht="22" customHeight="1">
      <c r="A12" s="476" t="s">
        <v>510</v>
      </c>
      <c r="B12" s="480">
        <v>-94820</v>
      </c>
      <c r="C12" s="480">
        <v>55308</v>
      </c>
      <c r="D12" s="480">
        <v>-77420</v>
      </c>
      <c r="E12" s="478" t="s">
        <v>587</v>
      </c>
      <c r="F12" s="475"/>
    </row>
    <row r="13" spans="1:8" s="479" customFormat="1" ht="22" customHeight="1">
      <c r="A13" s="476" t="s">
        <v>684</v>
      </c>
      <c r="B13" s="480">
        <v>-2194</v>
      </c>
      <c r="C13" s="480">
        <v>21323</v>
      </c>
      <c r="D13" s="480">
        <v>-15375</v>
      </c>
      <c r="E13" s="478">
        <v>0.27894761525113726</v>
      </c>
      <c r="F13" s="475"/>
    </row>
    <row r="14" spans="1:8" s="479" customFormat="1" ht="22" customHeight="1">
      <c r="A14" s="476" t="s">
        <v>685</v>
      </c>
      <c r="B14" s="480">
        <v>162.85000000003492</v>
      </c>
      <c r="C14" s="480">
        <v>22324.199999999997</v>
      </c>
      <c r="D14" s="480">
        <v>-9322.7499999999636</v>
      </c>
      <c r="E14" s="478">
        <v>0.58239265012856156</v>
      </c>
      <c r="F14" s="475"/>
    </row>
    <row r="15" spans="1:8" s="479" customFormat="1" ht="22" customHeight="1">
      <c r="A15" s="476" t="s">
        <v>686</v>
      </c>
      <c r="B15" s="480">
        <v>706.29999999998836</v>
      </c>
      <c r="C15" s="480">
        <v>13636.999999999998</v>
      </c>
      <c r="D15" s="480">
        <v>3390.9999999999909</v>
      </c>
      <c r="E15" s="478">
        <v>1.2486617291193072</v>
      </c>
      <c r="F15" s="475"/>
    </row>
    <row r="16" spans="1:8" s="479" customFormat="1" ht="22" customHeight="1">
      <c r="A16" s="476" t="s">
        <v>687</v>
      </c>
      <c r="B16" s="480">
        <v>6037.6669999998994</v>
      </c>
      <c r="C16" s="480">
        <v>94167.960999999996</v>
      </c>
      <c r="D16" s="480">
        <v>-19262.454000000085</v>
      </c>
      <c r="E16" s="478">
        <v>0.7954457779966152</v>
      </c>
      <c r="F16" s="475"/>
    </row>
    <row r="17" spans="1:8" s="479" customFormat="1" ht="22" customHeight="1">
      <c r="A17" s="476" t="s">
        <v>688</v>
      </c>
      <c r="B17" s="480">
        <v>10576.800000000279</v>
      </c>
      <c r="C17" s="480">
        <v>110579</v>
      </c>
      <c r="D17" s="480">
        <v>-6480.5999999997148</v>
      </c>
      <c r="E17" s="478">
        <v>0.94139393555738693</v>
      </c>
      <c r="F17" s="475"/>
    </row>
    <row r="18" spans="1:8" s="479" customFormat="1" ht="22" customHeight="1">
      <c r="A18" s="476" t="s">
        <v>689</v>
      </c>
      <c r="B18" s="480">
        <v>-111391.19399999967</v>
      </c>
      <c r="C18" s="480">
        <v>122794.44599999998</v>
      </c>
      <c r="D18" s="480">
        <v>-172566.73999999964</v>
      </c>
      <c r="E18" s="478">
        <v>-0.40533017266920751</v>
      </c>
      <c r="F18" s="475"/>
    </row>
    <row r="19" spans="1:8" s="479" customFormat="1" ht="22" customHeight="1">
      <c r="A19" s="476" t="s">
        <v>508</v>
      </c>
      <c r="B19" s="480">
        <v>183013.78399999905</v>
      </c>
      <c r="C19" s="480">
        <v>572836.14399999997</v>
      </c>
      <c r="D19" s="480">
        <v>-269435.1010000009</v>
      </c>
      <c r="E19" s="478">
        <v>0.52964717079723778</v>
      </c>
      <c r="F19" s="475"/>
      <c r="H19" s="458"/>
    </row>
    <row r="20" spans="1:8" s="479" customFormat="1" ht="22" customHeight="1">
      <c r="A20" s="476" t="s">
        <v>690</v>
      </c>
      <c r="B20" s="480">
        <v>-32252.999999999534</v>
      </c>
      <c r="C20" s="480">
        <v>114946.3</v>
      </c>
      <c r="D20" s="480">
        <v>-153326.69999999955</v>
      </c>
      <c r="E20" s="478">
        <v>-0.33389852478939758</v>
      </c>
      <c r="F20" s="475"/>
    </row>
    <row r="21" spans="1:8" s="479" customFormat="1" ht="22" customHeight="1">
      <c r="A21" s="476" t="s">
        <v>509</v>
      </c>
      <c r="B21" s="480">
        <v>-29894.585770000122</v>
      </c>
      <c r="C21" s="480">
        <v>35117.773929999996</v>
      </c>
      <c r="D21" s="480">
        <v>-49673.58916000012</v>
      </c>
      <c r="E21" s="478" t="s">
        <v>587</v>
      </c>
      <c r="F21" s="475"/>
    </row>
    <row r="22" spans="1:8" s="479" customFormat="1" ht="22" customHeight="1">
      <c r="A22" s="476" t="s">
        <v>589</v>
      </c>
      <c r="B22" s="480">
        <v>-21938.199999999895</v>
      </c>
      <c r="C22" s="480">
        <v>116262.2</v>
      </c>
      <c r="D22" s="480">
        <v>-107835.39999999989</v>
      </c>
      <c r="E22" s="478">
        <v>7.2480995542834256E-2</v>
      </c>
      <c r="F22" s="475"/>
    </row>
    <row r="23" spans="1:8" s="479" customFormat="1" ht="22" customHeight="1">
      <c r="A23" s="476" t="s">
        <v>590</v>
      </c>
      <c r="B23" s="480">
        <v>295.19999999998254</v>
      </c>
      <c r="C23" s="480">
        <v>8930.7000000000007</v>
      </c>
      <c r="D23" s="480">
        <v>-3705.1000000000186</v>
      </c>
      <c r="E23" s="478">
        <v>0.5851277055549936</v>
      </c>
      <c r="F23" s="475"/>
    </row>
    <row r="24" spans="1:8" s="479" customFormat="1" ht="22" customHeight="1">
      <c r="A24" s="476" t="s">
        <v>499</v>
      </c>
      <c r="B24" s="480">
        <v>-5293.1999999992549</v>
      </c>
      <c r="C24" s="480">
        <v>174025.50000000003</v>
      </c>
      <c r="D24" s="480">
        <v>-79559.399999999281</v>
      </c>
      <c r="E24" s="478">
        <v>0.54282906815380927</v>
      </c>
      <c r="F24" s="475"/>
    </row>
    <row r="25" spans="1:8" s="479" customFormat="1" ht="22" customHeight="1">
      <c r="A25" s="476" t="s">
        <v>223</v>
      </c>
      <c r="B25" s="480">
        <v>43748</v>
      </c>
      <c r="C25" s="480">
        <v>174563</v>
      </c>
      <c r="D25" s="480">
        <v>34107</v>
      </c>
      <c r="E25" s="478">
        <v>1.1953850472322314</v>
      </c>
      <c r="F25" s="475"/>
    </row>
    <row r="26" spans="1:8" s="479" customFormat="1" ht="22" customHeight="1">
      <c r="A26" s="476" t="s">
        <v>497</v>
      </c>
      <c r="B26" s="480">
        <v>2068.1689999997616</v>
      </c>
      <c r="C26" s="480">
        <v>236293.50900000002</v>
      </c>
      <c r="D26" s="480">
        <v>14192.168999999732</v>
      </c>
      <c r="E26" s="478">
        <v>1.0600616117643744</v>
      </c>
      <c r="F26" s="475"/>
    </row>
    <row r="27" spans="1:8" s="479" customFormat="1" ht="22" customHeight="1">
      <c r="A27" s="476" t="s">
        <v>691</v>
      </c>
      <c r="B27" s="480">
        <v>-36584</v>
      </c>
      <c r="C27" s="480">
        <v>87828</v>
      </c>
      <c r="D27" s="480">
        <v>-74943</v>
      </c>
      <c r="E27" s="478">
        <v>0.14670720043721819</v>
      </c>
      <c r="F27" s="475"/>
    </row>
    <row r="28" spans="1:8" s="479" customFormat="1" ht="22" customHeight="1">
      <c r="A28" s="476" t="s">
        <v>511</v>
      </c>
      <c r="B28" s="480">
        <v>-97585.183859999292</v>
      </c>
      <c r="C28" s="480">
        <v>179286.38309999998</v>
      </c>
      <c r="D28" s="480">
        <v>-91179.342859999248</v>
      </c>
      <c r="E28" s="478">
        <v>0.49143185732548106</v>
      </c>
      <c r="F28" s="475"/>
    </row>
    <row r="29" spans="1:8" s="479" customFormat="1" ht="22" customHeight="1">
      <c r="A29" s="476" t="s">
        <v>503</v>
      </c>
      <c r="B29" s="480">
        <v>6449.7500000018626</v>
      </c>
      <c r="C29" s="480">
        <v>257888</v>
      </c>
      <c r="D29" s="480">
        <v>-82289.649999998132</v>
      </c>
      <c r="E29" s="478">
        <v>0.68090934824420624</v>
      </c>
      <c r="F29" s="475"/>
    </row>
    <row r="30" spans="1:8" s="479" customFormat="1" ht="22" customHeight="1">
      <c r="A30" s="476" t="s">
        <v>630</v>
      </c>
      <c r="B30" s="480">
        <v>1144.5</v>
      </c>
      <c r="C30" s="480">
        <v>181099.90000000002</v>
      </c>
      <c r="D30" s="480">
        <v>920.09999999997672</v>
      </c>
      <c r="E30" s="478">
        <v>1.0050806212482721</v>
      </c>
      <c r="F30" s="475"/>
    </row>
    <row r="31" spans="1:8" s="479" customFormat="1" ht="22" customHeight="1">
      <c r="A31" s="476" t="s">
        <v>631</v>
      </c>
      <c r="B31" s="480">
        <v>56.017000000458211</v>
      </c>
      <c r="C31" s="480">
        <v>58101.888999999996</v>
      </c>
      <c r="D31" s="480">
        <v>6384.3500000004642</v>
      </c>
      <c r="E31" s="478">
        <v>1.1098819695862292</v>
      </c>
      <c r="F31" s="475"/>
    </row>
    <row r="32" spans="1:8" s="479" customFormat="1" ht="22" customHeight="1">
      <c r="A32" s="476" t="s">
        <v>633</v>
      </c>
      <c r="B32" s="480">
        <v>-459786.45099999942</v>
      </c>
      <c r="C32" s="480">
        <v>580395.09000000008</v>
      </c>
      <c r="D32" s="480">
        <v>368272.17900000024</v>
      </c>
      <c r="E32" s="478">
        <v>1.6345198044318401</v>
      </c>
    </row>
    <row r="33" spans="1:9" s="479" customFormat="1" ht="22" customHeight="1">
      <c r="A33" s="476" t="s">
        <v>692</v>
      </c>
      <c r="B33" s="481">
        <v>-7142.964810000034</v>
      </c>
      <c r="C33" s="481">
        <v>37842.886859999999</v>
      </c>
      <c r="D33" s="481">
        <v>-6495.8056700000307</v>
      </c>
      <c r="E33" s="482">
        <v>0.82834804083442937</v>
      </c>
      <c r="F33" s="475"/>
    </row>
    <row r="34" spans="1:9" s="479" customFormat="1" ht="22" customHeight="1">
      <c r="A34" s="483" t="s">
        <v>678</v>
      </c>
      <c r="B34" s="484">
        <v>-780674.7299399972</v>
      </c>
      <c r="C34" s="484">
        <v>4772214.2056299997</v>
      </c>
      <c r="D34" s="484">
        <v>-1043873.7041399969</v>
      </c>
      <c r="E34" s="485">
        <v>0.78126009035627719</v>
      </c>
      <c r="F34" s="475"/>
      <c r="H34" s="486"/>
      <c r="I34" s="486"/>
    </row>
    <row r="35" spans="1:9" ht="16">
      <c r="A35" s="458" t="s">
        <v>649</v>
      </c>
      <c r="B35" s="458"/>
      <c r="C35" s="458"/>
      <c r="D35" s="458"/>
      <c r="E35" s="487"/>
      <c r="F35" s="487"/>
    </row>
    <row r="36" spans="1:9">
      <c r="A36" s="479" t="s">
        <v>650</v>
      </c>
      <c r="B36" s="458"/>
      <c r="C36" s="458"/>
      <c r="D36" s="458"/>
      <c r="E36" s="458"/>
      <c r="F36" s="458"/>
    </row>
    <row r="37" spans="1:9">
      <c r="A37" s="457" t="s">
        <v>651</v>
      </c>
      <c r="B37" s="458"/>
      <c r="C37" s="458"/>
      <c r="D37" s="458"/>
      <c r="E37" s="458"/>
      <c r="F37" s="458"/>
    </row>
    <row r="38" spans="1:9">
      <c r="B38" s="458"/>
      <c r="C38" s="458"/>
      <c r="D38" s="458"/>
      <c r="E38" s="458"/>
      <c r="F38" s="458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H42"/>
  <sheetViews>
    <sheetView workbookViewId="0">
      <pane ySplit="8" topLeftCell="A9" activePane="bottomLeft" state="frozen"/>
      <selection activeCell="K44" sqref="K44:N48"/>
      <selection pane="bottomLeft" activeCell="I29" sqref="I29"/>
    </sheetView>
  </sheetViews>
  <sheetFormatPr baseColWidth="10" defaultColWidth="11.5" defaultRowHeight="13"/>
  <cols>
    <col min="1" max="1" width="28.6640625" style="457" customWidth="1"/>
    <col min="2" max="2" width="13.5" style="457" customWidth="1"/>
    <col min="3" max="3" width="15.5" style="457" customWidth="1"/>
    <col min="4" max="4" width="16.6640625" style="457" customWidth="1"/>
    <col min="5" max="5" width="21.83203125" style="457" customWidth="1"/>
    <col min="6" max="16384" width="11.5" style="457"/>
  </cols>
  <sheetData>
    <row r="1" spans="1:8">
      <c r="B1" s="458"/>
      <c r="C1" s="458"/>
      <c r="D1" s="458"/>
      <c r="E1" s="458"/>
    </row>
    <row r="2" spans="1:8" ht="18" customHeight="1">
      <c r="A2" s="459" t="s">
        <v>693</v>
      </c>
      <c r="H2" s="457" t="s">
        <v>588</v>
      </c>
    </row>
    <row r="3" spans="1:8" ht="17.25" customHeight="1">
      <c r="A3" s="459" t="s">
        <v>694</v>
      </c>
      <c r="B3" s="458"/>
      <c r="C3" s="458"/>
      <c r="D3" s="458"/>
      <c r="E3" s="458"/>
      <c r="H3" s="457" t="s">
        <v>634</v>
      </c>
    </row>
    <row r="4" spans="1:8">
      <c r="A4" s="460" t="s">
        <v>506</v>
      </c>
      <c r="B4" s="461" t="s">
        <v>642</v>
      </c>
      <c r="C4" s="461" t="s">
        <v>145</v>
      </c>
      <c r="D4" s="461" t="s">
        <v>643</v>
      </c>
      <c r="E4" s="462" t="s">
        <v>585</v>
      </c>
    </row>
    <row r="5" spans="1:8">
      <c r="A5" s="463" t="s">
        <v>644</v>
      </c>
      <c r="B5" s="464" t="s">
        <v>645</v>
      </c>
      <c r="C5" s="464" t="s">
        <v>68</v>
      </c>
      <c r="D5" s="464" t="s">
        <v>646</v>
      </c>
      <c r="E5" s="465" t="s">
        <v>629</v>
      </c>
    </row>
    <row r="6" spans="1:8">
      <c r="A6" s="467"/>
      <c r="B6" s="468" t="s">
        <v>647</v>
      </c>
      <c r="C6" s="468"/>
      <c r="D6" s="469"/>
      <c r="E6" s="470"/>
    </row>
    <row r="7" spans="1:8" ht="16">
      <c r="A7" s="471"/>
      <c r="B7" s="472" t="s">
        <v>648</v>
      </c>
      <c r="C7" s="473"/>
      <c r="D7" s="473"/>
      <c r="E7" s="474"/>
    </row>
    <row r="8" spans="1:8" s="479" customFormat="1" ht="22" customHeight="1">
      <c r="A8" s="476" t="s">
        <v>681</v>
      </c>
      <c r="B8" s="490">
        <v>17567.388999998569</v>
      </c>
      <c r="C8" s="490">
        <v>776288.8</v>
      </c>
      <c r="D8" s="490">
        <v>-166585.96800000151</v>
      </c>
      <c r="E8" s="478">
        <v>0.7854072247338858</v>
      </c>
    </row>
    <row r="9" spans="1:8" s="479" customFormat="1" ht="22" customHeight="1">
      <c r="A9" s="476" t="s">
        <v>507</v>
      </c>
      <c r="B9" s="491">
        <v>9175.487879998982</v>
      </c>
      <c r="C9" s="491">
        <v>591700.15559999994</v>
      </c>
      <c r="D9" s="491">
        <v>51640.732349999016</v>
      </c>
      <c r="E9" s="478">
        <v>1.0872751711508912</v>
      </c>
    </row>
    <row r="10" spans="1:8" s="479" customFormat="1" ht="22" customHeight="1">
      <c r="A10" s="476" t="s">
        <v>682</v>
      </c>
      <c r="B10" s="491">
        <v>-11123.494000000414</v>
      </c>
      <c r="C10" s="491">
        <v>139480.83099999995</v>
      </c>
      <c r="D10" s="491">
        <v>-10628.169000000373</v>
      </c>
      <c r="E10" s="492">
        <v>0.92380193805985877</v>
      </c>
    </row>
    <row r="11" spans="1:8" s="479" customFormat="1" ht="22" customHeight="1">
      <c r="A11" s="476" t="s">
        <v>683</v>
      </c>
      <c r="B11" s="491">
        <v>5344.6790000000619</v>
      </c>
      <c r="C11" s="491">
        <v>27796.5</v>
      </c>
      <c r="D11" s="491">
        <v>-11311.566999999937</v>
      </c>
      <c r="E11" s="492">
        <v>0.59305786699764584</v>
      </c>
    </row>
    <row r="12" spans="1:8" s="479" customFormat="1" ht="22" customHeight="1">
      <c r="A12" s="476" t="s">
        <v>510</v>
      </c>
      <c r="B12" s="491">
        <v>-100668</v>
      </c>
      <c r="C12" s="491">
        <v>86788</v>
      </c>
      <c r="D12" s="491">
        <v>-109053</v>
      </c>
      <c r="E12" s="493" t="s">
        <v>587</v>
      </c>
    </row>
    <row r="13" spans="1:8" s="479" customFormat="1" ht="22" customHeight="1">
      <c r="A13" s="476" t="s">
        <v>684</v>
      </c>
      <c r="B13" s="491">
        <v>-1965</v>
      </c>
      <c r="C13" s="491">
        <v>28657</v>
      </c>
      <c r="D13" s="491">
        <v>-26292</v>
      </c>
      <c r="E13" s="492">
        <v>8.2527829151690685E-2</v>
      </c>
    </row>
    <row r="14" spans="1:8" s="479" customFormat="1" ht="22" customHeight="1">
      <c r="A14" s="476" t="s">
        <v>685</v>
      </c>
      <c r="B14" s="490">
        <v>-400.20000000006985</v>
      </c>
      <c r="C14" s="490">
        <v>24726</v>
      </c>
      <c r="D14" s="490">
        <v>-9574.2000000000698</v>
      </c>
      <c r="E14" s="492">
        <v>0.61278815821402288</v>
      </c>
    </row>
    <row r="15" spans="1:8" s="479" customFormat="1" ht="22" customHeight="1">
      <c r="A15" s="476" t="s">
        <v>686</v>
      </c>
      <c r="B15" s="491">
        <v>-658.69999999995343</v>
      </c>
      <c r="C15" s="491">
        <v>17260.300000000003</v>
      </c>
      <c r="D15" s="491">
        <v>-6438.5999999999567</v>
      </c>
      <c r="E15" s="493">
        <v>0.62697056250470995</v>
      </c>
    </row>
    <row r="16" spans="1:8" s="479" customFormat="1" ht="22" customHeight="1">
      <c r="A16" s="476" t="s">
        <v>687</v>
      </c>
      <c r="B16" s="491">
        <v>-24843.704999999842</v>
      </c>
      <c r="C16" s="491">
        <v>115322.8</v>
      </c>
      <c r="D16" s="491">
        <v>-108399.96999999984</v>
      </c>
      <c r="E16" s="492">
        <v>6.0030020082760406E-2</v>
      </c>
    </row>
    <row r="17" spans="1:5" s="479" customFormat="1" ht="22" customHeight="1">
      <c r="A17" s="476" t="s">
        <v>688</v>
      </c>
      <c r="B17" s="491">
        <v>497.90000000037253</v>
      </c>
      <c r="C17" s="491">
        <v>154963</v>
      </c>
      <c r="D17" s="491">
        <v>-83404.599999999627</v>
      </c>
      <c r="E17" s="492">
        <v>0.46177732749108091</v>
      </c>
    </row>
    <row r="18" spans="1:5" s="479" customFormat="1" ht="22" customHeight="1">
      <c r="A18" s="476" t="s">
        <v>689</v>
      </c>
      <c r="B18" s="491">
        <v>-146119.19999999972</v>
      </c>
      <c r="C18" s="491">
        <v>137428</v>
      </c>
      <c r="D18" s="491">
        <v>-218581.29999999973</v>
      </c>
      <c r="E18" s="478">
        <v>-0.59051503332653987</v>
      </c>
    </row>
    <row r="19" spans="1:5" s="479" customFormat="1" ht="22" customHeight="1">
      <c r="A19" s="476" t="s">
        <v>695</v>
      </c>
      <c r="B19" s="491">
        <v>7733.0430000000633</v>
      </c>
      <c r="C19" s="491">
        <v>372937</v>
      </c>
      <c r="D19" s="491">
        <v>-230166.43299999993</v>
      </c>
      <c r="E19" s="478">
        <v>0.3828275740942842</v>
      </c>
    </row>
    <row r="20" spans="1:5" s="479" customFormat="1" ht="22" customHeight="1">
      <c r="A20" s="476" t="s">
        <v>690</v>
      </c>
      <c r="B20" s="490">
        <v>-24756.976000000257</v>
      </c>
      <c r="C20" s="490">
        <v>300480.40000000002</v>
      </c>
      <c r="D20" s="490">
        <v>-261848.57600000029</v>
      </c>
      <c r="E20" s="493">
        <v>0.12856686825496685</v>
      </c>
    </row>
    <row r="21" spans="1:5" s="479" customFormat="1" ht="22" customHeight="1">
      <c r="A21" s="476" t="s">
        <v>509</v>
      </c>
      <c r="B21" s="491">
        <v>-23626.699999999953</v>
      </c>
      <c r="C21" s="491">
        <v>31108</v>
      </c>
      <c r="D21" s="491">
        <v>-37448.799999999952</v>
      </c>
      <c r="E21" s="493" t="s">
        <v>587</v>
      </c>
    </row>
    <row r="22" spans="1:5" s="479" customFormat="1" ht="22" customHeight="1">
      <c r="A22" s="476" t="s">
        <v>696</v>
      </c>
      <c r="B22" s="491">
        <v>-17220</v>
      </c>
      <c r="C22" s="491">
        <v>39179.5</v>
      </c>
      <c r="D22" s="491">
        <v>-26465.4</v>
      </c>
      <c r="E22" s="493">
        <v>0.32450899067114175</v>
      </c>
    </row>
    <row r="23" spans="1:5" s="479" customFormat="1" ht="22" customHeight="1">
      <c r="A23" s="476" t="s">
        <v>590</v>
      </c>
      <c r="B23" s="491">
        <v>-7633</v>
      </c>
      <c r="C23" s="491">
        <v>11328.85</v>
      </c>
      <c r="D23" s="491">
        <v>-16797.849999999999</v>
      </c>
      <c r="E23" s="493" t="s">
        <v>587</v>
      </c>
    </row>
    <row r="24" spans="1:5" s="479" customFormat="1" ht="22" customHeight="1">
      <c r="A24" s="476" t="s">
        <v>499</v>
      </c>
      <c r="B24" s="491">
        <v>-27028.700000000186</v>
      </c>
      <c r="C24" s="491">
        <v>171285.5</v>
      </c>
      <c r="D24" s="491">
        <v>-82931.10000000018</v>
      </c>
      <c r="E24" s="493">
        <v>0.51583117076459961</v>
      </c>
    </row>
    <row r="25" spans="1:5" s="479" customFormat="1" ht="22" customHeight="1">
      <c r="A25" s="476" t="s">
        <v>697</v>
      </c>
      <c r="B25" s="491">
        <v>-52514</v>
      </c>
      <c r="C25" s="491">
        <v>207724</v>
      </c>
      <c r="D25" s="491">
        <v>-94725</v>
      </c>
      <c r="E25" s="492">
        <v>0.54398625098688647</v>
      </c>
    </row>
    <row r="26" spans="1:5" s="479" customFormat="1" ht="22" customHeight="1">
      <c r="A26" s="476" t="s">
        <v>497</v>
      </c>
      <c r="B26" s="491">
        <v>2068.1689999997616</v>
      </c>
      <c r="C26" s="491">
        <v>236293.50900000002</v>
      </c>
      <c r="D26" s="491">
        <v>14192.168999999732</v>
      </c>
      <c r="E26" s="492">
        <v>1.0600616117643744</v>
      </c>
    </row>
    <row r="27" spans="1:5" s="479" customFormat="1" ht="22" customHeight="1">
      <c r="A27" s="476" t="s">
        <v>691</v>
      </c>
      <c r="B27" s="491">
        <v>-16012</v>
      </c>
      <c r="C27" s="491">
        <v>89415</v>
      </c>
      <c r="D27" s="491">
        <v>-77626</v>
      </c>
      <c r="E27" s="492">
        <v>0.13184588715539899</v>
      </c>
    </row>
    <row r="28" spans="1:5" s="479" customFormat="1" ht="22" customHeight="1">
      <c r="A28" s="476" t="s">
        <v>511</v>
      </c>
      <c r="B28" s="491">
        <v>-165597.28000000073</v>
      </c>
      <c r="C28" s="491">
        <v>223597.6</v>
      </c>
      <c r="D28" s="491">
        <v>-201234.88000000073</v>
      </c>
      <c r="E28" s="493">
        <v>0.10001323806695274</v>
      </c>
    </row>
    <row r="29" spans="1:5" s="479" customFormat="1" ht="22" customHeight="1">
      <c r="A29" s="476" t="s">
        <v>503</v>
      </c>
      <c r="B29" s="491">
        <v>1817.0999999977648</v>
      </c>
      <c r="C29" s="491">
        <v>320900</v>
      </c>
      <c r="D29" s="491">
        <v>-135614.90000000224</v>
      </c>
      <c r="E29" s="478">
        <v>0.57739202243688925</v>
      </c>
    </row>
    <row r="30" spans="1:5" s="479" customFormat="1" ht="22" customHeight="1">
      <c r="A30" s="476" t="s">
        <v>630</v>
      </c>
      <c r="B30" s="491">
        <v>6077.4000000003725</v>
      </c>
      <c r="C30" s="491">
        <v>177535.5</v>
      </c>
      <c r="D30" s="491">
        <v>106.60000000038417</v>
      </c>
      <c r="E30" s="492">
        <v>1.0006004432916256</v>
      </c>
    </row>
    <row r="31" spans="1:5" s="479" customFormat="1" ht="22" customHeight="1">
      <c r="A31" s="476" t="s">
        <v>631</v>
      </c>
      <c r="B31" s="491">
        <v>-11531.452000000048</v>
      </c>
      <c r="C31" s="491">
        <v>63230.600000000006</v>
      </c>
      <c r="D31" s="491">
        <v>-18939.791000000056</v>
      </c>
      <c r="E31" s="493">
        <v>0.70046479078167767</v>
      </c>
    </row>
    <row r="32" spans="1:5" s="479" customFormat="1" ht="22" customHeight="1">
      <c r="A32" s="476" t="s">
        <v>633</v>
      </c>
      <c r="B32" s="491">
        <v>-31590.003994399682</v>
      </c>
      <c r="C32" s="491">
        <v>560483</v>
      </c>
      <c r="D32" s="494">
        <v>66314.610005600262</v>
      </c>
      <c r="E32" s="493">
        <v>1.1183168981139486</v>
      </c>
    </row>
    <row r="33" spans="1:5" s="479" customFormat="1" ht="22" customHeight="1">
      <c r="A33" s="495" t="s">
        <v>692</v>
      </c>
      <c r="B33" s="496">
        <v>726.59999999997672</v>
      </c>
      <c r="C33" s="496">
        <v>38378.6</v>
      </c>
      <c r="D33" s="496">
        <v>53.999999999978172</v>
      </c>
      <c r="E33" s="497">
        <v>1.0014070341283938</v>
      </c>
    </row>
    <row r="34" spans="1:5" s="479" customFormat="1" ht="22" customHeight="1">
      <c r="A34" s="483" t="s">
        <v>678</v>
      </c>
      <c r="B34" s="498">
        <v>-612280.64311440487</v>
      </c>
      <c r="C34" s="498">
        <v>4944288.4455999993</v>
      </c>
      <c r="D34" s="498">
        <v>-1801759.992644405</v>
      </c>
      <c r="E34" s="499">
        <v>0.63558760528063063</v>
      </c>
    </row>
    <row r="35" spans="1:5" ht="16">
      <c r="A35" s="458" t="s">
        <v>649</v>
      </c>
      <c r="B35" s="487"/>
      <c r="C35" s="487"/>
      <c r="D35" s="487"/>
      <c r="E35" s="487"/>
    </row>
    <row r="36" spans="1:5">
      <c r="A36" s="479" t="s">
        <v>650</v>
      </c>
      <c r="B36" s="500"/>
      <c r="C36" s="500"/>
      <c r="D36" s="500"/>
      <c r="E36" s="500"/>
    </row>
    <row r="37" spans="1:5">
      <c r="A37" s="457" t="s">
        <v>651</v>
      </c>
      <c r="B37" s="500"/>
      <c r="C37" s="500"/>
      <c r="D37" s="500"/>
      <c r="E37" s="500"/>
    </row>
    <row r="38" spans="1:5" ht="12" customHeight="1">
      <c r="B38" s="500"/>
      <c r="C38" s="500"/>
      <c r="D38" s="500"/>
      <c r="E38" s="500"/>
    </row>
    <row r="39" spans="1:5" ht="12" customHeight="1">
      <c r="B39" s="501"/>
      <c r="C39" s="502"/>
      <c r="D39" s="501"/>
      <c r="E39" s="500"/>
    </row>
    <row r="40" spans="1:5" ht="12" customHeight="1">
      <c r="A40" s="500"/>
      <c r="B40" s="500"/>
      <c r="C40" s="500"/>
      <c r="D40" s="500"/>
      <c r="E40" s="500"/>
    </row>
    <row r="41" spans="1:5" ht="12" customHeight="1">
      <c r="A41" s="500"/>
      <c r="B41" s="500"/>
      <c r="C41" s="500"/>
      <c r="D41" s="500"/>
      <c r="E41" s="500"/>
    </row>
    <row r="42" spans="1:5" ht="12" customHeight="1">
      <c r="A42" s="500"/>
      <c r="B42" s="500"/>
      <c r="C42" s="500"/>
      <c r="D42" s="500"/>
      <c r="E42" s="500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H48"/>
  <sheetViews>
    <sheetView workbookViewId="0">
      <pane ySplit="8" topLeftCell="A9" activePane="bottomLeft" state="frozen"/>
      <selection activeCell="K44" sqref="K44:N48"/>
      <selection pane="bottomLeft" activeCell="G23" sqref="G23"/>
    </sheetView>
  </sheetViews>
  <sheetFormatPr baseColWidth="10" defaultColWidth="11.5" defaultRowHeight="13"/>
  <cols>
    <col min="1" max="1" width="27.33203125" style="457" customWidth="1"/>
    <col min="2" max="2" width="14.5" style="457" customWidth="1"/>
    <col min="3" max="3" width="15.33203125" style="457" customWidth="1"/>
    <col min="4" max="4" width="16.6640625" style="457" customWidth="1"/>
    <col min="5" max="5" width="20.5" style="457" customWidth="1"/>
    <col min="6" max="6" width="16.6640625" style="457" customWidth="1"/>
    <col min="7" max="16384" width="11.5" style="457"/>
  </cols>
  <sheetData>
    <row r="1" spans="1:8">
      <c r="B1" s="458"/>
      <c r="C1" s="458"/>
      <c r="D1" s="458"/>
      <c r="E1" s="458"/>
    </row>
    <row r="2" spans="1:8" ht="20.25" customHeight="1">
      <c r="A2" s="459" t="s">
        <v>698</v>
      </c>
      <c r="H2" s="457" t="s">
        <v>588</v>
      </c>
    </row>
    <row r="3" spans="1:8" ht="17.25" customHeight="1">
      <c r="A3" s="459" t="s">
        <v>699</v>
      </c>
      <c r="B3" s="458"/>
      <c r="C3" s="458"/>
      <c r="D3" s="458"/>
      <c r="E3" s="458"/>
      <c r="F3" s="458"/>
    </row>
    <row r="4" spans="1:8">
      <c r="A4" s="460" t="s">
        <v>506</v>
      </c>
      <c r="B4" s="461" t="s">
        <v>642</v>
      </c>
      <c r="C4" s="461" t="s">
        <v>145</v>
      </c>
      <c r="D4" s="461" t="s">
        <v>643</v>
      </c>
      <c r="E4" s="462" t="s">
        <v>585</v>
      </c>
      <c r="F4" s="466"/>
    </row>
    <row r="5" spans="1:8">
      <c r="A5" s="463" t="s">
        <v>644</v>
      </c>
      <c r="B5" s="464" t="s">
        <v>645</v>
      </c>
      <c r="C5" s="464" t="s">
        <v>68</v>
      </c>
      <c r="D5" s="464" t="s">
        <v>646</v>
      </c>
      <c r="E5" s="465" t="s">
        <v>629</v>
      </c>
      <c r="F5" s="504"/>
    </row>
    <row r="6" spans="1:8">
      <c r="A6" s="467"/>
      <c r="B6" s="468" t="s">
        <v>647</v>
      </c>
      <c r="C6" s="468"/>
      <c r="D6" s="469"/>
      <c r="E6" s="470"/>
      <c r="F6" s="466"/>
    </row>
    <row r="7" spans="1:8" ht="16">
      <c r="A7" s="471"/>
      <c r="B7" s="472" t="s">
        <v>648</v>
      </c>
      <c r="C7" s="473"/>
      <c r="D7" s="473"/>
      <c r="E7" s="474"/>
      <c r="F7" s="475"/>
    </row>
    <row r="8" spans="1:8" s="479" customFormat="1" ht="22" customHeight="1">
      <c r="A8" s="476" t="s">
        <v>681</v>
      </c>
      <c r="B8" s="490">
        <v>-37590.066249998286</v>
      </c>
      <c r="C8" s="490">
        <v>602730.73040000012</v>
      </c>
      <c r="D8" s="490">
        <v>-49340.268029998406</v>
      </c>
      <c r="E8" s="493">
        <v>0.91813878811645477</v>
      </c>
      <c r="F8" s="475"/>
    </row>
    <row r="9" spans="1:8" s="479" customFormat="1" ht="22" customHeight="1">
      <c r="A9" s="476" t="s">
        <v>507</v>
      </c>
      <c r="B9" s="491">
        <v>156963.19999999925</v>
      </c>
      <c r="C9" s="491">
        <v>551252.89999999991</v>
      </c>
      <c r="D9" s="491">
        <v>180201.69999999937</v>
      </c>
      <c r="E9" s="478">
        <v>1.3268947882178932</v>
      </c>
      <c r="F9" s="475"/>
    </row>
    <row r="10" spans="1:8" s="479" customFormat="1" ht="22" customHeight="1">
      <c r="A10" s="476" t="s">
        <v>682</v>
      </c>
      <c r="B10" s="491">
        <v>5187.2557800002396</v>
      </c>
      <c r="C10" s="491">
        <v>115864.48379999999</v>
      </c>
      <c r="D10" s="491">
        <v>25363.593920000247</v>
      </c>
      <c r="E10" s="492">
        <v>1.2189074087947582</v>
      </c>
      <c r="F10" s="475"/>
    </row>
    <row r="11" spans="1:8" s="479" customFormat="1" ht="22" customHeight="1">
      <c r="A11" s="476" t="s">
        <v>683</v>
      </c>
      <c r="B11" s="491">
        <v>21960.396000000008</v>
      </c>
      <c r="C11" s="491">
        <v>20589.389999999996</v>
      </c>
      <c r="D11" s="491">
        <v>12375.186000000012</v>
      </c>
      <c r="E11" s="492">
        <v>1.6010467527206982</v>
      </c>
      <c r="F11" s="475"/>
    </row>
    <row r="12" spans="1:8" s="479" customFormat="1" ht="22" customHeight="1">
      <c r="A12" s="476" t="s">
        <v>510</v>
      </c>
      <c r="B12" s="491">
        <v>-140662</v>
      </c>
      <c r="C12" s="491">
        <v>52701</v>
      </c>
      <c r="D12" s="491">
        <v>-116147</v>
      </c>
      <c r="E12" s="493" t="s">
        <v>587</v>
      </c>
      <c r="F12" s="475"/>
    </row>
    <row r="13" spans="1:8" s="479" customFormat="1" ht="22" customHeight="1">
      <c r="A13" s="476" t="s">
        <v>684</v>
      </c>
      <c r="B13" s="491">
        <v>-2078</v>
      </c>
      <c r="C13" s="491">
        <v>28671</v>
      </c>
      <c r="D13" s="491">
        <v>-18657</v>
      </c>
      <c r="E13" s="492">
        <v>0.34927278434655229</v>
      </c>
      <c r="F13" s="475"/>
    </row>
    <row r="14" spans="1:8" s="479" customFormat="1" ht="22" customHeight="1">
      <c r="A14" s="476" t="s">
        <v>685</v>
      </c>
      <c r="B14" s="490">
        <v>-1179</v>
      </c>
      <c r="C14" s="490">
        <v>18551.800000000003</v>
      </c>
      <c r="D14" s="490">
        <v>-6652.0000000000036</v>
      </c>
      <c r="E14" s="493">
        <v>0.64143641048307964</v>
      </c>
      <c r="F14" s="475"/>
    </row>
    <row r="15" spans="1:8" s="479" customFormat="1" ht="22" customHeight="1">
      <c r="A15" s="476" t="s">
        <v>686</v>
      </c>
      <c r="B15" s="491">
        <v>1186.4999999999418</v>
      </c>
      <c r="C15" s="491">
        <v>12612.699999999997</v>
      </c>
      <c r="D15" s="491">
        <v>7927.5999999999476</v>
      </c>
      <c r="E15" s="493">
        <v>1.6285410736796997</v>
      </c>
      <c r="F15" s="475"/>
    </row>
    <row r="16" spans="1:8" s="479" customFormat="1" ht="22" customHeight="1">
      <c r="A16" s="476" t="s">
        <v>687</v>
      </c>
      <c r="B16" s="491">
        <v>-20504.192000000039</v>
      </c>
      <c r="C16" s="491">
        <v>77037.654999999984</v>
      </c>
      <c r="D16" s="491">
        <v>-70853.426000000036</v>
      </c>
      <c r="E16" s="492">
        <v>8.0275405579258052E-2</v>
      </c>
      <c r="F16" s="475"/>
    </row>
    <row r="17" spans="1:6" s="479" customFormat="1" ht="22" customHeight="1">
      <c r="A17" s="476" t="s">
        <v>218</v>
      </c>
      <c r="B17" s="491">
        <v>-900</v>
      </c>
      <c r="C17" s="491">
        <v>142082</v>
      </c>
      <c r="D17" s="491">
        <v>-37413</v>
      </c>
      <c r="E17" s="492">
        <v>0.73668022691122026</v>
      </c>
      <c r="F17" s="475"/>
    </row>
    <row r="18" spans="1:6" s="479" customFormat="1" ht="22" customHeight="1">
      <c r="A18" s="476" t="s">
        <v>689</v>
      </c>
      <c r="B18" s="491">
        <v>-121346.24999999977</v>
      </c>
      <c r="C18" s="491">
        <v>109065.7</v>
      </c>
      <c r="D18" s="491">
        <v>-160962.68999999977</v>
      </c>
      <c r="E18" s="478" t="s">
        <v>587</v>
      </c>
      <c r="F18" s="475"/>
    </row>
    <row r="19" spans="1:6" s="479" customFormat="1" ht="22" customHeight="1">
      <c r="A19" s="476" t="s">
        <v>695</v>
      </c>
      <c r="B19" s="491">
        <v>85389.603000000119</v>
      </c>
      <c r="C19" s="491">
        <v>247557.25800000003</v>
      </c>
      <c r="D19" s="491">
        <v>17358.156000000075</v>
      </c>
      <c r="E19" s="478">
        <v>1.0701177422154193</v>
      </c>
      <c r="F19" s="475"/>
    </row>
    <row r="20" spans="1:6" s="479" customFormat="1" ht="22" customHeight="1">
      <c r="A20" s="476" t="s">
        <v>690</v>
      </c>
      <c r="B20" s="490">
        <v>-4247.6000000005588</v>
      </c>
      <c r="C20" s="490">
        <v>217363.60000000003</v>
      </c>
      <c r="D20" s="490">
        <v>-179758.60000000059</v>
      </c>
      <c r="E20" s="493">
        <v>0.17300504776328438</v>
      </c>
      <c r="F20" s="475"/>
    </row>
    <row r="21" spans="1:6" s="479" customFormat="1" ht="22" customHeight="1">
      <c r="A21" s="476" t="s">
        <v>509</v>
      </c>
      <c r="B21" s="491">
        <v>-17444.300000000047</v>
      </c>
      <c r="C21" s="491">
        <v>25932.2</v>
      </c>
      <c r="D21" s="491">
        <v>-26012.600000000046</v>
      </c>
      <c r="E21" s="493" t="s">
        <v>587</v>
      </c>
      <c r="F21" s="475"/>
    </row>
    <row r="22" spans="1:6" s="479" customFormat="1" ht="22" customHeight="1">
      <c r="A22" s="476" t="s">
        <v>696</v>
      </c>
      <c r="B22" s="491">
        <v>-24290.799999999988</v>
      </c>
      <c r="C22" s="491">
        <v>34353.800000000003</v>
      </c>
      <c r="D22" s="491">
        <v>-29940.999999999989</v>
      </c>
      <c r="E22" s="493">
        <v>0.12845158323096756</v>
      </c>
      <c r="F22" s="475"/>
    </row>
    <row r="23" spans="1:6" s="479" customFormat="1" ht="22" customHeight="1">
      <c r="A23" s="476" t="s">
        <v>590</v>
      </c>
      <c r="B23" s="491">
        <v>449.5000000000291</v>
      </c>
      <c r="C23" s="491">
        <v>8316</v>
      </c>
      <c r="D23" s="491">
        <v>-2550.4999999999709</v>
      </c>
      <c r="E23" s="492">
        <v>0.69330206830207175</v>
      </c>
      <c r="F23" s="475"/>
    </row>
    <row r="24" spans="1:6" s="479" customFormat="1" ht="22" customHeight="1">
      <c r="A24" s="476" t="s">
        <v>499</v>
      </c>
      <c r="B24" s="491">
        <v>73384.113590000197</v>
      </c>
      <c r="C24" s="491">
        <v>114881.26232000001</v>
      </c>
      <c r="D24" s="491">
        <v>66066.286400000186</v>
      </c>
      <c r="E24" s="492">
        <v>1.5750832212826278</v>
      </c>
      <c r="F24" s="475"/>
    </row>
    <row r="25" spans="1:6" s="479" customFormat="1" ht="22" customHeight="1">
      <c r="A25" s="476" t="s">
        <v>697</v>
      </c>
      <c r="B25" s="491">
        <v>-33548</v>
      </c>
      <c r="C25" s="491">
        <v>160797</v>
      </c>
      <c r="D25" s="491">
        <v>-38715</v>
      </c>
      <c r="E25" s="492">
        <v>0.75923058266012422</v>
      </c>
      <c r="F25" s="475"/>
    </row>
    <row r="26" spans="1:6" s="479" customFormat="1" ht="22" customHeight="1">
      <c r="A26" s="476" t="s">
        <v>497</v>
      </c>
      <c r="B26" s="491">
        <v>1707.5999999996275</v>
      </c>
      <c r="C26" s="491">
        <v>205311.39999999997</v>
      </c>
      <c r="D26" s="491">
        <v>13437.099999999657</v>
      </c>
      <c r="E26" s="492">
        <v>1.0654474130515872</v>
      </c>
      <c r="F26" s="475"/>
    </row>
    <row r="27" spans="1:6" s="479" customFormat="1" ht="22" customHeight="1">
      <c r="A27" s="476" t="s">
        <v>691</v>
      </c>
      <c r="B27" s="491">
        <v>-9029</v>
      </c>
      <c r="C27" s="491">
        <v>82203</v>
      </c>
      <c r="D27" s="491">
        <v>-65965</v>
      </c>
      <c r="E27" s="492">
        <v>0.19753536975536173</v>
      </c>
      <c r="F27" s="475"/>
    </row>
    <row r="28" spans="1:6" s="479" customFormat="1" ht="22" customHeight="1">
      <c r="A28" s="476" t="s">
        <v>700</v>
      </c>
      <c r="B28" s="491">
        <v>-177594.86150000012</v>
      </c>
      <c r="C28" s="491">
        <v>281817.26555999997</v>
      </c>
      <c r="D28" s="491">
        <v>-278883.16440000013</v>
      </c>
      <c r="E28" s="493">
        <v>1.0411360546592179E-2</v>
      </c>
      <c r="F28" s="475"/>
    </row>
    <row r="29" spans="1:6" s="479" customFormat="1" ht="22" customHeight="1">
      <c r="A29" s="476" t="s">
        <v>503</v>
      </c>
      <c r="B29" s="491">
        <v>7878.8319999985397</v>
      </c>
      <c r="C29" s="491">
        <v>240904.69215999998</v>
      </c>
      <c r="D29" s="491">
        <v>-49914.000160001451</v>
      </c>
      <c r="E29" s="478">
        <v>0.79280602751045459</v>
      </c>
      <c r="F29" s="475"/>
    </row>
    <row r="30" spans="1:6" s="479" customFormat="1" ht="22" customHeight="1">
      <c r="A30" s="476" t="s">
        <v>701</v>
      </c>
      <c r="B30" s="491">
        <v>-53545.200000000652</v>
      </c>
      <c r="C30" s="491">
        <v>201770.5</v>
      </c>
      <c r="D30" s="491">
        <v>-82638.50000000064</v>
      </c>
      <c r="E30" s="492">
        <v>0.59043319018389384</v>
      </c>
      <c r="F30" s="475"/>
    </row>
    <row r="31" spans="1:6" s="479" customFormat="1" ht="22" customHeight="1">
      <c r="A31" s="476" t="s">
        <v>702</v>
      </c>
      <c r="B31" s="491">
        <v>-236753.53099999996</v>
      </c>
      <c r="C31" s="491">
        <v>54193.893000000004</v>
      </c>
      <c r="D31" s="491">
        <v>-235412.31899999996</v>
      </c>
      <c r="E31" s="493" t="s">
        <v>587</v>
      </c>
      <c r="F31" s="475"/>
    </row>
    <row r="32" spans="1:6" s="479" customFormat="1" ht="22" customHeight="1">
      <c r="A32" s="476" t="s">
        <v>703</v>
      </c>
      <c r="B32" s="491">
        <v>56421.685559995472</v>
      </c>
      <c r="C32" s="491">
        <v>394456.25841999997</v>
      </c>
      <c r="D32" s="491">
        <v>387655.09874999558</v>
      </c>
      <c r="E32" s="493">
        <v>1.5818956996941127</v>
      </c>
      <c r="F32" s="505"/>
    </row>
    <row r="33" spans="1:6" s="479" customFormat="1" ht="22" customHeight="1">
      <c r="A33" s="476" t="s">
        <v>692</v>
      </c>
      <c r="B33" s="496">
        <v>-1538.634960000054</v>
      </c>
      <c r="C33" s="496">
        <v>37873.74568</v>
      </c>
      <c r="D33" s="496">
        <v>-1848.8966400000572</v>
      </c>
      <c r="E33" s="497">
        <v>0.95118263042632178</v>
      </c>
      <c r="F33" s="475"/>
    </row>
    <row r="34" spans="1:6" s="479" customFormat="1" ht="22" customHeight="1">
      <c r="A34" s="483" t="s">
        <v>678</v>
      </c>
      <c r="B34" s="498">
        <v>-471722.74978000601</v>
      </c>
      <c r="C34" s="498">
        <v>4038891.2343400004</v>
      </c>
      <c r="D34" s="498">
        <v>-741280.24316000589</v>
      </c>
      <c r="E34" s="499">
        <v>0.81646442051784063</v>
      </c>
      <c r="F34" s="475"/>
    </row>
    <row r="35" spans="1:6" ht="16">
      <c r="A35" s="458" t="s">
        <v>649</v>
      </c>
      <c r="B35" s="487"/>
      <c r="C35" s="487"/>
      <c r="D35" s="487"/>
      <c r="E35" s="487"/>
      <c r="F35" s="487"/>
    </row>
    <row r="36" spans="1:6">
      <c r="A36" s="479" t="s">
        <v>650</v>
      </c>
      <c r="B36" s="458"/>
      <c r="C36" s="458"/>
      <c r="D36" s="458"/>
      <c r="E36" s="458"/>
      <c r="F36" s="458"/>
    </row>
    <row r="37" spans="1:6">
      <c r="A37" s="457" t="s">
        <v>651</v>
      </c>
      <c r="B37" s="458"/>
      <c r="C37" s="458"/>
      <c r="D37" s="458"/>
      <c r="E37" s="458"/>
      <c r="F37" s="458"/>
    </row>
    <row r="38" spans="1:6">
      <c r="B38" s="458"/>
      <c r="C38" s="458"/>
      <c r="D38" s="458"/>
      <c r="E38" s="458"/>
      <c r="F38" s="458"/>
    </row>
    <row r="39" spans="1:6" ht="20.25" customHeight="1">
      <c r="A39" s="458"/>
      <c r="B39" s="506"/>
      <c r="C39" s="506"/>
      <c r="D39" s="506"/>
      <c r="E39" s="458"/>
      <c r="F39" s="458"/>
    </row>
    <row r="40" spans="1:6">
      <c r="B40" s="458"/>
      <c r="C40" s="458"/>
      <c r="D40" s="458"/>
      <c r="E40" s="458"/>
      <c r="F40" s="458"/>
    </row>
    <row r="41" spans="1:6">
      <c r="B41" s="458"/>
      <c r="C41" s="458"/>
      <c r="D41" s="458"/>
      <c r="E41" s="458"/>
      <c r="F41" s="458"/>
    </row>
    <row r="42" spans="1:6">
      <c r="B42" s="458"/>
      <c r="C42" s="458"/>
      <c r="D42" s="458"/>
      <c r="E42" s="458"/>
      <c r="F42" s="458"/>
    </row>
    <row r="43" spans="1:6">
      <c r="B43" s="458"/>
      <c r="C43" s="458"/>
      <c r="D43" s="458"/>
      <c r="E43" s="458"/>
      <c r="F43" s="458"/>
    </row>
    <row r="44" spans="1:6">
      <c r="B44" s="458"/>
      <c r="C44" s="458"/>
      <c r="D44" s="458"/>
      <c r="E44" s="458"/>
      <c r="F44" s="458"/>
    </row>
    <row r="45" spans="1:6">
      <c r="B45" s="458"/>
      <c r="C45" s="458"/>
      <c r="D45" s="458"/>
      <c r="E45" s="458"/>
      <c r="F45" s="458"/>
    </row>
    <row r="46" spans="1:6">
      <c r="B46" s="458"/>
      <c r="C46" s="458"/>
      <c r="D46" s="458"/>
      <c r="E46" s="458"/>
      <c r="F46" s="458"/>
    </row>
    <row r="47" spans="1:6">
      <c r="B47" s="458"/>
      <c r="C47" s="458"/>
      <c r="D47" s="458"/>
      <c r="E47" s="458"/>
      <c r="F47" s="458"/>
    </row>
    <row r="48" spans="1:6">
      <c r="A48" s="458"/>
      <c r="B48" s="458"/>
      <c r="C48" s="458"/>
      <c r="D48" s="458"/>
      <c r="E48" s="458"/>
      <c r="F48" s="458"/>
    </row>
  </sheetData>
  <pageMargins left="0.74803149606299213" right="0.43307086614173229" top="0.82677165354330717" bottom="0.47244094488188981" header="0.35433070866141736" footer="0.27559055118110237"/>
  <pageSetup paperSize="9" scale="96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67"/>
  <sheetViews>
    <sheetView workbookViewId="0">
      <pane ySplit="8" topLeftCell="A9" activePane="bottomLeft" state="frozen"/>
      <selection pane="bottomLeft" activeCell="K28" sqref="K28"/>
    </sheetView>
  </sheetViews>
  <sheetFormatPr baseColWidth="10" defaultColWidth="11.5" defaultRowHeight="13"/>
  <cols>
    <col min="1" max="1" width="27.5" style="762" customWidth="1"/>
    <col min="2" max="2" width="17.1640625" style="762" customWidth="1"/>
    <col min="3" max="3" width="13.5" style="762" customWidth="1"/>
    <col min="4" max="4" width="14.83203125" style="762" customWidth="1"/>
    <col min="5" max="5" width="22.1640625" style="762" customWidth="1"/>
    <col min="6" max="16384" width="11.5" style="762"/>
  </cols>
  <sheetData>
    <row r="1" spans="1:8">
      <c r="B1" s="763"/>
      <c r="C1" s="763"/>
      <c r="D1" s="763"/>
      <c r="E1" s="763"/>
    </row>
    <row r="2" spans="1:8" ht="18" customHeight="1">
      <c r="A2" s="764" t="s">
        <v>704</v>
      </c>
      <c r="H2" s="762" t="s">
        <v>588</v>
      </c>
    </row>
    <row r="3" spans="1:8" ht="20.25" customHeight="1">
      <c r="A3" s="764" t="s">
        <v>705</v>
      </c>
      <c r="B3" s="763"/>
      <c r="C3" s="763"/>
      <c r="D3" s="763"/>
      <c r="E3" s="763"/>
    </row>
    <row r="4" spans="1:8">
      <c r="A4" s="765" t="s">
        <v>506</v>
      </c>
      <c r="B4" s="766" t="s">
        <v>642</v>
      </c>
      <c r="C4" s="766" t="s">
        <v>145</v>
      </c>
      <c r="D4" s="766" t="s">
        <v>643</v>
      </c>
      <c r="E4" s="767" t="s">
        <v>585</v>
      </c>
    </row>
    <row r="5" spans="1:8">
      <c r="A5" s="768" t="s">
        <v>644</v>
      </c>
      <c r="B5" s="769" t="s">
        <v>645</v>
      </c>
      <c r="C5" s="769" t="s">
        <v>68</v>
      </c>
      <c r="D5" s="769" t="s">
        <v>646</v>
      </c>
      <c r="E5" s="770" t="s">
        <v>629</v>
      </c>
    </row>
    <row r="6" spans="1:8">
      <c r="A6" s="771"/>
      <c r="B6" s="772" t="s">
        <v>647</v>
      </c>
      <c r="C6" s="772"/>
      <c r="D6" s="773"/>
      <c r="E6" s="774"/>
    </row>
    <row r="7" spans="1:8" ht="16">
      <c r="A7" s="775"/>
      <c r="B7" s="776" t="s">
        <v>648</v>
      </c>
      <c r="C7" s="777"/>
      <c r="D7" s="777"/>
      <c r="E7" s="778"/>
    </row>
    <row r="8" spans="1:8" ht="22" customHeight="1">
      <c r="A8" s="779" t="s">
        <v>681</v>
      </c>
      <c r="B8" s="780">
        <v>57225.658000001684</v>
      </c>
      <c r="C8" s="780">
        <v>652062.69999999995</v>
      </c>
      <c r="D8" s="780">
        <v>-137497.24899999826</v>
      </c>
      <c r="E8" s="781">
        <v>0.7891349267486113</v>
      </c>
    </row>
    <row r="9" spans="1:8" ht="22" customHeight="1">
      <c r="A9" s="779" t="s">
        <v>507</v>
      </c>
      <c r="B9" s="782">
        <v>10720.099999999627</v>
      </c>
      <c r="C9" s="782">
        <v>610145.89999999991</v>
      </c>
      <c r="D9" s="782">
        <v>57439.899999999674</v>
      </c>
      <c r="E9" s="783">
        <v>1.0941412537558635</v>
      </c>
    </row>
    <row r="10" spans="1:8" ht="22" customHeight="1">
      <c r="A10" s="779" t="s">
        <v>682</v>
      </c>
      <c r="B10" s="782">
        <v>7971.7565099992789</v>
      </c>
      <c r="C10" s="782">
        <v>139934.15399999998</v>
      </c>
      <c r="D10" s="782">
        <v>8825.17088999931</v>
      </c>
      <c r="E10" s="784">
        <v>1.0630665969510154</v>
      </c>
    </row>
    <row r="11" spans="1:8" ht="22" customHeight="1">
      <c r="A11" s="779" t="s">
        <v>683</v>
      </c>
      <c r="B11" s="782">
        <v>6465.2800000000861</v>
      </c>
      <c r="C11" s="782">
        <v>22210.5</v>
      </c>
      <c r="D11" s="782">
        <v>-4742.5199999999131</v>
      </c>
      <c r="E11" s="784">
        <v>0.78647396501655009</v>
      </c>
    </row>
    <row r="12" spans="1:8" ht="22" customHeight="1">
      <c r="A12" s="779" t="s">
        <v>510</v>
      </c>
      <c r="B12" s="782">
        <v>-96801</v>
      </c>
      <c r="C12" s="782">
        <v>80795</v>
      </c>
      <c r="D12" s="782">
        <v>-100611</v>
      </c>
      <c r="E12" s="783" t="s">
        <v>587</v>
      </c>
    </row>
    <row r="13" spans="1:8" ht="22" customHeight="1">
      <c r="A13" s="779" t="s">
        <v>684</v>
      </c>
      <c r="B13" s="782">
        <v>-2064</v>
      </c>
      <c r="C13" s="782">
        <v>29450</v>
      </c>
      <c r="D13" s="782">
        <v>-27342</v>
      </c>
      <c r="E13" s="784">
        <v>7.1578947368421048E-2</v>
      </c>
    </row>
    <row r="14" spans="1:8" ht="22" customHeight="1">
      <c r="A14" s="779" t="s">
        <v>685</v>
      </c>
      <c r="B14" s="780">
        <v>-1908.2999999998719</v>
      </c>
      <c r="C14" s="780">
        <v>18598</v>
      </c>
      <c r="D14" s="780">
        <v>-2941.2999999998719</v>
      </c>
      <c r="E14" s="781">
        <v>0.84184858586945521</v>
      </c>
    </row>
    <row r="15" spans="1:8" ht="22" customHeight="1">
      <c r="A15" s="779" t="s">
        <v>686</v>
      </c>
      <c r="B15" s="780">
        <v>-10931.000000000058</v>
      </c>
      <c r="C15" s="780">
        <v>21815.100000000002</v>
      </c>
      <c r="D15" s="780">
        <v>-18019.10000000006</v>
      </c>
      <c r="E15" s="781">
        <v>0.17400791195089374</v>
      </c>
    </row>
    <row r="16" spans="1:8" ht="22" customHeight="1">
      <c r="A16" s="779" t="s">
        <v>687</v>
      </c>
      <c r="B16" s="782">
        <v>-70743.650999999838</v>
      </c>
      <c r="C16" s="782">
        <v>98822.7</v>
      </c>
      <c r="D16" s="782">
        <v>-86241.725999999835</v>
      </c>
      <c r="E16" s="784">
        <v>0.12730854348242016</v>
      </c>
    </row>
    <row r="17" spans="1:5" ht="22" customHeight="1">
      <c r="A17" s="779" t="s">
        <v>218</v>
      </c>
      <c r="B17" s="782">
        <v>539</v>
      </c>
      <c r="C17" s="782">
        <v>144269</v>
      </c>
      <c r="D17" s="782">
        <v>-17304</v>
      </c>
      <c r="E17" s="784">
        <v>0.88005739278708528</v>
      </c>
    </row>
    <row r="18" spans="1:5" ht="22" customHeight="1">
      <c r="A18" s="779" t="s">
        <v>689</v>
      </c>
      <c r="B18" s="782">
        <v>-112390.89300000016</v>
      </c>
      <c r="C18" s="782">
        <v>130189.70000000001</v>
      </c>
      <c r="D18" s="782">
        <v>-170620.49300000016</v>
      </c>
      <c r="E18" s="783" t="s">
        <v>587</v>
      </c>
    </row>
    <row r="19" spans="1:5" ht="22" customHeight="1">
      <c r="A19" s="779" t="s">
        <v>695</v>
      </c>
      <c r="B19" s="782">
        <v>2229.8059999998659</v>
      </c>
      <c r="C19" s="782">
        <v>375804.5</v>
      </c>
      <c r="D19" s="782">
        <v>-233962.49900000013</v>
      </c>
      <c r="E19" s="783">
        <v>0.37743561080295707</v>
      </c>
    </row>
    <row r="20" spans="1:5" ht="22" customHeight="1">
      <c r="A20" s="779" t="s">
        <v>690</v>
      </c>
      <c r="B20" s="780">
        <v>-933368.20000000019</v>
      </c>
      <c r="C20" s="780">
        <v>204200</v>
      </c>
      <c r="D20" s="780">
        <v>-1074560.4000000001</v>
      </c>
      <c r="E20" s="781" t="s">
        <v>587</v>
      </c>
    </row>
    <row r="21" spans="1:5" ht="22" customHeight="1">
      <c r="A21" s="779" t="s">
        <v>509</v>
      </c>
      <c r="B21" s="782">
        <v>-37833.799999999814</v>
      </c>
      <c r="C21" s="782">
        <v>28414</v>
      </c>
      <c r="D21" s="782">
        <v>-47872.399999999812</v>
      </c>
      <c r="E21" s="781" t="s">
        <v>587</v>
      </c>
    </row>
    <row r="22" spans="1:5" ht="22" customHeight="1">
      <c r="A22" s="779" t="s">
        <v>696</v>
      </c>
      <c r="B22" s="782">
        <v>-7432.5999999999767</v>
      </c>
      <c r="C22" s="782">
        <v>24435</v>
      </c>
      <c r="D22" s="782">
        <v>-29635.599999999977</v>
      </c>
      <c r="E22" s="784" t="s">
        <v>587</v>
      </c>
    </row>
    <row r="23" spans="1:5" ht="22" customHeight="1">
      <c r="A23" s="779" t="s">
        <v>590</v>
      </c>
      <c r="B23" s="782">
        <v>-5877.2999999999884</v>
      </c>
      <c r="C23" s="782">
        <v>8072</v>
      </c>
      <c r="D23" s="782">
        <v>-11594.299999999988</v>
      </c>
      <c r="E23" s="781" t="s">
        <v>587</v>
      </c>
    </row>
    <row r="24" spans="1:5" ht="22" customHeight="1">
      <c r="A24" s="779" t="s">
        <v>706</v>
      </c>
      <c r="B24" s="782">
        <v>-30059</v>
      </c>
      <c r="C24" s="782">
        <v>452233.5</v>
      </c>
      <c r="D24" s="782">
        <v>-429942</v>
      </c>
      <c r="E24" s="784">
        <v>4.9292013970658966E-2</v>
      </c>
    </row>
    <row r="25" spans="1:5" ht="22" customHeight="1">
      <c r="A25" s="779" t="s">
        <v>697</v>
      </c>
      <c r="B25" s="782">
        <v>-58409</v>
      </c>
      <c r="C25" s="782">
        <v>191534</v>
      </c>
      <c r="D25" s="782">
        <v>-71641</v>
      </c>
      <c r="E25" s="784">
        <v>0.62596197019850264</v>
      </c>
    </row>
    <row r="26" spans="1:5" ht="22" customHeight="1">
      <c r="A26" s="779" t="s">
        <v>707</v>
      </c>
      <c r="B26" s="782">
        <v>29610.599999999627</v>
      </c>
      <c r="C26" s="782">
        <v>183233.39999999997</v>
      </c>
      <c r="D26" s="782">
        <v>20166.899999999674</v>
      </c>
      <c r="E26" s="784">
        <v>1.1100612661228775</v>
      </c>
    </row>
    <row r="27" spans="1:5" ht="22" customHeight="1">
      <c r="A27" s="779" t="s">
        <v>691</v>
      </c>
      <c r="B27" s="782">
        <v>-7594</v>
      </c>
      <c r="C27" s="782">
        <v>73280</v>
      </c>
      <c r="D27" s="782">
        <v>-47440</v>
      </c>
      <c r="E27" s="784">
        <v>0.35262008733624456</v>
      </c>
    </row>
    <row r="28" spans="1:5" ht="22" customHeight="1">
      <c r="A28" s="779" t="s">
        <v>511</v>
      </c>
      <c r="B28" s="782">
        <v>-148029.20000000065</v>
      </c>
      <c r="C28" s="782">
        <v>205536.30000000002</v>
      </c>
      <c r="D28" s="782">
        <v>-176665.50000000067</v>
      </c>
      <c r="E28" s="781">
        <v>0.14046569875977793</v>
      </c>
    </row>
    <row r="29" spans="1:5" ht="22" customHeight="1">
      <c r="A29" s="779" t="s">
        <v>503</v>
      </c>
      <c r="B29" s="782">
        <v>24089.300000000745</v>
      </c>
      <c r="C29" s="782">
        <v>369220</v>
      </c>
      <c r="D29" s="782">
        <v>-144438.49999999924</v>
      </c>
      <c r="E29" s="783">
        <v>0.60880098586208964</v>
      </c>
    </row>
    <row r="30" spans="1:5" ht="22" customHeight="1">
      <c r="A30" s="779" t="s">
        <v>701</v>
      </c>
      <c r="B30" s="782">
        <v>5371.8999999999069</v>
      </c>
      <c r="C30" s="782">
        <v>186544.3</v>
      </c>
      <c r="D30" s="782">
        <v>2013.5999999999185</v>
      </c>
      <c r="E30" s="784">
        <v>1.0107942188531085</v>
      </c>
    </row>
    <row r="31" spans="1:5" ht="22" customHeight="1">
      <c r="A31" s="779" t="s">
        <v>702</v>
      </c>
      <c r="B31" s="782">
        <v>-15448.523999999976</v>
      </c>
      <c r="C31" s="782">
        <v>58998.900000000009</v>
      </c>
      <c r="D31" s="782">
        <v>-17616.852999999981</v>
      </c>
      <c r="E31" s="784">
        <v>0.70140370413685715</v>
      </c>
    </row>
    <row r="32" spans="1:5" ht="22" customHeight="1">
      <c r="A32" s="779" t="s">
        <v>633</v>
      </c>
      <c r="B32" s="782">
        <v>244.75899999961257</v>
      </c>
      <c r="C32" s="782">
        <v>645845.83700000006</v>
      </c>
      <c r="D32" s="782">
        <v>-212364.91600000043</v>
      </c>
      <c r="E32" s="507">
        <v>0.6711832703196623</v>
      </c>
    </row>
    <row r="33" spans="1:5" ht="22" customHeight="1">
      <c r="A33" s="779" t="s">
        <v>692</v>
      </c>
      <c r="B33" s="785">
        <v>-5448.2000000000698</v>
      </c>
      <c r="C33" s="785">
        <v>38684.5</v>
      </c>
      <c r="D33" s="785">
        <v>-7548.7000000000698</v>
      </c>
      <c r="E33" s="786">
        <v>0.80486499760885966</v>
      </c>
    </row>
    <row r="34" spans="1:5" ht="22" customHeight="1">
      <c r="A34" s="787" t="s">
        <v>678</v>
      </c>
      <c r="B34" s="788">
        <v>-1399870.5084900004</v>
      </c>
      <c r="C34" s="788">
        <v>4994328.9910000004</v>
      </c>
      <c r="D34" s="788">
        <v>-2982156.4851099998</v>
      </c>
      <c r="E34" s="789">
        <v>0.40289146139872306</v>
      </c>
    </row>
    <row r="35" spans="1:5" ht="16">
      <c r="A35" s="763" t="s">
        <v>649</v>
      </c>
      <c r="B35" s="790"/>
      <c r="C35" s="790"/>
      <c r="D35" s="790"/>
      <c r="E35" s="790"/>
    </row>
    <row r="36" spans="1:5">
      <c r="A36" s="763" t="s">
        <v>650</v>
      </c>
      <c r="B36" s="763"/>
      <c r="C36" s="763"/>
      <c r="D36" s="763"/>
      <c r="E36" s="763"/>
    </row>
    <row r="37" spans="1:5">
      <c r="A37" s="762" t="s">
        <v>651</v>
      </c>
      <c r="B37" s="763"/>
      <c r="C37" s="763"/>
      <c r="D37" s="763"/>
      <c r="E37" s="763"/>
    </row>
    <row r="38" spans="1:5">
      <c r="B38" s="763"/>
      <c r="C38" s="763"/>
      <c r="D38" s="763"/>
      <c r="E38" s="763"/>
    </row>
    <row r="39" spans="1:5" ht="16">
      <c r="B39" s="506"/>
      <c r="C39" s="506"/>
      <c r="D39" s="506"/>
      <c r="E39" s="763"/>
    </row>
    <row r="40" spans="1:5">
      <c r="A40" s="763"/>
      <c r="B40" s="763"/>
      <c r="C40" s="763"/>
      <c r="D40" s="763"/>
      <c r="E40" s="763"/>
    </row>
    <row r="41" spans="1:5">
      <c r="A41" s="763"/>
      <c r="B41" s="763"/>
      <c r="C41" s="763"/>
      <c r="D41" s="763"/>
      <c r="E41" s="763"/>
    </row>
    <row r="42" spans="1:5">
      <c r="A42" s="763"/>
      <c r="B42" s="763"/>
      <c r="C42" s="763"/>
      <c r="D42" s="763"/>
      <c r="E42" s="763"/>
    </row>
    <row r="43" spans="1:5">
      <c r="A43" s="763" t="s">
        <v>649</v>
      </c>
      <c r="B43" s="763"/>
      <c r="C43" s="763"/>
      <c r="D43" s="763"/>
      <c r="E43" s="763"/>
    </row>
    <row r="44" spans="1:5">
      <c r="A44" s="763" t="s">
        <v>652</v>
      </c>
      <c r="B44" s="763"/>
      <c r="C44" s="763"/>
      <c r="D44" s="763"/>
      <c r="E44" s="763"/>
    </row>
    <row r="45" spans="1:5">
      <c r="A45" s="763" t="s">
        <v>653</v>
      </c>
      <c r="B45" s="763"/>
      <c r="C45" s="763"/>
      <c r="D45" s="763"/>
      <c r="E45" s="763"/>
    </row>
    <row r="46" spans="1:5">
      <c r="A46" s="763" t="s">
        <v>654</v>
      </c>
      <c r="B46" s="763"/>
      <c r="C46" s="763"/>
      <c r="D46" s="763"/>
      <c r="E46" s="763"/>
    </row>
    <row r="47" spans="1:5">
      <c r="A47" s="762" t="s">
        <v>655</v>
      </c>
      <c r="B47" s="763"/>
      <c r="C47" s="763"/>
      <c r="D47" s="763"/>
      <c r="E47" s="763"/>
    </row>
    <row r="48" spans="1:5">
      <c r="A48" s="763" t="s">
        <v>656</v>
      </c>
      <c r="B48" s="763"/>
      <c r="C48" s="763"/>
      <c r="D48" s="763"/>
      <c r="E48" s="763"/>
    </row>
    <row r="49" spans="1:5">
      <c r="A49" s="762" t="s">
        <v>657</v>
      </c>
      <c r="B49" s="763"/>
      <c r="C49" s="763"/>
      <c r="D49" s="763"/>
      <c r="E49" s="763"/>
    </row>
    <row r="50" spans="1:5">
      <c r="A50" s="762" t="s">
        <v>658</v>
      </c>
      <c r="B50" s="763"/>
      <c r="C50" s="763"/>
      <c r="D50" s="763"/>
      <c r="E50" s="763"/>
    </row>
    <row r="51" spans="1:5">
      <c r="A51" s="762" t="s">
        <v>659</v>
      </c>
      <c r="B51" s="763"/>
      <c r="C51" s="763"/>
      <c r="D51" s="763"/>
      <c r="E51" s="763"/>
    </row>
    <row r="52" spans="1:5">
      <c r="A52" s="762" t="s">
        <v>660</v>
      </c>
      <c r="B52" s="763"/>
      <c r="C52" s="763"/>
      <c r="D52" s="763"/>
      <c r="E52" s="763"/>
    </row>
    <row r="53" spans="1:5">
      <c r="A53" s="762" t="s">
        <v>658</v>
      </c>
      <c r="B53" s="763"/>
      <c r="C53" s="763"/>
      <c r="D53" s="763"/>
      <c r="E53" s="763"/>
    </row>
    <row r="54" spans="1:5">
      <c r="A54" s="763" t="s">
        <v>661</v>
      </c>
      <c r="B54" s="763"/>
      <c r="C54" s="763"/>
      <c r="D54" s="763"/>
      <c r="E54" s="763"/>
    </row>
    <row r="55" spans="1:5">
      <c r="A55" s="763" t="s">
        <v>658</v>
      </c>
      <c r="B55" s="763"/>
      <c r="C55" s="763"/>
      <c r="D55" s="763"/>
      <c r="E55" s="763"/>
    </row>
    <row r="56" spans="1:5">
      <c r="A56" s="763" t="s">
        <v>662</v>
      </c>
      <c r="B56" s="763"/>
      <c r="C56" s="763"/>
      <c r="D56" s="763"/>
      <c r="E56" s="763"/>
    </row>
    <row r="57" spans="1:5">
      <c r="A57" s="762" t="s">
        <v>663</v>
      </c>
      <c r="B57" s="763"/>
      <c r="C57" s="763"/>
      <c r="D57" s="763"/>
      <c r="E57" s="763"/>
    </row>
    <row r="58" spans="1:5">
      <c r="A58" s="762" t="s">
        <v>664</v>
      </c>
      <c r="B58" s="763"/>
      <c r="C58" s="763"/>
      <c r="D58" s="763"/>
      <c r="E58" s="763"/>
    </row>
    <row r="59" spans="1:5">
      <c r="B59" s="763"/>
      <c r="C59" s="763"/>
      <c r="D59" s="763"/>
      <c r="E59" s="763"/>
    </row>
    <row r="60" spans="1:5">
      <c r="B60" s="763"/>
      <c r="C60" s="763"/>
      <c r="D60" s="763"/>
      <c r="E60" s="763"/>
    </row>
    <row r="61" spans="1:5">
      <c r="B61" s="763"/>
      <c r="C61" s="763"/>
      <c r="D61" s="763"/>
      <c r="E61" s="763"/>
    </row>
    <row r="62" spans="1:5">
      <c r="B62" s="763"/>
      <c r="C62" s="763"/>
      <c r="D62" s="763"/>
      <c r="E62" s="763"/>
    </row>
    <row r="63" spans="1:5">
      <c r="B63" s="763"/>
      <c r="C63" s="763"/>
      <c r="D63" s="763"/>
      <c r="E63" s="763"/>
    </row>
    <row r="64" spans="1:5">
      <c r="B64" s="763"/>
      <c r="C64" s="763"/>
      <c r="D64" s="763"/>
      <c r="E64" s="763"/>
    </row>
    <row r="65" spans="1:5">
      <c r="B65" s="763"/>
      <c r="C65" s="763"/>
      <c r="D65" s="763"/>
      <c r="E65" s="763"/>
    </row>
    <row r="66" spans="1:5">
      <c r="B66" s="763"/>
      <c r="C66" s="763"/>
      <c r="D66" s="763"/>
      <c r="E66" s="763"/>
    </row>
    <row r="67" spans="1:5">
      <c r="A67" s="763"/>
      <c r="B67" s="763"/>
      <c r="C67" s="763"/>
      <c r="D67" s="763"/>
      <c r="E67" s="763"/>
    </row>
  </sheetData>
  <pageMargins left="0.6692913385826772" right="0.55118110236220474" top="0.81" bottom="0.7" header="0.41" footer="0.47244094488188981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07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H73"/>
  <sheetViews>
    <sheetView zoomScale="115" zoomScaleNormal="115" workbookViewId="0">
      <pane ySplit="6" topLeftCell="A7" activePane="bottomLeft" state="frozen"/>
      <selection activeCell="K44" sqref="K44:N48"/>
      <selection pane="bottomLeft" activeCell="H12" sqref="H12"/>
    </sheetView>
  </sheetViews>
  <sheetFormatPr baseColWidth="10" defaultColWidth="11.5" defaultRowHeight="13"/>
  <cols>
    <col min="1" max="1" width="22.33203125" style="552" customWidth="1"/>
    <col min="2" max="2" width="12.83203125" style="557" customWidth="1"/>
    <col min="3" max="3" width="15.5" style="557" customWidth="1"/>
    <col min="4" max="4" width="12.1640625" style="557" customWidth="1"/>
    <col min="5" max="5" width="13.5" style="557" customWidth="1"/>
    <col min="6" max="6" width="15.33203125" style="557" customWidth="1"/>
    <col min="7" max="7" width="13.6640625" style="513" customWidth="1"/>
    <col min="8" max="8" width="13.5" style="513" customWidth="1"/>
    <col min="9" max="55" width="11.5" style="457" customWidth="1"/>
    <col min="56" max="16384" width="11.5" style="457"/>
  </cols>
  <sheetData>
    <row r="1" spans="1:8" s="509" customFormat="1" ht="37.5" customHeight="1">
      <c r="A1" s="804" t="s">
        <v>667</v>
      </c>
      <c r="B1" s="804"/>
      <c r="C1" s="804"/>
      <c r="D1" s="804"/>
      <c r="E1" s="804"/>
      <c r="F1" s="804"/>
      <c r="G1" s="508"/>
      <c r="H1" s="508"/>
    </row>
    <row r="2" spans="1:8" ht="15" customHeight="1">
      <c r="A2" s="510" t="s">
        <v>506</v>
      </c>
      <c r="B2" s="511" t="s">
        <v>2</v>
      </c>
      <c r="C2" s="511" t="s">
        <v>37</v>
      </c>
      <c r="D2" s="511" t="s">
        <v>512</v>
      </c>
      <c r="E2" s="511" t="s">
        <v>2</v>
      </c>
      <c r="F2" s="512" t="s">
        <v>512</v>
      </c>
      <c r="G2" s="464"/>
    </row>
    <row r="3" spans="1:8" ht="14">
      <c r="A3" s="514" t="s">
        <v>644</v>
      </c>
      <c r="B3" s="515" t="s">
        <v>2</v>
      </c>
      <c r="C3" s="515" t="s">
        <v>172</v>
      </c>
      <c r="D3" s="516" t="s">
        <v>708</v>
      </c>
      <c r="E3" s="515" t="s">
        <v>2</v>
      </c>
      <c r="F3" s="517" t="s">
        <v>709</v>
      </c>
      <c r="G3" s="464"/>
    </row>
    <row r="4" spans="1:8" ht="18" customHeight="1">
      <c r="A4" s="518"/>
      <c r="B4" s="519">
        <v>2013</v>
      </c>
      <c r="C4" s="519">
        <v>2013</v>
      </c>
      <c r="D4" s="519"/>
      <c r="E4" s="519">
        <v>2014</v>
      </c>
      <c r="F4" s="520"/>
      <c r="G4" s="464"/>
    </row>
    <row r="5" spans="1:8" s="527" customFormat="1" ht="15.75" customHeight="1">
      <c r="A5" s="521" t="s">
        <v>648</v>
      </c>
      <c r="B5" s="522"/>
      <c r="C5" s="523"/>
      <c r="D5" s="524"/>
      <c r="E5" s="525" t="s">
        <v>483</v>
      </c>
      <c r="F5" s="526"/>
      <c r="G5" s="529"/>
      <c r="H5" s="530"/>
    </row>
    <row r="6" spans="1:8" s="527" customFormat="1" ht="22" customHeight="1">
      <c r="A6" s="531" t="s">
        <v>38</v>
      </c>
      <c r="B6" s="532">
        <v>17567.388999998569</v>
      </c>
      <c r="C6" s="532">
        <v>-37590.066249998286</v>
      </c>
      <c r="D6" s="533">
        <v>-55157.455249996856</v>
      </c>
      <c r="E6" s="534">
        <v>57225.658000001684</v>
      </c>
      <c r="F6" s="535">
        <v>94815.72424999997</v>
      </c>
      <c r="G6" s="529"/>
      <c r="H6" s="530"/>
    </row>
    <row r="7" spans="1:8" s="527" customFormat="1" ht="22" customHeight="1">
      <c r="A7" s="538" t="s">
        <v>507</v>
      </c>
      <c r="B7" s="539">
        <v>9175.487879998982</v>
      </c>
      <c r="C7" s="533">
        <v>156963.19999999925</v>
      </c>
      <c r="D7" s="539">
        <v>147787.71212000027</v>
      </c>
      <c r="E7" s="540">
        <v>10720.099999999627</v>
      </c>
      <c r="F7" s="541">
        <v>-146243.09999999963</v>
      </c>
      <c r="G7" s="529"/>
      <c r="H7" s="530"/>
    </row>
    <row r="8" spans="1:8" s="527" customFormat="1" ht="22" customHeight="1">
      <c r="A8" s="538" t="s">
        <v>210</v>
      </c>
      <c r="B8" s="542">
        <v>-11123.494000000414</v>
      </c>
      <c r="C8" s="542">
        <v>5187.2557800002396</v>
      </c>
      <c r="D8" s="539">
        <v>16310.749780000653</v>
      </c>
      <c r="E8" s="543">
        <v>7971.7565099992789</v>
      </c>
      <c r="F8" s="544">
        <v>2784.5007299990393</v>
      </c>
      <c r="G8" s="529"/>
      <c r="H8" s="530"/>
    </row>
    <row r="9" spans="1:8" s="527" customFormat="1" ht="22" customHeight="1">
      <c r="A9" s="538" t="s">
        <v>208</v>
      </c>
      <c r="B9" s="542">
        <v>5394.8510000000824</v>
      </c>
      <c r="C9" s="542">
        <v>21960.396000000008</v>
      </c>
      <c r="D9" s="539">
        <v>16565.544999999925</v>
      </c>
      <c r="E9" s="543">
        <v>6465.2800000000861</v>
      </c>
      <c r="F9" s="541">
        <v>-15495.115999999922</v>
      </c>
      <c r="G9" s="529"/>
      <c r="H9" s="530"/>
    </row>
    <row r="10" spans="1:8" s="527" customFormat="1" ht="22" customHeight="1">
      <c r="A10" s="538" t="s">
        <v>510</v>
      </c>
      <c r="B10" s="539">
        <v>-100668</v>
      </c>
      <c r="C10" s="539">
        <v>-140662</v>
      </c>
      <c r="D10" s="539">
        <v>-39994</v>
      </c>
      <c r="E10" s="545">
        <v>-96801</v>
      </c>
      <c r="F10" s="544">
        <v>43861</v>
      </c>
      <c r="G10" s="529"/>
      <c r="H10" s="530"/>
    </row>
    <row r="11" spans="1:8" s="527" customFormat="1" ht="22" customHeight="1">
      <c r="A11" s="538" t="s">
        <v>225</v>
      </c>
      <c r="B11" s="542">
        <v>-1965</v>
      </c>
      <c r="C11" s="542">
        <v>-2078</v>
      </c>
      <c r="D11" s="539">
        <v>-113</v>
      </c>
      <c r="E11" s="543">
        <v>-2064</v>
      </c>
      <c r="F11" s="541">
        <v>14</v>
      </c>
      <c r="G11" s="529"/>
      <c r="H11" s="530"/>
    </row>
    <row r="12" spans="1:8" s="527" customFormat="1" ht="22" customHeight="1">
      <c r="A12" s="538" t="s">
        <v>136</v>
      </c>
      <c r="B12" s="542">
        <v>-400.20000000006985</v>
      </c>
      <c r="C12" s="542">
        <v>-1179</v>
      </c>
      <c r="D12" s="539">
        <v>-778.79999999993015</v>
      </c>
      <c r="E12" s="543">
        <v>-1908.2999999998719</v>
      </c>
      <c r="F12" s="544">
        <v>-729.29999999987194</v>
      </c>
      <c r="G12" s="529"/>
      <c r="H12" s="530"/>
    </row>
    <row r="13" spans="1:8" s="527" customFormat="1" ht="22" customHeight="1">
      <c r="A13" s="538" t="s">
        <v>141</v>
      </c>
      <c r="B13" s="542">
        <v>-658.69999999995343</v>
      </c>
      <c r="C13" s="542">
        <v>1186.4999999999418</v>
      </c>
      <c r="D13" s="539">
        <v>1845.1999999998952</v>
      </c>
      <c r="E13" s="543">
        <v>-10931.000000000058</v>
      </c>
      <c r="F13" s="541">
        <v>-12117.5</v>
      </c>
      <c r="G13" s="529"/>
      <c r="H13" s="530"/>
    </row>
    <row r="14" spans="1:8" s="527" customFormat="1" ht="22" customHeight="1">
      <c r="A14" s="538" t="s">
        <v>214</v>
      </c>
      <c r="B14" s="542">
        <v>-24843.704999999842</v>
      </c>
      <c r="C14" s="542">
        <v>-20504.192000000039</v>
      </c>
      <c r="D14" s="539">
        <v>4339.5129999998026</v>
      </c>
      <c r="E14" s="543">
        <v>-70743.650999999838</v>
      </c>
      <c r="F14" s="544">
        <v>-50239.458999999799</v>
      </c>
      <c r="G14" s="529"/>
      <c r="H14" s="530"/>
    </row>
    <row r="15" spans="1:8" s="527" customFormat="1" ht="22" customHeight="1">
      <c r="A15" s="538" t="s">
        <v>218</v>
      </c>
      <c r="B15" s="542">
        <v>497.90000000037253</v>
      </c>
      <c r="C15" s="542">
        <v>-900</v>
      </c>
      <c r="D15" s="539">
        <v>-1397.9000000003725</v>
      </c>
      <c r="E15" s="543">
        <v>539</v>
      </c>
      <c r="F15" s="541">
        <v>1439</v>
      </c>
      <c r="G15" s="529"/>
      <c r="H15" s="530"/>
    </row>
    <row r="16" spans="1:8" s="527" customFormat="1" ht="22" customHeight="1">
      <c r="A16" s="538" t="s">
        <v>204</v>
      </c>
      <c r="B16" s="542">
        <v>-146119.19999999972</v>
      </c>
      <c r="C16" s="542">
        <v>-121346.24999999977</v>
      </c>
      <c r="D16" s="539">
        <v>24772.949999999953</v>
      </c>
      <c r="E16" s="546">
        <v>-112390.89300000016</v>
      </c>
      <c r="F16" s="544">
        <v>8955.3569999996107</v>
      </c>
      <c r="G16" s="529"/>
      <c r="H16" s="530"/>
    </row>
    <row r="17" spans="1:8" s="527" customFormat="1" ht="22" customHeight="1">
      <c r="A17" s="538" t="s">
        <v>508</v>
      </c>
      <c r="B17" s="539">
        <v>7733.0430000000633</v>
      </c>
      <c r="C17" s="542">
        <v>85389.603000000119</v>
      </c>
      <c r="D17" s="539">
        <v>77656.560000000056</v>
      </c>
      <c r="E17" s="546">
        <v>2229.8059999998659</v>
      </c>
      <c r="F17" s="541">
        <v>-83159.797000000253</v>
      </c>
      <c r="G17" s="529"/>
      <c r="H17" s="530"/>
    </row>
    <row r="18" spans="1:8" s="527" customFormat="1" ht="22" customHeight="1">
      <c r="A18" s="538" t="s">
        <v>668</v>
      </c>
      <c r="B18" s="542">
        <v>-24756.976000000257</v>
      </c>
      <c r="C18" s="542">
        <v>-4247.6000000005588</v>
      </c>
      <c r="D18" s="539">
        <v>20509.375999999698</v>
      </c>
      <c r="E18" s="543">
        <v>-933368.20000000019</v>
      </c>
      <c r="F18" s="544">
        <v>-929120.59999999963</v>
      </c>
      <c r="G18" s="529"/>
      <c r="H18" s="530"/>
    </row>
    <row r="19" spans="1:8" s="527" customFormat="1" ht="22" customHeight="1">
      <c r="A19" s="538" t="s">
        <v>509</v>
      </c>
      <c r="B19" s="539">
        <v>-23626.699999999953</v>
      </c>
      <c r="C19" s="539">
        <v>-17444.300000000047</v>
      </c>
      <c r="D19" s="539">
        <v>6182.3999999999069</v>
      </c>
      <c r="E19" s="545">
        <v>-37833.799999999814</v>
      </c>
      <c r="F19" s="541">
        <v>-20389.499999999767</v>
      </c>
      <c r="G19" s="529"/>
      <c r="H19" s="530"/>
    </row>
    <row r="20" spans="1:8" s="527" customFormat="1" ht="22" customHeight="1">
      <c r="A20" s="538" t="s">
        <v>589</v>
      </c>
      <c r="B20" s="539">
        <v>-17220</v>
      </c>
      <c r="C20" s="542">
        <v>-24290.799999999988</v>
      </c>
      <c r="D20" s="539">
        <v>-7070.7999999999884</v>
      </c>
      <c r="E20" s="543">
        <v>-7432.5999999999767</v>
      </c>
      <c r="F20" s="544">
        <v>16858.200000000012</v>
      </c>
      <c r="G20" s="529"/>
      <c r="H20" s="530"/>
    </row>
    <row r="21" spans="1:8" s="527" customFormat="1" ht="22" customHeight="1">
      <c r="A21" s="538" t="s">
        <v>590</v>
      </c>
      <c r="B21" s="539">
        <v>-7633</v>
      </c>
      <c r="C21" s="539">
        <v>449.5000000000291</v>
      </c>
      <c r="D21" s="539">
        <v>8082.5000000000291</v>
      </c>
      <c r="E21" s="545">
        <v>-5877.2999999999884</v>
      </c>
      <c r="F21" s="541">
        <v>-6326.8000000000175</v>
      </c>
      <c r="G21" s="529"/>
      <c r="H21" s="530"/>
    </row>
    <row r="22" spans="1:8" s="527" customFormat="1" ht="22" customHeight="1">
      <c r="A22" s="538" t="s">
        <v>499</v>
      </c>
      <c r="B22" s="539">
        <v>-27028.700000000186</v>
      </c>
      <c r="C22" s="539">
        <v>73384.113590000197</v>
      </c>
      <c r="D22" s="539">
        <v>100412.81359000038</v>
      </c>
      <c r="E22" s="543">
        <v>-30059</v>
      </c>
      <c r="F22" s="544">
        <v>-103443.1135900002</v>
      </c>
      <c r="G22" s="529"/>
      <c r="H22" s="530"/>
    </row>
    <row r="23" spans="1:8" s="527" customFormat="1" ht="22" customHeight="1">
      <c r="A23" s="538" t="s">
        <v>223</v>
      </c>
      <c r="B23" s="539">
        <v>-52514</v>
      </c>
      <c r="C23" s="542">
        <v>-33548</v>
      </c>
      <c r="D23" s="539">
        <v>18966</v>
      </c>
      <c r="E23" s="543">
        <v>-58409</v>
      </c>
      <c r="F23" s="541">
        <v>-24861</v>
      </c>
      <c r="G23" s="529"/>
      <c r="H23" s="530"/>
    </row>
    <row r="24" spans="1:8" s="527" customFormat="1" ht="22" customHeight="1">
      <c r="A24" s="538" t="s">
        <v>497</v>
      </c>
      <c r="B24" s="539">
        <v>2068.1689999997616</v>
      </c>
      <c r="C24" s="539">
        <v>1707.5999999996275</v>
      </c>
      <c r="D24" s="539">
        <v>-360.56900000013411</v>
      </c>
      <c r="E24" s="543">
        <v>29610.599999999627</v>
      </c>
      <c r="F24" s="544">
        <v>27903</v>
      </c>
      <c r="G24" s="529"/>
      <c r="H24" s="530"/>
    </row>
    <row r="25" spans="1:8" s="527" customFormat="1" ht="22" customHeight="1">
      <c r="A25" s="538" t="s">
        <v>212</v>
      </c>
      <c r="B25" s="542">
        <v>-16012</v>
      </c>
      <c r="C25" s="542">
        <v>-9029</v>
      </c>
      <c r="D25" s="539">
        <v>6983</v>
      </c>
      <c r="E25" s="543">
        <v>-7594</v>
      </c>
      <c r="F25" s="541">
        <v>1435</v>
      </c>
      <c r="G25" s="529"/>
      <c r="H25" s="530"/>
    </row>
    <row r="26" spans="1:8" s="527" customFormat="1" ht="22" customHeight="1">
      <c r="A26" s="538" t="s">
        <v>511</v>
      </c>
      <c r="B26" s="539">
        <v>-165597.28000000073</v>
      </c>
      <c r="C26" s="539">
        <v>-177594.86150000012</v>
      </c>
      <c r="D26" s="539">
        <v>-11997.581499999389</v>
      </c>
      <c r="E26" s="543">
        <v>-148029.20000000065</v>
      </c>
      <c r="F26" s="544">
        <v>29565.661499999464</v>
      </c>
      <c r="G26" s="529"/>
      <c r="H26" s="530"/>
    </row>
    <row r="27" spans="1:8" s="527" customFormat="1" ht="22" customHeight="1">
      <c r="A27" s="538" t="s">
        <v>503</v>
      </c>
      <c r="B27" s="539">
        <v>1817.0999999977648</v>
      </c>
      <c r="C27" s="539">
        <v>7878.8319999985397</v>
      </c>
      <c r="D27" s="539">
        <v>6061.7320000007749</v>
      </c>
      <c r="E27" s="546">
        <v>24089.300000000745</v>
      </c>
      <c r="F27" s="541">
        <v>16210.468000002205</v>
      </c>
      <c r="G27" s="529"/>
      <c r="H27" s="530"/>
    </row>
    <row r="28" spans="1:8" s="527" customFormat="1" ht="22" customHeight="1">
      <c r="A28" s="538" t="s">
        <v>630</v>
      </c>
      <c r="B28" s="539">
        <v>6077.4000000003725</v>
      </c>
      <c r="C28" s="539">
        <v>-53545.200000000652</v>
      </c>
      <c r="D28" s="539">
        <v>-59622.600000001024</v>
      </c>
      <c r="E28" s="545">
        <v>5371.8999999999069</v>
      </c>
      <c r="F28" s="544">
        <v>58917.100000000559</v>
      </c>
      <c r="G28" s="529"/>
      <c r="H28" s="530"/>
    </row>
    <row r="29" spans="1:8" s="527" customFormat="1" ht="22" customHeight="1">
      <c r="A29" s="538" t="s">
        <v>631</v>
      </c>
      <c r="B29" s="539">
        <v>-11531.452000000048</v>
      </c>
      <c r="C29" s="539">
        <v>-236753.53099999996</v>
      </c>
      <c r="D29" s="539">
        <v>-225222.07899999991</v>
      </c>
      <c r="E29" s="545">
        <v>-15448.523999999976</v>
      </c>
      <c r="F29" s="541">
        <v>221305.00699999998</v>
      </c>
      <c r="G29" s="529"/>
      <c r="H29" s="530"/>
    </row>
    <row r="30" spans="1:8" s="527" customFormat="1" ht="22" customHeight="1">
      <c r="A30" s="538" t="s">
        <v>633</v>
      </c>
      <c r="B30" s="539">
        <v>-31590.003994399682</v>
      </c>
      <c r="C30" s="539">
        <v>56421.685559995472</v>
      </c>
      <c r="D30" s="539">
        <v>88011.689554395154</v>
      </c>
      <c r="E30" s="546">
        <v>244.75899999961257</v>
      </c>
      <c r="F30" s="544">
        <v>-56176.92655999586</v>
      </c>
      <c r="G30" s="505"/>
      <c r="H30" s="530"/>
    </row>
    <row r="31" spans="1:8" s="527" customFormat="1" ht="22" customHeight="1">
      <c r="A31" s="538" t="s">
        <v>206</v>
      </c>
      <c r="B31" s="542">
        <v>726.59999999997672</v>
      </c>
      <c r="C31" s="547">
        <v>-1538.634960000054</v>
      </c>
      <c r="D31" s="539">
        <v>-2265.2349600000307</v>
      </c>
      <c r="E31" s="543">
        <v>-5448.2000000000698</v>
      </c>
      <c r="F31" s="541">
        <v>-3909.5650400000159</v>
      </c>
      <c r="G31" s="529"/>
      <c r="H31" s="530"/>
    </row>
    <row r="32" spans="1:8" s="527" customFormat="1" ht="22" customHeight="1">
      <c r="A32" s="548" t="s">
        <v>678</v>
      </c>
      <c r="B32" s="549">
        <v>-612230.47111440485</v>
      </c>
      <c r="C32" s="532">
        <v>-471722.74978000601</v>
      </c>
      <c r="D32" s="549">
        <v>140507.72133439884</v>
      </c>
      <c r="E32" s="549">
        <v>-1399870.5084900004</v>
      </c>
      <c r="F32" s="550">
        <v>-928147.75870999438</v>
      </c>
      <c r="G32" s="529"/>
      <c r="H32" s="530"/>
    </row>
    <row r="33" spans="1:8" s="527" customFormat="1" ht="2" customHeight="1">
      <c r="A33" s="457"/>
      <c r="B33" s="490"/>
      <c r="C33" s="490"/>
      <c r="D33" s="490"/>
      <c r="E33" s="490"/>
      <c r="F33" s="551"/>
      <c r="G33" s="529"/>
      <c r="H33" s="530"/>
    </row>
    <row r="34" spans="1:8" s="527" customFormat="1" ht="2" customHeight="1">
      <c r="A34" s="457"/>
      <c r="B34" s="490"/>
      <c r="C34" s="490"/>
      <c r="D34" s="490"/>
      <c r="E34" s="490"/>
      <c r="F34" s="551"/>
      <c r="G34" s="529"/>
      <c r="H34" s="530"/>
    </row>
    <row r="35" spans="1:8" ht="2" customHeight="1">
      <c r="B35" s="490"/>
      <c r="C35" s="490"/>
      <c r="D35" s="490"/>
      <c r="E35" s="490"/>
      <c r="F35" s="490"/>
      <c r="G35" s="528"/>
    </row>
    <row r="36" spans="1:8" ht="2" customHeight="1">
      <c r="B36" s="553"/>
      <c r="C36" s="553"/>
      <c r="D36" s="553"/>
      <c r="E36" s="553"/>
      <c r="F36" s="553"/>
      <c r="G36" s="554"/>
    </row>
    <row r="37" spans="1:8" s="479" customFormat="1">
      <c r="A37" s="555" t="s">
        <v>669</v>
      </c>
      <c r="B37" s="553"/>
      <c r="C37" s="553"/>
      <c r="D37" s="553"/>
      <c r="E37" s="553"/>
      <c r="F37" s="553"/>
      <c r="G37" s="530"/>
      <c r="H37" s="530"/>
    </row>
    <row r="38" spans="1:8" s="479" customFormat="1" ht="18.75" customHeight="1">
      <c r="A38" s="488"/>
      <c r="B38" s="553"/>
      <c r="C38" s="553"/>
      <c r="D38" s="553"/>
      <c r="E38" s="553"/>
      <c r="F38" s="553"/>
      <c r="G38" s="530"/>
      <c r="H38" s="530"/>
    </row>
    <row r="39" spans="1:8" s="479" customFormat="1">
      <c r="A39" s="488"/>
      <c r="B39" s="553"/>
      <c r="C39" s="553"/>
      <c r="D39" s="553"/>
      <c r="E39" s="553"/>
      <c r="F39" s="553"/>
      <c r="G39" s="530"/>
      <c r="H39" s="530"/>
    </row>
    <row r="40" spans="1:8">
      <c r="A40" s="556"/>
      <c r="B40" s="553"/>
      <c r="C40" s="553"/>
      <c r="D40" s="553"/>
      <c r="E40" s="553"/>
      <c r="F40" s="553"/>
    </row>
    <row r="41" spans="1:8">
      <c r="A41" s="556"/>
      <c r="B41" s="553"/>
      <c r="C41" s="553"/>
      <c r="D41" s="553"/>
      <c r="E41" s="553"/>
      <c r="F41" s="553"/>
    </row>
    <row r="42" spans="1:8">
      <c r="A42" s="556"/>
      <c r="B42" s="553"/>
      <c r="C42" s="553"/>
      <c r="D42" s="553"/>
      <c r="E42" s="553"/>
      <c r="F42" s="553"/>
    </row>
    <row r="43" spans="1:8">
      <c r="B43" s="553"/>
      <c r="C43" s="553"/>
      <c r="D43" s="553"/>
      <c r="E43" s="553"/>
      <c r="F43" s="553"/>
    </row>
    <row r="44" spans="1:8">
      <c r="A44" s="556"/>
      <c r="B44" s="553"/>
      <c r="C44" s="553"/>
      <c r="D44" s="553"/>
      <c r="E44" s="553"/>
      <c r="F44" s="553"/>
    </row>
    <row r="45" spans="1:8">
      <c r="B45" s="553"/>
      <c r="C45" s="553"/>
      <c r="D45" s="553"/>
      <c r="E45" s="553"/>
      <c r="F45" s="553"/>
    </row>
    <row r="46" spans="1:8">
      <c r="B46" s="553"/>
      <c r="C46" s="553"/>
      <c r="D46" s="553"/>
      <c r="E46" s="553"/>
      <c r="F46" s="553"/>
    </row>
    <row r="47" spans="1:8">
      <c r="B47" s="553"/>
      <c r="C47" s="553"/>
      <c r="D47" s="553"/>
      <c r="E47" s="553"/>
      <c r="F47" s="553"/>
    </row>
    <row r="48" spans="1:8">
      <c r="B48" s="553"/>
      <c r="C48" s="553"/>
      <c r="D48" s="553"/>
      <c r="E48" s="553"/>
      <c r="F48" s="553"/>
    </row>
    <row r="49" spans="1:6">
      <c r="B49" s="553"/>
      <c r="C49" s="553"/>
      <c r="D49" s="553"/>
      <c r="E49" s="553"/>
      <c r="F49" s="553"/>
    </row>
    <row r="50" spans="1:6">
      <c r="A50" s="556"/>
      <c r="B50" s="553"/>
      <c r="C50" s="553"/>
      <c r="D50" s="553"/>
      <c r="E50" s="553"/>
      <c r="F50" s="553"/>
    </row>
    <row r="51" spans="1:6">
      <c r="A51" s="556"/>
      <c r="B51" s="553"/>
      <c r="C51" s="553"/>
      <c r="D51" s="553"/>
      <c r="E51" s="553"/>
      <c r="F51" s="553"/>
    </row>
    <row r="52" spans="1:6">
      <c r="A52" s="556"/>
      <c r="B52" s="553"/>
      <c r="C52" s="553"/>
      <c r="D52" s="553"/>
      <c r="E52" s="553"/>
      <c r="F52" s="553"/>
    </row>
    <row r="53" spans="1:6">
      <c r="B53" s="553"/>
      <c r="C53" s="553"/>
      <c r="D53" s="553"/>
      <c r="E53" s="553"/>
      <c r="F53" s="553"/>
    </row>
    <row r="54" spans="1:6">
      <c r="B54" s="553"/>
      <c r="C54" s="553"/>
      <c r="D54" s="553"/>
      <c r="E54" s="553"/>
      <c r="F54" s="553"/>
    </row>
    <row r="55" spans="1:6">
      <c r="B55" s="553"/>
      <c r="C55" s="553"/>
      <c r="D55" s="553"/>
      <c r="E55" s="553"/>
      <c r="F55" s="553"/>
    </row>
    <row r="56" spans="1:6">
      <c r="B56" s="553"/>
      <c r="C56" s="553"/>
      <c r="D56" s="553"/>
      <c r="E56" s="553"/>
      <c r="F56" s="553"/>
    </row>
    <row r="57" spans="1:6">
      <c r="B57" s="553"/>
      <c r="C57" s="553"/>
      <c r="D57" s="553"/>
      <c r="E57" s="553"/>
      <c r="F57" s="553"/>
    </row>
    <row r="58" spans="1:6">
      <c r="B58" s="553"/>
      <c r="C58" s="553"/>
      <c r="D58" s="553"/>
      <c r="E58" s="553"/>
      <c r="F58" s="553"/>
    </row>
    <row r="59" spans="1:6">
      <c r="B59" s="553"/>
      <c r="C59" s="553"/>
      <c r="D59" s="553"/>
      <c r="E59" s="553"/>
      <c r="F59" s="553"/>
    </row>
    <row r="60" spans="1:6">
      <c r="B60" s="553"/>
      <c r="C60" s="553"/>
      <c r="D60" s="553"/>
      <c r="E60" s="553"/>
      <c r="F60" s="553"/>
    </row>
    <row r="61" spans="1:6">
      <c r="B61" s="553"/>
      <c r="C61" s="553"/>
      <c r="D61" s="553"/>
      <c r="E61" s="553"/>
      <c r="F61" s="553"/>
    </row>
    <row r="62" spans="1:6">
      <c r="B62" s="553"/>
      <c r="C62" s="553"/>
      <c r="D62" s="553"/>
      <c r="E62" s="553"/>
      <c r="F62" s="553"/>
    </row>
    <row r="63" spans="1:6">
      <c r="A63" s="556"/>
      <c r="B63" s="553"/>
      <c r="C63" s="553"/>
      <c r="D63" s="553"/>
      <c r="E63" s="553"/>
      <c r="F63" s="553"/>
    </row>
    <row r="67" spans="1:1">
      <c r="A67" s="489" t="s">
        <v>670</v>
      </c>
    </row>
    <row r="68" spans="1:1">
      <c r="A68" s="488" t="s">
        <v>671</v>
      </c>
    </row>
    <row r="70" spans="1:1">
      <c r="A70" s="503" t="s">
        <v>672</v>
      </c>
    </row>
    <row r="71" spans="1:1">
      <c r="A71" s="458" t="s">
        <v>665</v>
      </c>
    </row>
    <row r="72" spans="1:1">
      <c r="A72" s="558" t="s">
        <v>673</v>
      </c>
    </row>
    <row r="73" spans="1:1">
      <c r="A73" s="458" t="s">
        <v>666</v>
      </c>
    </row>
  </sheetData>
  <autoFilter ref="A2:F32" xr:uid="{00000000-0009-0000-0000-000026000000}"/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U186"/>
  <sheetViews>
    <sheetView topLeftCell="A55" zoomScale="115" zoomScaleNormal="115" workbookViewId="0">
      <selection activeCell="E82" sqref="E82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7" s="77" customFormat="1" ht="18" customHeight="1">
      <c r="A1" s="45" t="s">
        <v>3</v>
      </c>
      <c r="B1" s="284" t="s">
        <v>207</v>
      </c>
      <c r="C1" s="284" t="s">
        <v>208</v>
      </c>
      <c r="D1" s="74" t="s">
        <v>37</v>
      </c>
      <c r="E1" s="75" t="s">
        <v>2</v>
      </c>
      <c r="F1" s="74" t="s">
        <v>37</v>
      </c>
      <c r="G1" s="75" t="s">
        <v>2</v>
      </c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</row>
    <row r="2" spans="1:47" s="82" customFormat="1" ht="15" customHeight="1">
      <c r="A2" s="78"/>
      <c r="B2" s="79"/>
      <c r="C2" s="42" t="s">
        <v>0</v>
      </c>
      <c r="D2" s="80">
        <v>2012</v>
      </c>
      <c r="E2" s="81">
        <v>2013</v>
      </c>
      <c r="F2" s="80">
        <v>2013</v>
      </c>
      <c r="G2" s="81">
        <v>2014</v>
      </c>
    </row>
    <row r="3" spans="1:47" ht="15" customHeight="1">
      <c r="A3" s="796" t="s">
        <v>24</v>
      </c>
      <c r="B3" s="797"/>
      <c r="C3" s="797"/>
      <c r="E3" s="85" t="s">
        <v>470</v>
      </c>
      <c r="G3" s="85" t="s">
        <v>470</v>
      </c>
    </row>
    <row r="4" spans="1:47" s="62" customFormat="1" ht="12.75" customHeight="1">
      <c r="A4" s="148">
        <v>30</v>
      </c>
      <c r="B4" s="96"/>
      <c r="C4" s="97" t="s">
        <v>1</v>
      </c>
      <c r="D4" s="98">
        <v>100649.91499999999</v>
      </c>
      <c r="E4" s="100">
        <v>101983.79</v>
      </c>
      <c r="F4" s="98">
        <v>100842.67</v>
      </c>
      <c r="G4" s="100">
        <v>103146.47</v>
      </c>
    </row>
    <row r="5" spans="1:47" s="62" customFormat="1" ht="12.75" customHeight="1">
      <c r="A5" s="101">
        <v>31</v>
      </c>
      <c r="B5" s="102"/>
      <c r="C5" s="103" t="s">
        <v>4</v>
      </c>
      <c r="D5" s="105">
        <v>54073.150999999998</v>
      </c>
      <c r="E5" s="106">
        <v>55992.025000000001</v>
      </c>
      <c r="F5" s="105">
        <v>54521.27</v>
      </c>
      <c r="G5" s="106">
        <v>55030.6</v>
      </c>
    </row>
    <row r="6" spans="1:47" s="62" customFormat="1" ht="12.75" customHeight="1">
      <c r="A6" s="107" t="s">
        <v>229</v>
      </c>
      <c r="B6" s="108"/>
      <c r="C6" s="109" t="s">
        <v>230</v>
      </c>
      <c r="D6" s="150">
        <v>7977.2950000000001</v>
      </c>
      <c r="E6" s="155">
        <v>6712.2</v>
      </c>
      <c r="F6" s="150">
        <v>6789.2</v>
      </c>
      <c r="G6" s="155">
        <v>6941.2</v>
      </c>
    </row>
    <row r="7" spans="1:47" s="62" customFormat="1" ht="12.75" customHeight="1">
      <c r="A7" s="107" t="s">
        <v>371</v>
      </c>
      <c r="B7" s="108"/>
      <c r="C7" s="109" t="s">
        <v>372</v>
      </c>
      <c r="D7" s="150">
        <v>-20</v>
      </c>
      <c r="E7" s="155">
        <v>0</v>
      </c>
      <c r="F7" s="150">
        <v>-40</v>
      </c>
      <c r="G7" s="155"/>
    </row>
    <row r="8" spans="1:47" s="62" customFormat="1" ht="12.75" customHeight="1">
      <c r="A8" s="145">
        <v>330</v>
      </c>
      <c r="B8" s="102"/>
      <c r="C8" s="103" t="s">
        <v>231</v>
      </c>
      <c r="D8" s="105">
        <v>5315.549</v>
      </c>
      <c r="E8" s="113">
        <v>5083.6459999999997</v>
      </c>
      <c r="F8" s="105">
        <v>4930.32</v>
      </c>
      <c r="G8" s="113">
        <v>5686.04</v>
      </c>
    </row>
    <row r="9" spans="1:47" s="62" customFormat="1" ht="12.75" customHeight="1">
      <c r="A9" s="145">
        <v>332</v>
      </c>
      <c r="B9" s="102"/>
      <c r="C9" s="103" t="s">
        <v>232</v>
      </c>
      <c r="D9" s="105">
        <v>1009.323</v>
      </c>
      <c r="E9" s="113">
        <v>766.54</v>
      </c>
      <c r="F9" s="105">
        <v>671.34</v>
      </c>
      <c r="G9" s="113">
        <v>722.99</v>
      </c>
    </row>
    <row r="10" spans="1:47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/>
      <c r="G10" s="113"/>
    </row>
    <row r="11" spans="1:47" s="62" customFormat="1" ht="12.75" customHeight="1">
      <c r="A11" s="101">
        <v>350</v>
      </c>
      <c r="B11" s="102"/>
      <c r="C11" s="103" t="s">
        <v>234</v>
      </c>
      <c r="D11" s="105">
        <v>271.18799999999999</v>
      </c>
      <c r="E11" s="113">
        <v>42.9</v>
      </c>
      <c r="F11" s="105">
        <v>499.18</v>
      </c>
      <c r="G11" s="113">
        <v>106.7</v>
      </c>
    </row>
    <row r="12" spans="1:47" s="63" customFormat="1" ht="14">
      <c r="A12" s="114">
        <v>351</v>
      </c>
      <c r="B12" s="115"/>
      <c r="C12" s="116" t="s">
        <v>272</v>
      </c>
      <c r="D12" s="119">
        <v>2628.973</v>
      </c>
      <c r="E12" s="296">
        <v>1102.7</v>
      </c>
      <c r="F12" s="119">
        <v>2602.85</v>
      </c>
      <c r="G12" s="296">
        <v>799.3</v>
      </c>
    </row>
    <row r="13" spans="1:47" s="62" customFormat="1" ht="12.75" customHeight="1">
      <c r="A13" s="101">
        <v>36</v>
      </c>
      <c r="B13" s="102"/>
      <c r="C13" s="103" t="s">
        <v>5</v>
      </c>
      <c r="D13" s="104">
        <v>172953.53899999999</v>
      </c>
      <c r="E13" s="113">
        <v>178394.783</v>
      </c>
      <c r="F13" s="104">
        <v>175088.28</v>
      </c>
      <c r="G13" s="113">
        <v>182645.11</v>
      </c>
    </row>
    <row r="14" spans="1:47" s="62" customFormat="1" ht="12.75" customHeight="1">
      <c r="A14" s="121" t="s">
        <v>173</v>
      </c>
      <c r="B14" s="102"/>
      <c r="C14" s="122" t="s">
        <v>174</v>
      </c>
      <c r="D14" s="104">
        <v>8306.5820000000003</v>
      </c>
      <c r="E14" s="113">
        <v>8516</v>
      </c>
      <c r="F14" s="104">
        <v>7717.99</v>
      </c>
      <c r="G14" s="113">
        <v>7282</v>
      </c>
    </row>
    <row r="15" spans="1:47" s="62" customFormat="1" ht="12.75" customHeight="1">
      <c r="A15" s="121" t="s">
        <v>175</v>
      </c>
      <c r="B15" s="102"/>
      <c r="C15" s="122" t="s">
        <v>176</v>
      </c>
      <c r="D15" s="104">
        <v>6488.8459999999995</v>
      </c>
      <c r="E15" s="113">
        <v>15939.94</v>
      </c>
      <c r="F15" s="104">
        <v>8419.35</v>
      </c>
      <c r="G15" s="113">
        <v>19056.27</v>
      </c>
    </row>
    <row r="16" spans="1:47" s="64" customFormat="1" ht="26.25" customHeight="1">
      <c r="A16" s="121" t="s">
        <v>146</v>
      </c>
      <c r="B16" s="123"/>
      <c r="C16" s="122" t="s">
        <v>148</v>
      </c>
      <c r="D16" s="126">
        <v>5917.6210000000001</v>
      </c>
      <c r="E16" s="127">
        <v>5290.0680000000002</v>
      </c>
      <c r="F16" s="126">
        <v>5402.52</v>
      </c>
      <c r="G16" s="127">
        <v>4593.67</v>
      </c>
    </row>
    <row r="17" spans="1:7" s="83" customFormat="1">
      <c r="A17" s="101">
        <v>37</v>
      </c>
      <c r="B17" s="102"/>
      <c r="C17" s="103" t="s">
        <v>6</v>
      </c>
      <c r="D17" s="104">
        <v>27502.294000000002</v>
      </c>
      <c r="E17" s="157">
        <v>27438.5</v>
      </c>
      <c r="F17" s="104">
        <v>27253.52</v>
      </c>
      <c r="G17" s="157">
        <v>30083</v>
      </c>
    </row>
    <row r="18" spans="1:7" s="83" customFormat="1">
      <c r="A18" s="112" t="s">
        <v>196</v>
      </c>
      <c r="B18" s="108"/>
      <c r="C18" s="109" t="s">
        <v>197</v>
      </c>
      <c r="D18" s="104">
        <v>0</v>
      </c>
      <c r="E18" s="157">
        <v>0</v>
      </c>
      <c r="F18" s="104"/>
      <c r="G18" s="157"/>
    </row>
    <row r="19" spans="1:7" s="83" customFormat="1">
      <c r="A19" s="112" t="s">
        <v>198</v>
      </c>
      <c r="B19" s="108"/>
      <c r="C19" s="109" t="s">
        <v>199</v>
      </c>
      <c r="D19" s="104">
        <v>26422.671999999999</v>
      </c>
      <c r="E19" s="157">
        <v>26838.5</v>
      </c>
      <c r="F19" s="104">
        <v>26563.360000000001</v>
      </c>
      <c r="G19" s="157">
        <v>29283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15724.873</v>
      </c>
      <c r="E20" s="159">
        <v>16357.334999999999</v>
      </c>
      <c r="F20" s="134">
        <v>17105.759999999998</v>
      </c>
      <c r="G20" s="159">
        <v>16463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364403.93199999997</v>
      </c>
      <c r="E21" s="15">
        <f t="shared" si="0"/>
        <v>370804.88399999996</v>
      </c>
      <c r="F21" s="15">
        <f t="shared" ref="F21:G21" si="1">F4+F5+SUM(F8:F13)+F17</f>
        <v>366409.43000000005</v>
      </c>
      <c r="G21" s="15">
        <f t="shared" si="1"/>
        <v>378220.20999999996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62459.985999999997</v>
      </c>
      <c r="E22" s="141">
        <v>65252.800000000003</v>
      </c>
      <c r="F22" s="105">
        <f>58031.47+8369.07</f>
        <v>66400.540000000008</v>
      </c>
      <c r="G22" s="113">
        <f>55370+9225</f>
        <v>64595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15337.096</v>
      </c>
      <c r="E23" s="141">
        <v>13896</v>
      </c>
      <c r="F23" s="105">
        <f>10314.49+9358.7</f>
        <v>19673.190000000002</v>
      </c>
      <c r="G23" s="113">
        <f>5500+9396</f>
        <v>14896</v>
      </c>
    </row>
    <row r="24" spans="1:7" s="84" customFormat="1" ht="12.75" customHeight="1">
      <c r="A24" s="101">
        <v>41</v>
      </c>
      <c r="B24" s="102"/>
      <c r="C24" s="103" t="s">
        <v>9</v>
      </c>
      <c r="D24" s="152">
        <v>29996.255000000001</v>
      </c>
      <c r="E24" s="141">
        <v>30704.5</v>
      </c>
      <c r="F24" s="105">
        <v>29229.54</v>
      </c>
      <c r="G24" s="113">
        <v>30921.5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24198.915000000001</v>
      </c>
      <c r="E25" s="141">
        <v>23404.66</v>
      </c>
      <c r="F25" s="105">
        <v>26303.29</v>
      </c>
      <c r="G25" s="113">
        <v>23820.95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523.18899999999996</v>
      </c>
      <c r="E26" s="144">
        <v>292</v>
      </c>
      <c r="F26" s="128">
        <v>339.48</v>
      </c>
      <c r="G26" s="157">
        <v>200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881.96</v>
      </c>
      <c r="E27" s="144">
        <v>766</v>
      </c>
      <c r="F27" s="128">
        <v>821.02</v>
      </c>
      <c r="G27" s="157">
        <v>771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>
        <v>0</v>
      </c>
      <c r="F28" s="128"/>
      <c r="G28" s="157"/>
    </row>
    <row r="29" spans="1:7" s="68" customFormat="1" ht="12.75" customHeight="1">
      <c r="A29" s="114">
        <v>439</v>
      </c>
      <c r="B29" s="102"/>
      <c r="C29" s="103" t="s">
        <v>379</v>
      </c>
      <c r="D29" s="268">
        <v>0</v>
      </c>
      <c r="E29" s="144">
        <v>0</v>
      </c>
      <c r="F29" s="128"/>
      <c r="G29" s="157"/>
    </row>
    <row r="30" spans="1:7" s="62" customFormat="1" ht="14">
      <c r="A30" s="114">
        <v>450</v>
      </c>
      <c r="B30" s="115"/>
      <c r="C30" s="116" t="s">
        <v>271</v>
      </c>
      <c r="D30" s="104">
        <v>61.508000000000003</v>
      </c>
      <c r="E30" s="106">
        <v>107.7</v>
      </c>
      <c r="F30" s="104">
        <v>147.76</v>
      </c>
      <c r="G30" s="106">
        <v>69.8</v>
      </c>
    </row>
    <row r="31" spans="1:7" s="63" customFormat="1" ht="14">
      <c r="A31" s="114">
        <v>451</v>
      </c>
      <c r="B31" s="115"/>
      <c r="C31" s="116" t="s">
        <v>14</v>
      </c>
      <c r="D31" s="279">
        <v>2537.076</v>
      </c>
      <c r="E31" s="165">
        <v>1986.85</v>
      </c>
      <c r="F31" s="117">
        <v>2620.6</v>
      </c>
      <c r="G31" s="271">
        <v>1387.15</v>
      </c>
    </row>
    <row r="32" spans="1:7" s="62" customFormat="1" ht="12.75" customHeight="1">
      <c r="A32" s="101">
        <v>46</v>
      </c>
      <c r="B32" s="102"/>
      <c r="C32" s="103" t="s">
        <v>15</v>
      </c>
      <c r="D32" s="152">
        <v>195334.66</v>
      </c>
      <c r="E32" s="141">
        <v>198882</v>
      </c>
      <c r="F32" s="105">
        <v>199033</v>
      </c>
      <c r="G32" s="113">
        <v>205814.96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0</v>
      </c>
      <c r="E33" s="143">
        <v>0</v>
      </c>
      <c r="F33" s="105"/>
      <c r="G33" s="155"/>
    </row>
    <row r="34" spans="1:7" s="62" customFormat="1" ht="15" customHeight="1">
      <c r="A34" s="101">
        <v>47</v>
      </c>
      <c r="B34" s="102"/>
      <c r="C34" s="103" t="s">
        <v>6</v>
      </c>
      <c r="D34" s="152">
        <v>27502.294000000002</v>
      </c>
      <c r="E34" s="141">
        <v>27438.5</v>
      </c>
      <c r="F34" s="105">
        <v>27253.52</v>
      </c>
      <c r="G34" s="113">
        <v>30083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15724.873</v>
      </c>
      <c r="E35" s="151">
        <v>16357.334999999999</v>
      </c>
      <c r="F35" s="134">
        <v>17105.759999999998</v>
      </c>
      <c r="G35" s="136">
        <v>16463</v>
      </c>
    </row>
    <row r="36" spans="1:7" ht="13.5" customHeight="1">
      <c r="A36" s="7"/>
      <c r="B36" s="10"/>
      <c r="C36" s="8" t="s">
        <v>476</v>
      </c>
      <c r="D36" s="15">
        <f t="shared" ref="D36:E36" si="2">D22+D23+D24+D25+D26+D27+D28+D29+D30+D31+D32+D34</f>
        <v>358832.93900000001</v>
      </c>
      <c r="E36" s="15">
        <f t="shared" si="2"/>
        <v>362731.01</v>
      </c>
      <c r="F36" s="15">
        <f t="shared" ref="F36:G36" si="3">F22+F23+F24+F25+F26+F27+F28+F29+F30+F31+F32+F34</f>
        <v>371821.94000000006</v>
      </c>
      <c r="G36" s="15">
        <f t="shared" si="3"/>
        <v>372559.35999999999</v>
      </c>
    </row>
    <row r="37" spans="1:7" s="11" customFormat="1" ht="15" customHeight="1">
      <c r="A37" s="7"/>
      <c r="B37" s="10"/>
      <c r="C37" s="8" t="s">
        <v>19</v>
      </c>
      <c r="D37" s="16">
        <f t="shared" ref="D37:E37" si="4">D36-D21</f>
        <v>-5570.9929999999586</v>
      </c>
      <c r="E37" s="16">
        <f t="shared" si="4"/>
        <v>-8073.8739999999525</v>
      </c>
      <c r="F37" s="16">
        <f t="shared" ref="F37:G37" si="5">F36-F21</f>
        <v>5412.5100000000093</v>
      </c>
      <c r="G37" s="16">
        <f t="shared" si="5"/>
        <v>-5660.8499999999767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2315.5929999999998</v>
      </c>
      <c r="E38" s="141">
        <v>2452.6</v>
      </c>
      <c r="F38" s="104">
        <v>1866.43</v>
      </c>
      <c r="G38" s="113">
        <v>1439.6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0</v>
      </c>
      <c r="E39" s="141">
        <v>0</v>
      </c>
      <c r="F39" s="105"/>
      <c r="G39" s="113"/>
    </row>
    <row r="40" spans="1:7" s="63" customFormat="1" ht="15" customHeight="1">
      <c r="A40" s="145">
        <v>342</v>
      </c>
      <c r="B40" s="102"/>
      <c r="C40" s="103" t="s">
        <v>238</v>
      </c>
      <c r="D40" s="152">
        <v>0</v>
      </c>
      <c r="E40" s="141">
        <v>0</v>
      </c>
      <c r="F40" s="105"/>
      <c r="G40" s="113"/>
    </row>
    <row r="41" spans="1:7" s="63" customFormat="1" ht="15" customHeight="1">
      <c r="A41" s="145">
        <v>343</v>
      </c>
      <c r="B41" s="102"/>
      <c r="C41" s="103" t="s">
        <v>239</v>
      </c>
      <c r="D41" s="152">
        <v>118.23399999999999</v>
      </c>
      <c r="E41" s="141">
        <v>166</v>
      </c>
      <c r="F41" s="105">
        <v>127.98</v>
      </c>
      <c r="G41" s="113">
        <v>94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192.5</v>
      </c>
      <c r="E42" s="141">
        <v>0</v>
      </c>
      <c r="F42" s="105">
        <v>981.75</v>
      </c>
      <c r="G42" s="113"/>
    </row>
    <row r="43" spans="1:7" s="63" customFormat="1" ht="15" customHeight="1">
      <c r="A43" s="145">
        <v>349</v>
      </c>
      <c r="B43" s="102"/>
      <c r="C43" s="103" t="s">
        <v>240</v>
      </c>
      <c r="D43" s="152">
        <v>0</v>
      </c>
      <c r="E43" s="141">
        <v>0</v>
      </c>
      <c r="F43" s="105"/>
      <c r="G43" s="113"/>
    </row>
    <row r="44" spans="1:7" s="62" customFormat="1" ht="15" customHeight="1">
      <c r="A44" s="101">
        <v>440</v>
      </c>
      <c r="B44" s="102"/>
      <c r="C44" s="103" t="s">
        <v>79</v>
      </c>
      <c r="D44" s="140">
        <v>540.87599999999998</v>
      </c>
      <c r="E44" s="141">
        <v>306</v>
      </c>
      <c r="F44" s="104">
        <v>431.63</v>
      </c>
      <c r="G44" s="113">
        <v>291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0</v>
      </c>
      <c r="E45" s="141">
        <v>3800</v>
      </c>
      <c r="F45" s="104">
        <v>113.63</v>
      </c>
      <c r="G45" s="113">
        <v>1500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140.72999999999999</v>
      </c>
      <c r="E46" s="141">
        <v>151</v>
      </c>
      <c r="F46" s="104">
        <v>143.78</v>
      </c>
      <c r="G46" s="113">
        <v>151.69999999999999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262.37200000000001</v>
      </c>
      <c r="E47" s="141">
        <v>270.56</v>
      </c>
      <c r="F47" s="104">
        <v>265.55599999999998</v>
      </c>
      <c r="G47" s="113">
        <v>270.56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180.547</v>
      </c>
      <c r="E48" s="141">
        <v>0</v>
      </c>
      <c r="F48" s="104">
        <v>85.91</v>
      </c>
      <c r="G48" s="113"/>
    </row>
    <row r="49" spans="1:7" s="62" customFormat="1" ht="15" customHeight="1">
      <c r="A49" s="101">
        <v>445</v>
      </c>
      <c r="B49" s="102"/>
      <c r="C49" s="103" t="s">
        <v>84</v>
      </c>
      <c r="D49" s="140">
        <v>119.405</v>
      </c>
      <c r="E49" s="141">
        <v>12</v>
      </c>
      <c r="F49" s="104">
        <v>120.41</v>
      </c>
      <c r="G49" s="113">
        <v>114.5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8692.3780000000006</v>
      </c>
      <c r="E50" s="141">
        <v>8649.4</v>
      </c>
      <c r="F50" s="104">
        <v>8427.56</v>
      </c>
      <c r="G50" s="113">
        <v>8388.7999999999993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2881.951</v>
      </c>
      <c r="E51" s="141">
        <v>2883.165</v>
      </c>
      <c r="F51" s="104">
        <v>2899.16</v>
      </c>
      <c r="G51" s="113">
        <v>2928.17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14.025</v>
      </c>
      <c r="E52" s="141">
        <v>15.2</v>
      </c>
      <c r="F52" s="104">
        <v>14.96</v>
      </c>
      <c r="G52" s="113">
        <v>15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04">
        <v>649.6</v>
      </c>
      <c r="G53" s="113"/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/>
      <c r="F54" s="168"/>
      <c r="G54" s="174"/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10205.957000000002</v>
      </c>
      <c r="E55" s="15">
        <f t="shared" si="6"/>
        <v>13468.725</v>
      </c>
      <c r="F55" s="15">
        <f t="shared" ref="F55:G55" si="7">SUM(F44:F53)-SUM(F38:F43)</f>
        <v>10176.035999999998</v>
      </c>
      <c r="G55" s="15">
        <f t="shared" si="7"/>
        <v>12126.13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4634.9640000000436</v>
      </c>
      <c r="E56" s="15">
        <f t="shared" si="8"/>
        <v>5394.8510000000479</v>
      </c>
      <c r="F56" s="15">
        <f t="shared" ref="F56:G56" si="9">F55+F37</f>
        <v>15588.546000000008</v>
      </c>
      <c r="G56" s="15">
        <f t="shared" si="9"/>
        <v>6465.2800000000225</v>
      </c>
    </row>
    <row r="57" spans="1:7" s="62" customFormat="1" ht="15.75" customHeight="1">
      <c r="A57" s="285">
        <v>380</v>
      </c>
      <c r="B57" s="286"/>
      <c r="C57" s="287" t="s">
        <v>484</v>
      </c>
      <c r="D57" s="288">
        <v>0</v>
      </c>
      <c r="E57" s="289">
        <v>0</v>
      </c>
      <c r="F57" s="288"/>
      <c r="G57" s="289"/>
    </row>
    <row r="58" spans="1:7" s="62" customFormat="1" ht="15.75" customHeight="1">
      <c r="A58" s="285">
        <v>381</v>
      </c>
      <c r="B58" s="286"/>
      <c r="C58" s="287" t="s">
        <v>485</v>
      </c>
      <c r="D58" s="288">
        <v>0</v>
      </c>
      <c r="E58" s="289">
        <v>0</v>
      </c>
      <c r="F58" s="288"/>
      <c r="G58" s="289"/>
    </row>
    <row r="59" spans="1:7" s="63" customFormat="1" ht="14">
      <c r="A59" s="114">
        <v>383</v>
      </c>
      <c r="B59" s="115"/>
      <c r="C59" s="116" t="s">
        <v>57</v>
      </c>
      <c r="D59" s="270">
        <v>0</v>
      </c>
      <c r="E59" s="295">
        <v>0</v>
      </c>
      <c r="F59" s="270"/>
      <c r="G59" s="295"/>
    </row>
    <row r="60" spans="1:7" s="63" customFormat="1" ht="14">
      <c r="A60" s="114">
        <v>3840</v>
      </c>
      <c r="B60" s="115"/>
      <c r="C60" s="116" t="s">
        <v>241</v>
      </c>
      <c r="D60" s="118">
        <v>0</v>
      </c>
      <c r="E60" s="296">
        <v>0</v>
      </c>
      <c r="F60" s="118"/>
      <c r="G60" s="296"/>
    </row>
    <row r="61" spans="1:7" s="63" customFormat="1" ht="14">
      <c r="A61" s="114">
        <v>3841</v>
      </c>
      <c r="B61" s="115"/>
      <c r="C61" s="116" t="s">
        <v>242</v>
      </c>
      <c r="D61" s="118">
        <v>0</v>
      </c>
      <c r="E61" s="296">
        <v>0</v>
      </c>
      <c r="F61" s="118"/>
      <c r="G61" s="296"/>
    </row>
    <row r="62" spans="1:7" s="63" customFormat="1" ht="14">
      <c r="A62" s="177">
        <v>386</v>
      </c>
      <c r="B62" s="178"/>
      <c r="C62" s="179" t="s">
        <v>243</v>
      </c>
      <c r="D62" s="118">
        <v>0</v>
      </c>
      <c r="E62" s="296">
        <v>0</v>
      </c>
      <c r="F62" s="118"/>
      <c r="G62" s="296"/>
    </row>
    <row r="63" spans="1:7" s="63" customFormat="1" ht="28">
      <c r="A63" s="114">
        <v>387</v>
      </c>
      <c r="B63" s="115"/>
      <c r="C63" s="116" t="s">
        <v>58</v>
      </c>
      <c r="D63" s="118">
        <v>0</v>
      </c>
      <c r="E63" s="296">
        <v>0</v>
      </c>
      <c r="F63" s="118"/>
      <c r="G63" s="296"/>
    </row>
    <row r="64" spans="1:7" s="63" customFormat="1">
      <c r="A64" s="145">
        <v>389</v>
      </c>
      <c r="B64" s="294"/>
      <c r="C64" s="103" t="s">
        <v>7</v>
      </c>
      <c r="D64" s="105">
        <v>0</v>
      </c>
      <c r="E64" s="113">
        <v>0</v>
      </c>
      <c r="F64" s="105"/>
      <c r="G64" s="113"/>
    </row>
    <row r="65" spans="1:7" s="62" customFormat="1">
      <c r="A65" s="145" t="s">
        <v>471</v>
      </c>
      <c r="B65" s="102"/>
      <c r="C65" s="103" t="s">
        <v>244</v>
      </c>
      <c r="D65" s="105">
        <v>0</v>
      </c>
      <c r="E65" s="113">
        <v>0</v>
      </c>
      <c r="F65" s="105"/>
      <c r="G65" s="113"/>
    </row>
    <row r="66" spans="1:7" s="95" customFormat="1" ht="14">
      <c r="A66" s="221" t="s">
        <v>472</v>
      </c>
      <c r="B66" s="111"/>
      <c r="C66" s="116" t="s">
        <v>245</v>
      </c>
      <c r="D66" s="270">
        <v>0</v>
      </c>
      <c r="E66" s="271">
        <v>0</v>
      </c>
      <c r="F66" s="270"/>
      <c r="G66" s="271"/>
    </row>
    <row r="67" spans="1:7" s="62" customFormat="1">
      <c r="A67" s="110">
        <v>481</v>
      </c>
      <c r="B67" s="102"/>
      <c r="C67" s="103" t="s">
        <v>246</v>
      </c>
      <c r="D67" s="105">
        <v>0</v>
      </c>
      <c r="E67" s="113">
        <v>0</v>
      </c>
      <c r="F67" s="105"/>
      <c r="G67" s="113"/>
    </row>
    <row r="68" spans="1:7" s="62" customFormat="1">
      <c r="A68" s="110">
        <v>482</v>
      </c>
      <c r="B68" s="102"/>
      <c r="C68" s="103" t="s">
        <v>247</v>
      </c>
      <c r="D68" s="105">
        <v>0</v>
      </c>
      <c r="E68" s="113">
        <v>0</v>
      </c>
      <c r="F68" s="105"/>
      <c r="G68" s="113"/>
    </row>
    <row r="69" spans="1:7" s="62" customFormat="1">
      <c r="A69" s="110">
        <v>483</v>
      </c>
      <c r="B69" s="102"/>
      <c r="C69" s="103" t="s">
        <v>248</v>
      </c>
      <c r="D69" s="105">
        <v>0</v>
      </c>
      <c r="E69" s="113">
        <v>0</v>
      </c>
      <c r="F69" s="105"/>
      <c r="G69" s="113"/>
    </row>
    <row r="70" spans="1:7" s="62" customFormat="1">
      <c r="A70" s="110">
        <v>484</v>
      </c>
      <c r="B70" s="102"/>
      <c r="C70" s="103" t="s">
        <v>249</v>
      </c>
      <c r="D70" s="105">
        <v>0</v>
      </c>
      <c r="E70" s="113">
        <v>0</v>
      </c>
      <c r="F70" s="105"/>
      <c r="G70" s="113"/>
    </row>
    <row r="71" spans="1:7" s="62" customFormat="1">
      <c r="A71" s="110">
        <v>485</v>
      </c>
      <c r="B71" s="102"/>
      <c r="C71" s="103" t="s">
        <v>250</v>
      </c>
      <c r="D71" s="105">
        <v>0</v>
      </c>
      <c r="E71" s="113">
        <v>0</v>
      </c>
      <c r="F71" s="105">
        <v>6371.85</v>
      </c>
      <c r="G71" s="113"/>
    </row>
    <row r="72" spans="1:7" s="62" customFormat="1">
      <c r="A72" s="110">
        <v>486</v>
      </c>
      <c r="B72" s="102"/>
      <c r="C72" s="103" t="s">
        <v>251</v>
      </c>
      <c r="D72" s="105">
        <v>0</v>
      </c>
      <c r="E72" s="113">
        <v>0</v>
      </c>
      <c r="F72" s="105"/>
      <c r="G72" s="113"/>
    </row>
    <row r="73" spans="1:7" s="63" customFormat="1">
      <c r="A73" s="110">
        <v>487</v>
      </c>
      <c r="B73" s="108"/>
      <c r="C73" s="103" t="s">
        <v>64</v>
      </c>
      <c r="D73" s="105">
        <v>0</v>
      </c>
      <c r="E73" s="106">
        <v>0</v>
      </c>
      <c r="F73" s="105"/>
      <c r="G73" s="106"/>
    </row>
    <row r="74" spans="1:7" s="63" customFormat="1">
      <c r="A74" s="110">
        <v>489</v>
      </c>
      <c r="B74" s="182"/>
      <c r="C74" s="133" t="s">
        <v>18</v>
      </c>
      <c r="D74" s="105">
        <v>0</v>
      </c>
      <c r="E74" s="106">
        <v>0</v>
      </c>
      <c r="F74" s="105"/>
      <c r="G74" s="106"/>
    </row>
    <row r="75" spans="1:7" s="63" customFormat="1">
      <c r="A75" s="181" t="s">
        <v>381</v>
      </c>
      <c r="B75" s="182"/>
      <c r="C75" s="167" t="s">
        <v>382</v>
      </c>
      <c r="D75" s="105">
        <v>0</v>
      </c>
      <c r="E75" s="113">
        <v>0</v>
      </c>
      <c r="F75" s="105"/>
      <c r="G75" s="113"/>
    </row>
    <row r="76" spans="1:7">
      <c r="A76" s="7"/>
      <c r="B76" s="7"/>
      <c r="C76" s="8" t="s">
        <v>22</v>
      </c>
      <c r="D76" s="15">
        <f t="shared" ref="D76:E76" si="10">SUM(D65:D74)-SUM(D57:D64)</f>
        <v>0</v>
      </c>
      <c r="E76" s="15">
        <f t="shared" si="10"/>
        <v>0</v>
      </c>
      <c r="F76" s="15">
        <f t="shared" ref="F76:G76" si="11">SUM(F65:F74)-SUM(F57:F64)</f>
        <v>6371.85</v>
      </c>
      <c r="G76" s="15">
        <f t="shared" si="11"/>
        <v>0</v>
      </c>
    </row>
    <row r="77" spans="1:7">
      <c r="A77" s="9"/>
      <c r="B77" s="9"/>
      <c r="C77" s="8" t="s">
        <v>23</v>
      </c>
      <c r="D77" s="15">
        <f t="shared" ref="D77:E77" si="12">D56+D76</f>
        <v>4634.9640000000436</v>
      </c>
      <c r="E77" s="15">
        <f t="shared" si="12"/>
        <v>5394.8510000000479</v>
      </c>
      <c r="F77" s="15">
        <f t="shared" ref="F77:G77" si="13">F56+F76</f>
        <v>21960.396000000008</v>
      </c>
      <c r="G77" s="15">
        <f t="shared" si="13"/>
        <v>6465.2800000000225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382755.13199999998</v>
      </c>
      <c r="E78" s="37">
        <f t="shared" si="14"/>
        <v>389780.81899999996</v>
      </c>
      <c r="F78" s="37">
        <f t="shared" ref="F78:G78" si="15">F20+F21+SUM(F38:F43)+SUM(F57:F64)</f>
        <v>386491.35000000003</v>
      </c>
      <c r="G78" s="37">
        <f t="shared" si="15"/>
        <v>396216.80999999994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387390.09600000002</v>
      </c>
      <c r="E79" s="37">
        <f t="shared" si="16"/>
        <v>395175.67000000004</v>
      </c>
      <c r="F79" s="37">
        <f t="shared" ref="F79:G79" si="17">F35+F36+SUM(F44:F53)+SUM(F65:F74)</f>
        <v>408451.74600000004</v>
      </c>
      <c r="G79" s="37">
        <f t="shared" si="17"/>
        <v>402682.08999999997</v>
      </c>
    </row>
    <row r="80" spans="1:7">
      <c r="C80" s="11"/>
      <c r="D80" s="17"/>
      <c r="E80" s="17"/>
      <c r="F80" s="17"/>
      <c r="G80" s="17"/>
    </row>
    <row r="81" spans="1:7">
      <c r="A81" s="798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>
        <v>42756.341</v>
      </c>
      <c r="E82" s="141">
        <v>37234</v>
      </c>
      <c r="F82" s="105">
        <v>29446.03</v>
      </c>
      <c r="G82" s="113">
        <v>25988</v>
      </c>
    </row>
    <row r="83" spans="1:7" s="62" customFormat="1">
      <c r="A83" s="186">
        <v>51</v>
      </c>
      <c r="B83" s="187"/>
      <c r="C83" s="187" t="s">
        <v>253</v>
      </c>
      <c r="D83" s="152">
        <v>62.024999999999999</v>
      </c>
      <c r="E83" s="141">
        <v>0</v>
      </c>
      <c r="F83" s="105">
        <v>24.98</v>
      </c>
      <c r="G83" s="113"/>
    </row>
    <row r="84" spans="1:7" s="62" customFormat="1">
      <c r="A84" s="186">
        <v>52</v>
      </c>
      <c r="B84" s="187"/>
      <c r="C84" s="187" t="s">
        <v>254</v>
      </c>
      <c r="D84" s="152">
        <v>743.50900000000001</v>
      </c>
      <c r="E84" s="141">
        <v>701.5</v>
      </c>
      <c r="F84" s="105">
        <v>482.75</v>
      </c>
      <c r="G84" s="113">
        <v>339.5</v>
      </c>
    </row>
    <row r="85" spans="1:7" s="62" customFormat="1">
      <c r="A85" s="188">
        <v>54</v>
      </c>
      <c r="B85" s="189"/>
      <c r="C85" s="189" t="s">
        <v>89</v>
      </c>
      <c r="D85" s="152">
        <v>1064.2</v>
      </c>
      <c r="E85" s="141">
        <v>15958</v>
      </c>
      <c r="F85" s="105">
        <v>476.37</v>
      </c>
      <c r="G85" s="113">
        <v>28208.3</v>
      </c>
    </row>
    <row r="86" spans="1:7" s="62" customFormat="1">
      <c r="A86" s="188">
        <v>55</v>
      </c>
      <c r="B86" s="189"/>
      <c r="C86" s="189" t="s">
        <v>181</v>
      </c>
      <c r="D86" s="152">
        <v>0</v>
      </c>
      <c r="E86" s="141">
        <v>0</v>
      </c>
      <c r="F86" s="105"/>
      <c r="G86" s="113"/>
    </row>
    <row r="87" spans="1:7" s="62" customFormat="1">
      <c r="A87" s="188">
        <v>56</v>
      </c>
      <c r="B87" s="189"/>
      <c r="C87" s="189" t="s">
        <v>255</v>
      </c>
      <c r="D87" s="152">
        <v>9087.9779999999992</v>
      </c>
      <c r="E87" s="141">
        <v>15453</v>
      </c>
      <c r="F87" s="105">
        <v>14644.5</v>
      </c>
      <c r="G87" s="113">
        <v>12929</v>
      </c>
    </row>
    <row r="88" spans="1:7" s="62" customFormat="1">
      <c r="A88" s="186">
        <v>57</v>
      </c>
      <c r="B88" s="187"/>
      <c r="C88" s="187" t="s">
        <v>150</v>
      </c>
      <c r="D88" s="152">
        <v>1697.011</v>
      </c>
      <c r="E88" s="141">
        <v>1970.7</v>
      </c>
      <c r="F88" s="105">
        <v>1667.14</v>
      </c>
      <c r="G88" s="113">
        <v>1736.7</v>
      </c>
    </row>
    <row r="89" spans="1:7" s="62" customFormat="1">
      <c r="A89" s="186">
        <v>580</v>
      </c>
      <c r="B89" s="187"/>
      <c r="C89" s="187" t="s">
        <v>256</v>
      </c>
      <c r="D89" s="152"/>
      <c r="E89" s="141"/>
      <c r="F89" s="105"/>
      <c r="G89" s="113"/>
    </row>
    <row r="90" spans="1:7" s="62" customFormat="1">
      <c r="A90" s="186">
        <v>582</v>
      </c>
      <c r="B90" s="187"/>
      <c r="C90" s="187" t="s">
        <v>257</v>
      </c>
      <c r="D90" s="152"/>
      <c r="E90" s="141"/>
      <c r="F90" s="105"/>
      <c r="G90" s="113"/>
    </row>
    <row r="91" spans="1:7" s="62" customFormat="1">
      <c r="A91" s="186">
        <v>584</v>
      </c>
      <c r="B91" s="187"/>
      <c r="C91" s="187" t="s">
        <v>258</v>
      </c>
      <c r="D91" s="152"/>
      <c r="E91" s="141"/>
      <c r="F91" s="105"/>
      <c r="G91" s="113"/>
    </row>
    <row r="92" spans="1:7" s="62" customFormat="1">
      <c r="A92" s="186">
        <v>585</v>
      </c>
      <c r="B92" s="187"/>
      <c r="C92" s="187" t="s">
        <v>259</v>
      </c>
      <c r="D92" s="152"/>
      <c r="E92" s="141"/>
      <c r="F92" s="105"/>
      <c r="G92" s="113"/>
    </row>
    <row r="93" spans="1:7" s="62" customFormat="1">
      <c r="A93" s="186">
        <v>586</v>
      </c>
      <c r="B93" s="187"/>
      <c r="C93" s="187" t="s">
        <v>260</v>
      </c>
      <c r="D93" s="152"/>
      <c r="E93" s="141"/>
      <c r="F93" s="105"/>
      <c r="G93" s="113"/>
    </row>
    <row r="94" spans="1:7" s="62" customFormat="1">
      <c r="A94" s="190">
        <v>589</v>
      </c>
      <c r="B94" s="191"/>
      <c r="C94" s="191" t="s">
        <v>261</v>
      </c>
      <c r="D94" s="273"/>
      <c r="E94" s="147"/>
      <c r="F94" s="135"/>
      <c r="G94" s="159"/>
    </row>
    <row r="95" spans="1:7">
      <c r="A95" s="41">
        <v>5</v>
      </c>
      <c r="B95" s="32"/>
      <c r="C95" s="32" t="s">
        <v>133</v>
      </c>
      <c r="D95" s="33">
        <f t="shared" ref="D95:E95" si="18">SUM(D82:D94)</f>
        <v>55411.063999999998</v>
      </c>
      <c r="E95" s="33">
        <f t="shared" si="18"/>
        <v>71317.2</v>
      </c>
      <c r="F95" s="33">
        <f t="shared" ref="F95:G95" si="19">SUM(F82:F94)</f>
        <v>46741.77</v>
      </c>
      <c r="G95" s="33">
        <f t="shared" si="19"/>
        <v>69201.5</v>
      </c>
    </row>
    <row r="96" spans="1:7" s="62" customFormat="1">
      <c r="A96" s="186">
        <v>60</v>
      </c>
      <c r="B96" s="187"/>
      <c r="C96" s="187" t="s">
        <v>262</v>
      </c>
      <c r="D96" s="152">
        <v>11.5</v>
      </c>
      <c r="E96" s="141">
        <v>0</v>
      </c>
      <c r="F96" s="105">
        <v>825.75</v>
      </c>
      <c r="G96" s="113"/>
    </row>
    <row r="97" spans="1:7" s="62" customFormat="1">
      <c r="A97" s="186">
        <v>61</v>
      </c>
      <c r="B97" s="187"/>
      <c r="C97" s="187" t="s">
        <v>263</v>
      </c>
      <c r="D97" s="152">
        <v>62.024999999999999</v>
      </c>
      <c r="E97" s="141">
        <v>0</v>
      </c>
      <c r="F97" s="105">
        <v>24.98</v>
      </c>
      <c r="G97" s="113"/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>
        <v>0</v>
      </c>
      <c r="F98" s="105"/>
      <c r="G98" s="113"/>
    </row>
    <row r="99" spans="1:7" s="62" customFormat="1">
      <c r="A99" s="186">
        <v>63</v>
      </c>
      <c r="B99" s="187"/>
      <c r="C99" s="187" t="s">
        <v>265</v>
      </c>
      <c r="D99" s="152">
        <v>32295.167000000001</v>
      </c>
      <c r="E99" s="141">
        <v>25577.5</v>
      </c>
      <c r="F99" s="105">
        <v>22945.02</v>
      </c>
      <c r="G99" s="113">
        <v>17136</v>
      </c>
    </row>
    <row r="100" spans="1:7" s="62" customFormat="1">
      <c r="A100" s="186">
        <v>64</v>
      </c>
      <c r="B100" s="187"/>
      <c r="C100" s="187" t="s">
        <v>185</v>
      </c>
      <c r="D100" s="152">
        <v>848.51099999999997</v>
      </c>
      <c r="E100" s="141">
        <v>15888.5</v>
      </c>
      <c r="F100" s="105">
        <v>689.49</v>
      </c>
      <c r="G100" s="113">
        <v>28118.3</v>
      </c>
    </row>
    <row r="101" spans="1:7" s="62" customFormat="1">
      <c r="A101" s="186">
        <v>65</v>
      </c>
      <c r="B101" s="187"/>
      <c r="C101" s="187" t="s">
        <v>186</v>
      </c>
      <c r="D101" s="152">
        <v>6.6130000000000004</v>
      </c>
      <c r="E101" s="141">
        <v>0</v>
      </c>
      <c r="F101" s="105"/>
      <c r="G101" s="113"/>
    </row>
    <row r="102" spans="1:7" s="62" customFormat="1">
      <c r="A102" s="186">
        <v>66</v>
      </c>
      <c r="B102" s="187"/>
      <c r="C102" s="187" t="s">
        <v>266</v>
      </c>
      <c r="D102" s="152">
        <v>46.533000000000001</v>
      </c>
      <c r="E102" s="141">
        <v>0</v>
      </c>
      <c r="F102" s="105"/>
      <c r="G102" s="113"/>
    </row>
    <row r="103" spans="1:7" s="62" customFormat="1">
      <c r="A103" s="186">
        <v>67</v>
      </c>
      <c r="B103" s="187"/>
      <c r="C103" s="187" t="s">
        <v>150</v>
      </c>
      <c r="D103" s="140">
        <v>1697.011</v>
      </c>
      <c r="E103" s="138">
        <v>1970.7</v>
      </c>
      <c r="F103" s="104">
        <v>1667.14</v>
      </c>
      <c r="G103" s="106">
        <v>1736.7</v>
      </c>
    </row>
    <row r="104" spans="1:7" s="62" customFormat="1" ht="28">
      <c r="A104" s="192" t="s">
        <v>268</v>
      </c>
      <c r="B104" s="187"/>
      <c r="C104" s="193" t="s">
        <v>267</v>
      </c>
      <c r="D104" s="140"/>
      <c r="E104" s="138"/>
      <c r="F104" s="104"/>
      <c r="G104" s="106"/>
    </row>
    <row r="105" spans="1:7" s="62" customFormat="1" ht="42">
      <c r="A105" s="194" t="s">
        <v>269</v>
      </c>
      <c r="B105" s="191"/>
      <c r="C105" s="195" t="s">
        <v>270</v>
      </c>
      <c r="D105" s="146"/>
      <c r="E105" s="151"/>
      <c r="F105" s="134"/>
      <c r="G105" s="136"/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34967.360000000001</v>
      </c>
      <c r="E106" s="33">
        <f t="shared" si="20"/>
        <v>43436.7</v>
      </c>
      <c r="F106" s="33">
        <f t="shared" ref="F106:G106" si="21">SUM(F96:F105)</f>
        <v>26152.38</v>
      </c>
      <c r="G106" s="33">
        <f t="shared" si="21"/>
        <v>46991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20443.703999999998</v>
      </c>
      <c r="E107" s="33">
        <f t="shared" si="22"/>
        <v>27880.5</v>
      </c>
      <c r="F107" s="33">
        <f t="shared" ref="F107:G107" si="23">(F95-F88)-(F106-F103)</f>
        <v>20589.389999999996</v>
      </c>
      <c r="G107" s="33">
        <f t="shared" si="23"/>
        <v>22210.5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20234.627999999997</v>
      </c>
      <c r="E108" s="50">
        <f t="shared" si="24"/>
        <v>27811</v>
      </c>
      <c r="F108" s="50">
        <f t="shared" ref="F108:G108" si="25">F107-F85-F86+F100+F101</f>
        <v>20802.509999999998</v>
      </c>
      <c r="G108" s="50">
        <f t="shared" si="25"/>
        <v>22120.5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163454.42499999999</v>
      </c>
      <c r="E111" s="337">
        <f t="shared" si="26"/>
        <v>0</v>
      </c>
      <c r="F111" s="336">
        <f t="shared" ref="F111:G111" si="27">F112+F117</f>
        <v>168120.65299999999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133586.535</v>
      </c>
      <c r="E112" s="337">
        <f t="shared" si="28"/>
        <v>0</v>
      </c>
      <c r="F112" s="336">
        <f t="shared" ref="F112:G112" si="29">F113+F114+F115+F116</f>
        <v>138845.59999999998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109081.128</v>
      </c>
      <c r="E113" s="113"/>
      <c r="F113" s="105">
        <f>48721.02+67876.5</f>
        <v>116597.51999999999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8000</v>
      </c>
      <c r="E114" s="271"/>
      <c r="F114" s="270">
        <v>5000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15179.665999999999</v>
      </c>
      <c r="E115" s="113"/>
      <c r="F115" s="105">
        <v>15579.52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1325.741</v>
      </c>
      <c r="E116" s="113"/>
      <c r="F116" s="105">
        <v>1668.56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29867.89</v>
      </c>
      <c r="E117" s="337">
        <f t="shared" si="30"/>
        <v>0</v>
      </c>
      <c r="F117" s="336">
        <f t="shared" ref="F117:G117" si="31">F118+F119+F120</f>
        <v>29275.053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9074.2900000000009</v>
      </c>
      <c r="E118" s="113"/>
      <c r="F118" s="105">
        <v>8178.4530000000004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20793.599999999999</v>
      </c>
      <c r="E119" s="113"/>
      <c r="F119" s="105">
        <v>21096.6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/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179089.97699999998</v>
      </c>
      <c r="E121" s="336">
        <f t="shared" si="32"/>
        <v>0</v>
      </c>
      <c r="F121" s="336">
        <f t="shared" ref="F121:G121" si="33">SUM(F122:F130)</f>
        <v>189266.46000000005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94230.441000000006</v>
      </c>
      <c r="E122" s="113"/>
      <c r="F122" s="105">
        <f>99623.57+1401.32</f>
        <v>101024.89000000001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15404.784</v>
      </c>
      <c r="E123" s="113"/>
      <c r="F123" s="105">
        <v>15133.29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45999.95</v>
      </c>
      <c r="E124" s="210"/>
      <c r="F124" s="105">
        <v>46649.55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23454.802</v>
      </c>
      <c r="E125" s="210"/>
      <c r="F125" s="105">
        <v>26458.73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/>
      <c r="E126" s="276"/>
      <c r="F126" s="117"/>
      <c r="G126" s="276"/>
    </row>
    <row r="127" spans="1:7" s="62" customFormat="1">
      <c r="A127" s="212">
        <v>1484</v>
      </c>
      <c r="B127" s="206"/>
      <c r="C127" s="206" t="s">
        <v>277</v>
      </c>
      <c r="D127" s="105"/>
      <c r="E127" s="210"/>
      <c r="F127" s="105"/>
      <c r="G127" s="210"/>
    </row>
    <row r="128" spans="1:7" s="62" customFormat="1">
      <c r="A128" s="212">
        <v>1485</v>
      </c>
      <c r="B128" s="206"/>
      <c r="C128" s="206" t="s">
        <v>278</v>
      </c>
      <c r="D128" s="105"/>
      <c r="E128" s="210"/>
      <c r="F128" s="105"/>
      <c r="G128" s="210"/>
    </row>
    <row r="129" spans="1:7" s="62" customFormat="1">
      <c r="A129" s="212">
        <v>1486</v>
      </c>
      <c r="B129" s="206"/>
      <c r="C129" s="206" t="s">
        <v>280</v>
      </c>
      <c r="D129" s="105"/>
      <c r="E129" s="210"/>
      <c r="F129" s="105"/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/>
      <c r="G130" s="277"/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342544.402</v>
      </c>
      <c r="E131" s="18">
        <f t="shared" si="34"/>
        <v>0</v>
      </c>
      <c r="F131" s="18">
        <f t="shared" ref="F131:G131" si="35">F111+F121</f>
        <v>357387.11300000001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6">D134+D140</f>
        <v>155124.40299999999</v>
      </c>
      <c r="E133" s="339">
        <f t="shared" si="36"/>
        <v>0</v>
      </c>
      <c r="F133" s="338">
        <f t="shared" ref="F133:G133" si="37">F134+F140</f>
        <v>154395.84</v>
      </c>
      <c r="G133" s="339">
        <f t="shared" si="37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8">D135+D136+D138+D139</f>
        <v>69907.811999999991</v>
      </c>
      <c r="E134" s="337">
        <f t="shared" si="38"/>
        <v>0</v>
      </c>
      <c r="F134" s="336">
        <f t="shared" ref="F134:G134" si="39">F135+F136+F138+F139</f>
        <v>66203.69</v>
      </c>
      <c r="G134" s="337">
        <f t="shared" si="39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36995.601000000002</v>
      </c>
      <c r="E135" s="113"/>
      <c r="F135" s="105">
        <v>36056.68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15000</v>
      </c>
      <c r="E136" s="113"/>
      <c r="F136" s="105">
        <v>10000</v>
      </c>
      <c r="G136" s="113"/>
    </row>
    <row r="137" spans="1:7" s="63" customFormat="1">
      <c r="A137" s="204" t="s">
        <v>489</v>
      </c>
      <c r="B137" s="205"/>
      <c r="C137" s="205" t="s">
        <v>92</v>
      </c>
      <c r="D137" s="150">
        <v>0</v>
      </c>
      <c r="E137" s="213"/>
      <c r="F137" s="150"/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13794.046</v>
      </c>
      <c r="E138" s="210"/>
      <c r="F138" s="105">
        <v>16405.89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4118.165</v>
      </c>
      <c r="E139" s="210"/>
      <c r="F139" s="105">
        <v>3741.12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40">D141+D143+D144</f>
        <v>85216.590999999986</v>
      </c>
      <c r="E140" s="337">
        <f t="shared" si="40"/>
        <v>0</v>
      </c>
      <c r="F140" s="336">
        <f t="shared" ref="F140:G140" si="41">F141+F143+F144</f>
        <v>88192.15</v>
      </c>
      <c r="G140" s="337">
        <f t="shared" si="41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70858.180999999997</v>
      </c>
      <c r="E141" s="210"/>
      <c r="F141" s="105">
        <v>74121.509999999995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213"/>
      <c r="F142" s="150"/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11741.808999999999</v>
      </c>
      <c r="E143" s="210"/>
      <c r="F143" s="105">
        <v>11102.61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2616.6010000000001</v>
      </c>
      <c r="E144" s="276"/>
      <c r="F144" s="117">
        <v>2968.03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187420</v>
      </c>
      <c r="E145" s="210"/>
      <c r="F145" s="209">
        <v>202991.27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160019.94699999999</v>
      </c>
      <c r="E146" s="174"/>
      <c r="F146" s="169">
        <v>181980.76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342544.40299999999</v>
      </c>
      <c r="E147" s="18">
        <f>E133+E145</f>
        <v>0</v>
      </c>
      <c r="F147" s="18">
        <f>F133+F145</f>
        <v>357387.11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46"/>
      <c r="C150" s="46" t="s">
        <v>153</v>
      </c>
      <c r="D150" s="55">
        <f t="shared" ref="D150:E150" si="42">D77+SUM(D8:D12)-D30-D31+D16-D33+D59+D63-D73+D64-D74-D54+D20-D35</f>
        <v>17179.034000000043</v>
      </c>
      <c r="E150" s="55">
        <f t="shared" si="42"/>
        <v>15586.155000000046</v>
      </c>
      <c r="F150" s="55">
        <f t="shared" ref="F150:G150" si="43">F77+SUM(F8:F12)-F30-F31+F16-F33+F59+F63-F73+F64-F74-F54+F20-F35</f>
        <v>33298.246000000014</v>
      </c>
      <c r="G150" s="55">
        <f t="shared" si="43"/>
        <v>16917.030000000028</v>
      </c>
    </row>
    <row r="151" spans="1:7">
      <c r="A151" s="38" t="s">
        <v>403</v>
      </c>
      <c r="B151" s="19"/>
      <c r="C151" s="19" t="s">
        <v>154</v>
      </c>
      <c r="D151" s="258">
        <f t="shared" ref="D151:E151" si="44">IF(D177=0,0,D150/D177)</f>
        <v>4.991541084891233E-2</v>
      </c>
      <c r="E151" s="258">
        <f t="shared" si="44"/>
        <v>4.4356999029269976E-2</v>
      </c>
      <c r="F151" s="258">
        <f t="shared" ref="F151:G151" si="45">IF(F177=0,0,F150/F177)</f>
        <v>9.1455465601422287E-2</v>
      </c>
      <c r="G151" s="258">
        <f t="shared" si="45"/>
        <v>4.7501588507921313E-2</v>
      </c>
    </row>
    <row r="152" spans="1:7" s="91" customFormat="1" ht="28">
      <c r="A152" s="93" t="s">
        <v>404</v>
      </c>
      <c r="B152" s="92"/>
      <c r="C152" s="92" t="s">
        <v>161</v>
      </c>
      <c r="D152" s="243">
        <f t="shared" ref="D152:E152" si="46">IF(D107=0,0,D150/D107)</f>
        <v>0.84030927076619999</v>
      </c>
      <c r="E152" s="243">
        <f t="shared" si="46"/>
        <v>0.55903427126486416</v>
      </c>
      <c r="F152" s="243">
        <f t="shared" ref="F152:G152" si="47">IF(F107=0,0,F150/F107)</f>
        <v>1.6172526723715477</v>
      </c>
      <c r="G152" s="243">
        <f t="shared" si="47"/>
        <v>0.76166812993854383</v>
      </c>
    </row>
    <row r="153" spans="1:7" s="91" customFormat="1" ht="28">
      <c r="A153" s="90" t="s">
        <v>404</v>
      </c>
      <c r="B153" s="89"/>
      <c r="C153" s="89" t="s">
        <v>162</v>
      </c>
      <c r="D153" s="244">
        <f t="shared" ref="D153:E153" si="48">IF(0=D108,0,D150/D108)</f>
        <v>0.8489918371615256</v>
      </c>
      <c r="E153" s="244">
        <f t="shared" si="48"/>
        <v>0.56043130416022602</v>
      </c>
      <c r="F153" s="244">
        <f t="shared" ref="F153:G153" si="49">IF(0=F108,0,F150/F108)</f>
        <v>1.6006840520687176</v>
      </c>
      <c r="G153" s="244">
        <f t="shared" si="49"/>
        <v>0.76476707126873389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50">D150-D107</f>
        <v>-3264.6699999999546</v>
      </c>
      <c r="E154" s="56">
        <f t="shared" si="50"/>
        <v>-12294.344999999954</v>
      </c>
      <c r="F154" s="56">
        <f t="shared" ref="F154:G154" si="51">F150-F107</f>
        <v>12708.856000000018</v>
      </c>
      <c r="G154" s="56">
        <f t="shared" si="51"/>
        <v>-5293.4699999999721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2">D150-D108</f>
        <v>-3055.5939999999537</v>
      </c>
      <c r="E155" s="59">
        <f t="shared" si="52"/>
        <v>-12224.844999999954</v>
      </c>
      <c r="F155" s="59">
        <f t="shared" ref="F155:G155" si="53">F150-F108</f>
        <v>12495.736000000015</v>
      </c>
      <c r="G155" s="59">
        <f t="shared" si="53"/>
        <v>-5203.4699999999721</v>
      </c>
    </row>
    <row r="156" spans="1:7">
      <c r="A156" s="51" t="s">
        <v>391</v>
      </c>
      <c r="B156" s="46"/>
      <c r="C156" s="46" t="s">
        <v>35</v>
      </c>
      <c r="D156" s="47">
        <f t="shared" ref="D156:E156" si="54">D135+D136-D137+D141-D142</f>
        <v>122853.78200000001</v>
      </c>
      <c r="E156" s="47">
        <f t="shared" si="54"/>
        <v>0</v>
      </c>
      <c r="F156" s="47">
        <f t="shared" ref="F156:G156" si="55">F135+F136-F137+F141-F142</f>
        <v>120178.19</v>
      </c>
      <c r="G156" s="47">
        <f t="shared" si="55"/>
        <v>0</v>
      </c>
    </row>
    <row r="157" spans="1:7">
      <c r="A157" s="233" t="s">
        <v>399</v>
      </c>
      <c r="B157" s="48"/>
      <c r="C157" s="48" t="s">
        <v>132</v>
      </c>
      <c r="D157" s="241">
        <f t="shared" ref="D157:E157" si="56">IF(D177=0,0,D156/D177)</f>
        <v>0.35696401805088079</v>
      </c>
      <c r="E157" s="241">
        <f t="shared" si="56"/>
        <v>0</v>
      </c>
      <c r="F157" s="241">
        <f t="shared" ref="F157:G157" si="57">IF(F177=0,0,F156/F177)</f>
        <v>0.33007601426171779</v>
      </c>
      <c r="G157" s="241">
        <f t="shared" si="57"/>
        <v>0</v>
      </c>
    </row>
    <row r="158" spans="1:7">
      <c r="A158" s="51" t="s">
        <v>392</v>
      </c>
      <c r="B158" s="46"/>
      <c r="C158" s="46" t="s">
        <v>393</v>
      </c>
      <c r="D158" s="47">
        <f t="shared" ref="D158:E158" si="58">D133-D142-D111</f>
        <v>-8330.0219999999972</v>
      </c>
      <c r="E158" s="47">
        <f t="shared" si="58"/>
        <v>0</v>
      </c>
      <c r="F158" s="47">
        <f t="shared" ref="F158:G158" si="59">F133-F142-F111</f>
        <v>-13724.812999999995</v>
      </c>
      <c r="G158" s="47">
        <f t="shared" si="59"/>
        <v>0</v>
      </c>
    </row>
    <row r="159" spans="1:7">
      <c r="A159" s="38" t="s">
        <v>395</v>
      </c>
      <c r="B159" s="19"/>
      <c r="C159" s="19" t="s">
        <v>394</v>
      </c>
      <c r="D159" s="40">
        <f t="shared" ref="D159:E159" si="60">D121-D123-D124-D142-D145</f>
        <v>-69734.757000000027</v>
      </c>
      <c r="E159" s="40">
        <f t="shared" si="60"/>
        <v>0</v>
      </c>
      <c r="F159" s="40">
        <f t="shared" ref="F159:G159" si="61">F121-F123-F124-F142-F145</f>
        <v>-75507.649999999951</v>
      </c>
      <c r="G159" s="40">
        <f t="shared" si="61"/>
        <v>0</v>
      </c>
    </row>
    <row r="160" spans="1:7">
      <c r="A160" s="38" t="s">
        <v>400</v>
      </c>
      <c r="B160" s="19"/>
      <c r="C160" s="19" t="s">
        <v>115</v>
      </c>
      <c r="D160" s="240">
        <f t="shared" ref="D160:E160" si="62">IF(D175=0,"-",1000*D158/D175)</f>
        <v>-235.00598092873659</v>
      </c>
      <c r="E160" s="240">
        <f t="shared" si="62"/>
        <v>0</v>
      </c>
      <c r="F160" s="240">
        <f t="shared" ref="F160:G160" si="63">IF(F175=0,"-",1000*F158/F175)</f>
        <v>-384.4377748522449</v>
      </c>
      <c r="G160" s="240">
        <f t="shared" si="63"/>
        <v>0</v>
      </c>
    </row>
    <row r="161" spans="1:7">
      <c r="A161" s="38" t="s">
        <v>400</v>
      </c>
      <c r="B161" s="19"/>
      <c r="C161" s="19" t="s">
        <v>139</v>
      </c>
      <c r="D161" s="40">
        <f t="shared" ref="D161:E161" si="64">IF(D175=0,0,1000*(D159/D175))</f>
        <v>-1967.35194380184</v>
      </c>
      <c r="E161" s="40">
        <f t="shared" si="64"/>
        <v>0</v>
      </c>
      <c r="F161" s="40">
        <f t="shared" ref="F161:G161" si="65">IF(F175=0,0,1000*(F159/F175))</f>
        <v>-2115.000980364694</v>
      </c>
      <c r="G161" s="40">
        <f t="shared" si="65"/>
        <v>0</v>
      </c>
    </row>
    <row r="162" spans="1:7">
      <c r="A162" s="233" t="s">
        <v>401</v>
      </c>
      <c r="B162" s="48"/>
      <c r="C162" s="48" t="s">
        <v>116</v>
      </c>
      <c r="D162" s="241">
        <f t="shared" ref="D162:E162" si="66">IF((D22+D23+D65+D66)=0,0,D158/(D22+D23+D65+D66))</f>
        <v>-0.10707370746887393</v>
      </c>
      <c r="E162" s="241">
        <f t="shared" si="66"/>
        <v>0</v>
      </c>
      <c r="F162" s="241">
        <f t="shared" ref="F162:G162" si="67">IF((F22+F23+F65+F66)=0,0,F158/(F22+F23+F65+F66))</f>
        <v>-0.15945414471988134</v>
      </c>
      <c r="G162" s="241">
        <f t="shared" si="67"/>
        <v>0</v>
      </c>
    </row>
    <row r="163" spans="1:7">
      <c r="A163" s="38" t="s">
        <v>409</v>
      </c>
      <c r="B163" s="19"/>
      <c r="C163" s="19" t="s">
        <v>36</v>
      </c>
      <c r="D163" s="55">
        <f t="shared" ref="D163:E163" si="68">D145</f>
        <v>187420</v>
      </c>
      <c r="E163" s="55">
        <f t="shared" si="68"/>
        <v>0</v>
      </c>
      <c r="F163" s="55">
        <f t="shared" ref="F163:G163" si="69">F145</f>
        <v>202991.27</v>
      </c>
      <c r="G163" s="55">
        <f t="shared" si="69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0.47130122845698441</v>
      </c>
      <c r="E164" s="245">
        <f>IF(E178=0,0,E146/E178)</f>
        <v>0</v>
      </c>
      <c r="F164" s="245">
        <f>IF(F178=0,0,F146/F178)</f>
        <v>0.53190208097124603</v>
      </c>
      <c r="G164" s="245">
        <f>IF(G178=0,0,G146/G178)</f>
        <v>0</v>
      </c>
    </row>
    <row r="165" spans="1:7">
      <c r="A165" s="234" t="s">
        <v>493</v>
      </c>
      <c r="B165" s="34"/>
      <c r="C165" s="34" t="s">
        <v>118</v>
      </c>
      <c r="D165" s="259">
        <f t="shared" ref="D165:E165" si="70">IF(D177=0,0,D180/D177)</f>
        <v>4.0728413256850213E-2</v>
      </c>
      <c r="E165" s="259">
        <f t="shared" si="70"/>
        <v>3.7813365129504367E-2</v>
      </c>
      <c r="F165" s="259">
        <f t="shared" ref="F165:G165" si="71">IF(F177=0,0,F180/F177)</f>
        <v>3.416434329624387E-2</v>
      </c>
      <c r="G165" s="259">
        <f t="shared" si="71"/>
        <v>3.4119822003998532E-2</v>
      </c>
    </row>
    <row r="166" spans="1:7">
      <c r="A166" s="38" t="s">
        <v>411</v>
      </c>
      <c r="B166" s="19"/>
      <c r="C166" s="19" t="s">
        <v>20</v>
      </c>
      <c r="D166" s="55">
        <f t="shared" ref="D166:E166" si="72">D55</f>
        <v>10205.957000000002</v>
      </c>
      <c r="E166" s="55">
        <f t="shared" si="72"/>
        <v>13468.725</v>
      </c>
      <c r="F166" s="55">
        <f t="shared" ref="F166:G166" si="73">F55</f>
        <v>10176.035999999998</v>
      </c>
      <c r="G166" s="55">
        <f t="shared" si="73"/>
        <v>12126.13</v>
      </c>
    </row>
    <row r="167" spans="1:7">
      <c r="A167" s="233" t="s">
        <v>410</v>
      </c>
      <c r="B167" s="48"/>
      <c r="C167" s="48" t="s">
        <v>119</v>
      </c>
      <c r="D167" s="241">
        <f t="shared" ref="D167:E167" si="74">IF(0=D111,0,(D44+D45+D46+D47+D48)/D111)</f>
        <v>6.879746449201361E-3</v>
      </c>
      <c r="E167" s="241">
        <f t="shared" si="74"/>
        <v>0</v>
      </c>
      <c r="F167" s="241">
        <f t="shared" ref="F167:G167" si="75">IF(0=F111,0,(F44+F45+F46+F47+F48)/F111)</f>
        <v>6.1890432938063837E-3</v>
      </c>
      <c r="G167" s="241">
        <f t="shared" si="75"/>
        <v>0</v>
      </c>
    </row>
    <row r="168" spans="1:7">
      <c r="A168" s="38" t="s">
        <v>396</v>
      </c>
      <c r="B168" s="46"/>
      <c r="C168" s="46" t="s">
        <v>397</v>
      </c>
      <c r="D168" s="55">
        <f t="shared" ref="D168:E168" si="76">D38-D44</f>
        <v>1774.7169999999999</v>
      </c>
      <c r="E168" s="55">
        <f t="shared" si="76"/>
        <v>2146.6</v>
      </c>
      <c r="F168" s="55">
        <f t="shared" ref="F168:G168" si="77">F38-F44</f>
        <v>1434.8000000000002</v>
      </c>
      <c r="G168" s="55">
        <f t="shared" si="77"/>
        <v>1148.5999999999999</v>
      </c>
    </row>
    <row r="169" spans="1:7">
      <c r="A169" s="233" t="s">
        <v>398</v>
      </c>
      <c r="B169" s="48"/>
      <c r="C169" s="48" t="s">
        <v>120</v>
      </c>
      <c r="D169" s="258">
        <f t="shared" ref="D169:E169" si="78">IF(D177=0,0,D168/D177)</f>
        <v>5.1566187129933449E-3</v>
      </c>
      <c r="E169" s="258">
        <f t="shared" si="78"/>
        <v>6.1090585918227198E-3</v>
      </c>
      <c r="F169" s="258">
        <f t="shared" ref="F169:G169" si="79">IF(F177=0,0,F168/F177)</f>
        <v>3.9407571811716649E-3</v>
      </c>
      <c r="G169" s="258">
        <f t="shared" si="79"/>
        <v>3.2251715910061236E-3</v>
      </c>
    </row>
    <row r="170" spans="1:7">
      <c r="A170" s="38" t="s">
        <v>366</v>
      </c>
      <c r="B170" s="19"/>
      <c r="C170" s="19" t="s">
        <v>364</v>
      </c>
      <c r="D170" s="55">
        <f t="shared" ref="D170:E170" si="80">SUM(D82:D87)+SUM(D89:D94)</f>
        <v>53714.053</v>
      </c>
      <c r="E170" s="55">
        <f t="shared" si="80"/>
        <v>69346.5</v>
      </c>
      <c r="F170" s="55">
        <f t="shared" ref="F170:G170" si="81">SUM(F82:F87)+SUM(F89:F94)</f>
        <v>45074.63</v>
      </c>
      <c r="G170" s="55">
        <f t="shared" si="81"/>
        <v>67464.800000000003</v>
      </c>
    </row>
    <row r="171" spans="1:7">
      <c r="A171" s="38" t="s">
        <v>367</v>
      </c>
      <c r="B171" s="19"/>
      <c r="C171" s="19" t="s">
        <v>365</v>
      </c>
      <c r="D171" s="40">
        <f t="shared" ref="D171:E171" si="82">SUM(D96:D102)+SUM(D104:D105)</f>
        <v>33270.349000000002</v>
      </c>
      <c r="E171" s="40">
        <f t="shared" si="82"/>
        <v>41466</v>
      </c>
      <c r="F171" s="40">
        <f t="shared" ref="F171:G171" si="83">SUM(F96:F102)+SUM(F104:F105)</f>
        <v>24485.24</v>
      </c>
      <c r="G171" s="40">
        <f t="shared" si="83"/>
        <v>45254.3</v>
      </c>
    </row>
    <row r="172" spans="1:7">
      <c r="A172" s="234" t="s">
        <v>368</v>
      </c>
      <c r="B172" s="34"/>
      <c r="C172" s="34" t="s">
        <v>121</v>
      </c>
      <c r="D172" s="259">
        <f t="shared" ref="D172:E172" si="84">IF(D184=0,0,D170/D184)</f>
        <v>0.14212816848076723</v>
      </c>
      <c r="E172" s="259">
        <f t="shared" si="84"/>
        <v>0.17205620118000042</v>
      </c>
      <c r="F172" s="259">
        <f t="shared" ref="F172:G172" si="85">IF(F184=0,0,F170/F184)</f>
        <v>0.12111667725444254</v>
      </c>
      <c r="G172" s="259">
        <f t="shared" si="85"/>
        <v>0.16648647544162357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331">
        <v>35446</v>
      </c>
      <c r="E175" s="340">
        <v>35446</v>
      </c>
      <c r="F175" s="340">
        <v>35701</v>
      </c>
      <c r="G175" s="340">
        <v>35701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6">SUM(D22:D32)+SUM(D44:D53)+SUM(D65:D72)+D75</f>
        <v>344162.929</v>
      </c>
      <c r="E177" s="39">
        <f t="shared" si="86"/>
        <v>351379.83500000002</v>
      </c>
      <c r="F177" s="39">
        <f t="shared" ref="F177:G177" si="87">SUM(F22:F32)+SUM(F44:F53)+SUM(F65:F72)+F75</f>
        <v>364092.46600000001</v>
      </c>
      <c r="G177" s="39">
        <f t="shared" si="87"/>
        <v>356136.08999999997</v>
      </c>
    </row>
    <row r="178" spans="1:7">
      <c r="A178" s="236" t="s">
        <v>385</v>
      </c>
      <c r="B178" s="23"/>
      <c r="C178" s="23" t="s">
        <v>100</v>
      </c>
      <c r="D178" s="39">
        <f t="shared" ref="D178:E178" si="88">D78-D17-D20-D59-D63-D64</f>
        <v>339527.96499999997</v>
      </c>
      <c r="E178" s="39">
        <f t="shared" si="88"/>
        <v>345984.98399999994</v>
      </c>
      <c r="F178" s="39">
        <f t="shared" ref="F178:G178" si="89">F78-F17-F20-F59-F63-F64</f>
        <v>342132.07</v>
      </c>
      <c r="G178" s="39">
        <f t="shared" si="89"/>
        <v>349670.80999999994</v>
      </c>
    </row>
    <row r="179" spans="1:7">
      <c r="A179" s="236"/>
      <c r="B179" s="23"/>
      <c r="C179" s="23" t="s">
        <v>388</v>
      </c>
      <c r="D179" s="39">
        <f t="shared" ref="D179:E179" si="90">D178+D170</f>
        <v>393242.01799999998</v>
      </c>
      <c r="E179" s="39">
        <f t="shared" si="90"/>
        <v>415331.48399999994</v>
      </c>
      <c r="F179" s="39">
        <f t="shared" ref="F179:G179" si="91">F178+F170</f>
        <v>387206.7</v>
      </c>
      <c r="G179" s="39">
        <f t="shared" si="91"/>
        <v>417135.60999999993</v>
      </c>
    </row>
    <row r="180" spans="1:7">
      <c r="A180" s="236" t="s">
        <v>389</v>
      </c>
      <c r="B180" s="23"/>
      <c r="C180" s="23" t="s">
        <v>390</v>
      </c>
      <c r="D180" s="39">
        <f t="shared" ref="D180:E180" si="92">D38-D44+D8+D9+D10+D16-D33</f>
        <v>14017.21</v>
      </c>
      <c r="E180" s="39">
        <f t="shared" si="92"/>
        <v>13286.853999999999</v>
      </c>
      <c r="F180" s="39">
        <f t="shared" ref="F180:G180" si="93">F38-F44+F8+F9+F10+F16-F33</f>
        <v>12438.98</v>
      </c>
      <c r="G180" s="39">
        <f t="shared" si="93"/>
        <v>12151.3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4">D22+D23+D24+D25+D26+D29+SUM(D44:D47)+SUM(D49:D53)-D54+D32-D33+SUM(D65:D70)+D72</f>
        <v>340501.83799999999</v>
      </c>
      <c r="E181" s="73">
        <f t="shared" si="94"/>
        <v>348519.28499999997</v>
      </c>
      <c r="F181" s="73">
        <f t="shared" ref="F181:G181" si="95">F22+F23+F24+F25+F26+F29+SUM(F44:F47)+SUM(F49:F53)-F54+F32-F33+SUM(F65:F70)+F72</f>
        <v>354045.326</v>
      </c>
      <c r="G181" s="73">
        <f t="shared" si="95"/>
        <v>353908.14</v>
      </c>
    </row>
    <row r="182" spans="1:7">
      <c r="A182" s="237" t="s">
        <v>375</v>
      </c>
      <c r="B182" s="71"/>
      <c r="C182" s="71" t="s">
        <v>170</v>
      </c>
      <c r="D182" s="73">
        <f t="shared" ref="D182:E182" si="96">D181+D171</f>
        <v>373772.18699999998</v>
      </c>
      <c r="E182" s="73">
        <f t="shared" si="96"/>
        <v>389985.28499999997</v>
      </c>
      <c r="F182" s="73">
        <f t="shared" ref="F182:G182" si="97">F181+F171</f>
        <v>378530.56599999999</v>
      </c>
      <c r="G182" s="73">
        <f t="shared" si="97"/>
        <v>399162.44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324212.81099999999</v>
      </c>
      <c r="E183" s="73">
        <f t="shared" ref="E183:G183" si="98">E4+E5-E7+E38+E39+E40+E41+E43+E13-E16+E57+E58+E60+E62</f>
        <v>333699.12999999995</v>
      </c>
      <c r="F183" s="73">
        <f t="shared" si="98"/>
        <v>327084.11</v>
      </c>
      <c r="G183" s="73">
        <f t="shared" si="98"/>
        <v>337762.11000000004</v>
      </c>
    </row>
    <row r="184" spans="1:7">
      <c r="A184" s="237" t="s">
        <v>373</v>
      </c>
      <c r="B184" s="71"/>
      <c r="C184" s="71" t="s">
        <v>171</v>
      </c>
      <c r="D184" s="73">
        <f t="shared" ref="D184:E184" si="99">D183+D170</f>
        <v>377926.864</v>
      </c>
      <c r="E184" s="73">
        <f t="shared" si="99"/>
        <v>403045.62999999995</v>
      </c>
      <c r="F184" s="73">
        <f t="shared" ref="F184:G184" si="100">F183+F170</f>
        <v>372158.74</v>
      </c>
      <c r="G184" s="73">
        <f t="shared" si="100"/>
        <v>405226.91000000003</v>
      </c>
    </row>
    <row r="185" spans="1:7">
      <c r="A185" s="237"/>
      <c r="B185" s="71"/>
      <c r="C185" s="71" t="s">
        <v>405</v>
      </c>
      <c r="D185" s="73">
        <f t="shared" ref="D185:E186" si="101">D181-D183</f>
        <v>16289.027000000002</v>
      </c>
      <c r="E185" s="73">
        <f t="shared" si="101"/>
        <v>14820.155000000028</v>
      </c>
      <c r="F185" s="73">
        <f t="shared" ref="F185:G185" si="102">F181-F183</f>
        <v>26961.216000000015</v>
      </c>
      <c r="G185" s="73">
        <f t="shared" si="102"/>
        <v>16146.02999999997</v>
      </c>
    </row>
    <row r="186" spans="1:7">
      <c r="A186" s="237"/>
      <c r="B186" s="71"/>
      <c r="C186" s="71" t="s">
        <v>406</v>
      </c>
      <c r="D186" s="73">
        <f t="shared" si="101"/>
        <v>-4154.6770000000251</v>
      </c>
      <c r="E186" s="73">
        <f t="shared" si="101"/>
        <v>-13060.344999999972</v>
      </c>
      <c r="F186" s="73">
        <f t="shared" ref="F186:G186" si="103">F182-F184</f>
        <v>6371.8260000000009</v>
      </c>
      <c r="G186" s="73">
        <f t="shared" si="103"/>
        <v>-6064.4700000000303</v>
      </c>
    </row>
  </sheetData>
  <sheetProtection selectLockedCells="1" sort="0" autoFilter="0" pivotTables="0"/>
  <mergeCells count="2">
    <mergeCell ref="A3:C3"/>
    <mergeCell ref="A81:C81"/>
  </mergeCells>
  <phoneticPr fontId="31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N67"/>
  <sheetViews>
    <sheetView workbookViewId="0">
      <pane ySplit="6" topLeftCell="A7" activePane="bottomLeft" state="frozen"/>
      <selection activeCell="K44" sqref="K44:N48"/>
      <selection pane="bottomLeft" activeCell="E6" sqref="E6:F6"/>
    </sheetView>
  </sheetViews>
  <sheetFormatPr baseColWidth="10" defaultColWidth="11.5" defaultRowHeight="13"/>
  <cols>
    <col min="1" max="1" width="19.6640625" style="552" customWidth="1"/>
    <col min="2" max="2" width="13.5" style="557" customWidth="1"/>
    <col min="3" max="3" width="12.6640625" style="557" customWidth="1"/>
    <col min="4" max="4" width="14.33203125" style="557" customWidth="1"/>
    <col min="5" max="5" width="15.33203125" style="574" customWidth="1"/>
    <col min="6" max="6" width="16" style="557" customWidth="1"/>
    <col min="7" max="7" width="11.5" style="513" customWidth="1"/>
    <col min="8" max="8" width="25.6640625" style="557" customWidth="1"/>
    <col min="9" max="9" width="14.83203125" style="513" customWidth="1"/>
    <col min="10" max="10" width="16.6640625" style="513" customWidth="1"/>
    <col min="11" max="11" width="18.6640625" style="513" customWidth="1"/>
    <col min="12" max="12" width="13.6640625" style="513" customWidth="1"/>
    <col min="13" max="13" width="13.6640625" style="513" hidden="1" customWidth="1"/>
    <col min="14" max="14" width="13.5" style="513" customWidth="1"/>
    <col min="15" max="61" width="11.5" style="457" customWidth="1"/>
    <col min="62" max="16384" width="11.5" style="457"/>
  </cols>
  <sheetData>
    <row r="1" spans="1:14" s="509" customFormat="1" ht="36" customHeight="1">
      <c r="A1" s="804" t="s">
        <v>674</v>
      </c>
      <c r="B1" s="804"/>
      <c r="C1" s="804"/>
      <c r="D1" s="804"/>
      <c r="E1" s="804"/>
      <c r="F1" s="804"/>
      <c r="G1" s="508"/>
      <c r="H1" s="559"/>
      <c r="I1" s="508"/>
      <c r="J1" s="508"/>
      <c r="K1" s="508"/>
      <c r="L1" s="508"/>
      <c r="M1" s="508"/>
      <c r="N1" s="508"/>
    </row>
    <row r="2" spans="1:14" ht="15" customHeight="1">
      <c r="A2" s="510" t="s">
        <v>506</v>
      </c>
      <c r="B2" s="511" t="s">
        <v>2</v>
      </c>
      <c r="C2" s="511" t="s">
        <v>37</v>
      </c>
      <c r="D2" s="511" t="s">
        <v>512</v>
      </c>
      <c r="E2" s="511" t="s">
        <v>2</v>
      </c>
      <c r="F2" s="512" t="s">
        <v>512</v>
      </c>
      <c r="H2" s="560"/>
      <c r="I2" s="464"/>
      <c r="J2" s="464"/>
      <c r="K2" s="464"/>
      <c r="L2" s="464"/>
      <c r="M2" s="464"/>
    </row>
    <row r="3" spans="1:14" ht="14">
      <c r="A3" s="514" t="s">
        <v>644</v>
      </c>
      <c r="B3" s="515" t="s">
        <v>2</v>
      </c>
      <c r="C3" s="515" t="s">
        <v>172</v>
      </c>
      <c r="D3" s="516" t="s">
        <v>708</v>
      </c>
      <c r="E3" s="515" t="s">
        <v>2</v>
      </c>
      <c r="F3" s="517" t="s">
        <v>709</v>
      </c>
      <c r="H3" s="560"/>
      <c r="I3" s="464"/>
      <c r="J3" s="464"/>
      <c r="K3" s="464"/>
      <c r="L3" s="464"/>
      <c r="M3" s="464"/>
    </row>
    <row r="4" spans="1:14">
      <c r="A4" s="518"/>
      <c r="B4" s="519">
        <v>2013</v>
      </c>
      <c r="C4" s="519">
        <v>2013</v>
      </c>
      <c r="D4" s="519"/>
      <c r="E4" s="519">
        <v>2014</v>
      </c>
      <c r="F4" s="520"/>
      <c r="H4" s="560"/>
      <c r="I4" s="464"/>
      <c r="J4" s="464"/>
      <c r="K4" s="464"/>
      <c r="L4" s="464"/>
      <c r="M4" s="464"/>
    </row>
    <row r="5" spans="1:14" s="527" customFormat="1" ht="20.25" customHeight="1">
      <c r="A5" s="561" t="s">
        <v>648</v>
      </c>
      <c r="B5" s="562"/>
      <c r="C5" s="525"/>
      <c r="D5" s="524"/>
      <c r="E5" s="527" t="s">
        <v>483</v>
      </c>
      <c r="F5" s="526"/>
      <c r="G5" s="530"/>
      <c r="H5" s="490"/>
      <c r="I5" s="464"/>
      <c r="J5" s="528"/>
      <c r="K5" s="528"/>
      <c r="L5" s="528"/>
      <c r="M5" s="529"/>
      <c r="N5" s="530"/>
    </row>
    <row r="6" spans="1:14" s="527" customFormat="1" ht="22" customHeight="1">
      <c r="A6" s="531" t="s">
        <v>38</v>
      </c>
      <c r="B6" s="532">
        <v>-166585.96800000151</v>
      </c>
      <c r="C6" s="532">
        <v>-49340.268029998406</v>
      </c>
      <c r="D6" s="533">
        <v>117245.6999700031</v>
      </c>
      <c r="E6" s="534">
        <v>-137497.24899999826</v>
      </c>
      <c r="F6" s="535">
        <v>-88156.980969999859</v>
      </c>
      <c r="G6" s="530"/>
      <c r="H6" s="490"/>
      <c r="I6" s="536"/>
      <c r="J6" s="536"/>
      <c r="K6" s="536"/>
      <c r="L6" s="537"/>
      <c r="M6" s="529"/>
      <c r="N6" s="530"/>
    </row>
    <row r="7" spans="1:14" s="527" customFormat="1" ht="22" customHeight="1">
      <c r="A7" s="538" t="s">
        <v>507</v>
      </c>
      <c r="B7" s="539">
        <v>51640.732349999016</v>
      </c>
      <c r="C7" s="533">
        <v>180201.69999999937</v>
      </c>
      <c r="D7" s="539">
        <v>128560.96765000036</v>
      </c>
      <c r="E7" s="540">
        <v>57439.899999999674</v>
      </c>
      <c r="F7" s="541">
        <v>-122761.7999999997</v>
      </c>
      <c r="G7" s="530"/>
      <c r="H7" s="490"/>
      <c r="I7" s="536"/>
      <c r="J7" s="536"/>
      <c r="K7" s="536"/>
      <c r="L7" s="505"/>
      <c r="M7" s="529"/>
      <c r="N7" s="530"/>
    </row>
    <row r="8" spans="1:14" s="527" customFormat="1" ht="22" customHeight="1">
      <c r="A8" s="538" t="s">
        <v>210</v>
      </c>
      <c r="B8" s="542">
        <v>-10628.169000000373</v>
      </c>
      <c r="C8" s="542">
        <v>25363.593920000247</v>
      </c>
      <c r="D8" s="539">
        <v>35991.762920000619</v>
      </c>
      <c r="E8" s="543">
        <v>8825.17088999931</v>
      </c>
      <c r="F8" s="541">
        <v>-16538.423030000937</v>
      </c>
      <c r="G8" s="530"/>
      <c r="H8" s="490"/>
      <c r="I8" s="536"/>
      <c r="J8" s="536"/>
      <c r="K8" s="536"/>
      <c r="L8" s="537"/>
      <c r="M8" s="529"/>
      <c r="N8" s="530"/>
    </row>
    <row r="9" spans="1:14" s="527" customFormat="1" ht="22" customHeight="1">
      <c r="A9" s="538" t="s">
        <v>208</v>
      </c>
      <c r="B9" s="542">
        <v>-11311.566999999937</v>
      </c>
      <c r="C9" s="542">
        <v>12375.186000000012</v>
      </c>
      <c r="D9" s="539">
        <v>23686.75299999995</v>
      </c>
      <c r="E9" s="543">
        <v>-4742.5199999999131</v>
      </c>
      <c r="F9" s="541">
        <v>-17117.705999999926</v>
      </c>
      <c r="G9" s="530"/>
      <c r="H9" s="490"/>
      <c r="I9" s="536"/>
      <c r="J9" s="536"/>
      <c r="K9" s="536"/>
      <c r="L9" s="537"/>
      <c r="M9" s="529"/>
      <c r="N9" s="530"/>
    </row>
    <row r="10" spans="1:14" s="527" customFormat="1" ht="22" customHeight="1">
      <c r="A10" s="538" t="s">
        <v>510</v>
      </c>
      <c r="B10" s="539">
        <v>-109053</v>
      </c>
      <c r="C10" s="539">
        <v>-116147</v>
      </c>
      <c r="D10" s="539">
        <v>-7094</v>
      </c>
      <c r="E10" s="545">
        <v>-100611</v>
      </c>
      <c r="F10" s="541">
        <v>15536</v>
      </c>
      <c r="G10" s="530"/>
      <c r="H10" s="490"/>
      <c r="I10" s="536"/>
      <c r="J10" s="536"/>
      <c r="K10" s="536"/>
      <c r="L10" s="537"/>
      <c r="M10" s="529"/>
      <c r="N10" s="530"/>
    </row>
    <row r="11" spans="1:14" s="527" customFormat="1" ht="22" customHeight="1">
      <c r="A11" s="538" t="s">
        <v>225</v>
      </c>
      <c r="B11" s="542">
        <v>-26292</v>
      </c>
      <c r="C11" s="542">
        <v>-18657</v>
      </c>
      <c r="D11" s="539">
        <v>7635</v>
      </c>
      <c r="E11" s="543">
        <v>-27342</v>
      </c>
      <c r="F11" s="541">
        <v>-8685</v>
      </c>
      <c r="G11" s="530"/>
      <c r="H11" s="490"/>
      <c r="I11" s="536"/>
      <c r="J11" s="536"/>
      <c r="K11" s="536"/>
      <c r="L11" s="537"/>
      <c r="M11" s="529"/>
      <c r="N11" s="530"/>
    </row>
    <row r="12" spans="1:14" s="527" customFormat="1" ht="22" customHeight="1">
      <c r="A12" s="538" t="s">
        <v>136</v>
      </c>
      <c r="B12" s="542">
        <v>-9574.2000000000698</v>
      </c>
      <c r="C12" s="542">
        <v>-6652.0000000000036</v>
      </c>
      <c r="D12" s="539">
        <v>2922.2000000000662</v>
      </c>
      <c r="E12" s="543">
        <v>-2941.2999999998719</v>
      </c>
      <c r="F12" s="541">
        <v>3710.7000000001317</v>
      </c>
      <c r="G12" s="530"/>
      <c r="H12" s="490"/>
      <c r="I12" s="536"/>
      <c r="J12" s="536"/>
      <c r="K12" s="536"/>
      <c r="L12" s="537"/>
      <c r="M12" s="529"/>
      <c r="N12" s="530"/>
    </row>
    <row r="13" spans="1:14" s="527" customFormat="1" ht="22" customHeight="1">
      <c r="A13" s="538" t="s">
        <v>141</v>
      </c>
      <c r="B13" s="542">
        <v>-6438.5999999999567</v>
      </c>
      <c r="C13" s="542">
        <v>7927.5999999999476</v>
      </c>
      <c r="D13" s="539">
        <v>14366.199999999904</v>
      </c>
      <c r="E13" s="543">
        <v>-18019.10000000006</v>
      </c>
      <c r="F13" s="541">
        <v>-25946.700000000008</v>
      </c>
      <c r="G13" s="530"/>
      <c r="H13" s="490"/>
      <c r="I13" s="536"/>
      <c r="J13" s="536"/>
      <c r="K13" s="536"/>
      <c r="L13" s="537"/>
      <c r="M13" s="529"/>
      <c r="N13" s="530"/>
    </row>
    <row r="14" spans="1:14" s="527" customFormat="1" ht="22" customHeight="1">
      <c r="A14" s="538" t="s">
        <v>214</v>
      </c>
      <c r="B14" s="542">
        <v>-108399.96999999984</v>
      </c>
      <c r="C14" s="542">
        <v>-70853.426000000036</v>
      </c>
      <c r="D14" s="539">
        <v>37546.543999999805</v>
      </c>
      <c r="E14" s="543">
        <v>-86241.725999999835</v>
      </c>
      <c r="F14" s="541">
        <v>-15388.299999999799</v>
      </c>
      <c r="G14" s="530"/>
      <c r="H14" s="490"/>
      <c r="I14" s="536"/>
      <c r="J14" s="536"/>
      <c r="K14" s="536"/>
      <c r="L14" s="537"/>
      <c r="M14" s="529"/>
      <c r="N14" s="530"/>
    </row>
    <row r="15" spans="1:14" s="527" customFormat="1" ht="22" customHeight="1">
      <c r="A15" s="538" t="s">
        <v>218</v>
      </c>
      <c r="B15" s="542">
        <v>-83404.599999999627</v>
      </c>
      <c r="C15" s="542">
        <v>-37413</v>
      </c>
      <c r="D15" s="539">
        <v>45991.599999999627</v>
      </c>
      <c r="E15" s="543">
        <v>-17304</v>
      </c>
      <c r="F15" s="541">
        <v>20109</v>
      </c>
      <c r="G15" s="530"/>
      <c r="H15" s="490"/>
      <c r="I15" s="536"/>
      <c r="J15" s="536"/>
      <c r="K15" s="536"/>
      <c r="L15" s="537"/>
      <c r="M15" s="529"/>
      <c r="N15" s="530"/>
    </row>
    <row r="16" spans="1:14" s="527" customFormat="1" ht="22" customHeight="1">
      <c r="A16" s="538" t="s">
        <v>204</v>
      </c>
      <c r="B16" s="542">
        <v>-218581.29999999973</v>
      </c>
      <c r="C16" s="542">
        <v>-160962.68999999977</v>
      </c>
      <c r="D16" s="539">
        <v>57618.609999999957</v>
      </c>
      <c r="E16" s="546">
        <v>-170620.49300000016</v>
      </c>
      <c r="F16" s="541">
        <v>-9657.8030000003928</v>
      </c>
      <c r="G16" s="530"/>
      <c r="H16" s="490"/>
      <c r="I16" s="536"/>
      <c r="J16" s="536"/>
      <c r="K16" s="536"/>
      <c r="L16" s="505"/>
      <c r="M16" s="529"/>
      <c r="N16" s="530"/>
    </row>
    <row r="17" spans="1:14" s="527" customFormat="1" ht="22" customHeight="1">
      <c r="A17" s="538" t="s">
        <v>508</v>
      </c>
      <c r="B17" s="539">
        <v>-230166.43299999993</v>
      </c>
      <c r="C17" s="539">
        <v>17358.156000000075</v>
      </c>
      <c r="D17" s="539">
        <v>247524.58900000001</v>
      </c>
      <c r="E17" s="540">
        <v>-233962.49900000013</v>
      </c>
      <c r="F17" s="541">
        <v>-251320.6550000002</v>
      </c>
      <c r="G17" s="530"/>
      <c r="H17" s="490"/>
      <c r="I17" s="536"/>
      <c r="J17" s="536"/>
      <c r="K17" s="536"/>
      <c r="L17" s="505"/>
      <c r="M17" s="529"/>
      <c r="N17" s="530"/>
    </row>
    <row r="18" spans="1:14" s="527" customFormat="1" ht="22" customHeight="1">
      <c r="A18" s="538" t="s">
        <v>668</v>
      </c>
      <c r="B18" s="542">
        <v>-261848.57600000029</v>
      </c>
      <c r="C18" s="542">
        <v>-179758.60000000059</v>
      </c>
      <c r="D18" s="539">
        <v>82089.975999999704</v>
      </c>
      <c r="E18" s="543">
        <v>-1074560.4000000001</v>
      </c>
      <c r="F18" s="541">
        <v>-894801.79999999958</v>
      </c>
      <c r="G18" s="530"/>
      <c r="H18" s="490"/>
      <c r="I18" s="536"/>
      <c r="J18" s="536"/>
      <c r="K18" s="536"/>
      <c r="L18" s="537"/>
      <c r="M18" s="529"/>
      <c r="N18" s="530"/>
    </row>
    <row r="19" spans="1:14" s="527" customFormat="1" ht="22" customHeight="1">
      <c r="A19" s="538" t="s">
        <v>509</v>
      </c>
      <c r="B19" s="539">
        <v>-37448.799999999952</v>
      </c>
      <c r="C19" s="539">
        <v>-26012.600000000046</v>
      </c>
      <c r="D19" s="539">
        <v>11436.199999999906</v>
      </c>
      <c r="E19" s="545">
        <v>-47872.399999999812</v>
      </c>
      <c r="F19" s="541">
        <v>-21859.799999999766</v>
      </c>
      <c r="G19" s="530"/>
      <c r="H19" s="490"/>
      <c r="I19" s="536"/>
      <c r="J19" s="536"/>
      <c r="K19" s="536"/>
      <c r="L19" s="537"/>
      <c r="M19" s="529"/>
      <c r="N19" s="530"/>
    </row>
    <row r="20" spans="1:14" s="527" customFormat="1" ht="22" customHeight="1">
      <c r="A20" s="538" t="s">
        <v>589</v>
      </c>
      <c r="B20" s="539">
        <v>-26465.4</v>
      </c>
      <c r="C20" s="539">
        <v>-29940.999999999989</v>
      </c>
      <c r="D20" s="539">
        <v>-3475.5999999999876</v>
      </c>
      <c r="E20" s="543">
        <v>-29635.599999999977</v>
      </c>
      <c r="F20" s="541">
        <v>305.40000000001237</v>
      </c>
      <c r="G20" s="530"/>
      <c r="H20" s="490"/>
      <c r="I20" s="536"/>
      <c r="J20" s="536"/>
      <c r="K20" s="536"/>
      <c r="L20" s="537"/>
      <c r="M20" s="529"/>
      <c r="N20" s="530"/>
    </row>
    <row r="21" spans="1:14" s="527" customFormat="1" ht="22" customHeight="1">
      <c r="A21" s="538" t="s">
        <v>590</v>
      </c>
      <c r="B21" s="539">
        <v>-16797.849999999999</v>
      </c>
      <c r="C21" s="539">
        <v>-2550.4999999999709</v>
      </c>
      <c r="D21" s="539">
        <v>14247.350000000028</v>
      </c>
      <c r="E21" s="545">
        <v>-11594.299999999988</v>
      </c>
      <c r="F21" s="541">
        <v>-9043.8000000000175</v>
      </c>
      <c r="G21" s="530"/>
      <c r="H21" s="490"/>
      <c r="I21" s="536"/>
      <c r="J21" s="536"/>
      <c r="K21" s="536"/>
      <c r="L21" s="537"/>
      <c r="M21" s="529"/>
      <c r="N21" s="530"/>
    </row>
    <row r="22" spans="1:14" s="527" customFormat="1" ht="22" customHeight="1">
      <c r="A22" s="538" t="s">
        <v>499</v>
      </c>
      <c r="B22" s="539">
        <v>-82931.10000000018</v>
      </c>
      <c r="C22" s="539">
        <v>66066.286400000186</v>
      </c>
      <c r="D22" s="539">
        <v>148997.38640000037</v>
      </c>
      <c r="E22" s="545">
        <v>-429942</v>
      </c>
      <c r="F22" s="541">
        <v>-496008.28640000022</v>
      </c>
      <c r="G22" s="530"/>
      <c r="H22" s="490"/>
      <c r="I22" s="536"/>
      <c r="J22" s="536"/>
      <c r="K22" s="536"/>
      <c r="L22" s="537"/>
      <c r="M22" s="529"/>
      <c r="N22" s="530"/>
    </row>
    <row r="23" spans="1:14" s="527" customFormat="1" ht="22" customHeight="1">
      <c r="A23" s="538" t="s">
        <v>223</v>
      </c>
      <c r="B23" s="539">
        <v>-94725</v>
      </c>
      <c r="C23" s="539">
        <v>-38715</v>
      </c>
      <c r="D23" s="539">
        <v>56010</v>
      </c>
      <c r="E23" s="543">
        <v>-71641</v>
      </c>
      <c r="F23" s="541">
        <v>-32926</v>
      </c>
      <c r="G23" s="530"/>
      <c r="H23" s="490"/>
      <c r="I23" s="536"/>
      <c r="J23" s="536"/>
      <c r="K23" s="536"/>
      <c r="L23" s="537"/>
      <c r="M23" s="529"/>
      <c r="N23" s="530"/>
    </row>
    <row r="24" spans="1:14" s="527" customFormat="1" ht="22" customHeight="1">
      <c r="A24" s="538" t="s">
        <v>497</v>
      </c>
      <c r="B24" s="539">
        <v>14192.168999999732</v>
      </c>
      <c r="C24" s="539">
        <v>13437.099999999657</v>
      </c>
      <c r="D24" s="539">
        <v>-755.0690000000759</v>
      </c>
      <c r="E24" s="545">
        <v>20166.899999999674</v>
      </c>
      <c r="F24" s="541">
        <v>6729.8000000000175</v>
      </c>
      <c r="G24" s="530"/>
      <c r="H24" s="490"/>
      <c r="I24" s="536"/>
      <c r="J24" s="536"/>
      <c r="K24" s="536"/>
      <c r="L24" s="537"/>
      <c r="M24" s="529"/>
      <c r="N24" s="530"/>
    </row>
    <row r="25" spans="1:14" s="527" customFormat="1" ht="22" customHeight="1">
      <c r="A25" s="538" t="s">
        <v>212</v>
      </c>
      <c r="B25" s="542">
        <v>-77626</v>
      </c>
      <c r="C25" s="542">
        <v>-65965</v>
      </c>
      <c r="D25" s="539">
        <v>11661</v>
      </c>
      <c r="E25" s="543">
        <v>-47440</v>
      </c>
      <c r="F25" s="541">
        <v>18525</v>
      </c>
      <c r="G25" s="530"/>
      <c r="H25" s="490"/>
      <c r="I25" s="536"/>
      <c r="J25" s="536"/>
      <c r="K25" s="536"/>
      <c r="L25" s="537"/>
      <c r="M25" s="529"/>
      <c r="N25" s="530"/>
    </row>
    <row r="26" spans="1:14" s="527" customFormat="1" ht="22" customHeight="1">
      <c r="A26" s="538" t="s">
        <v>511</v>
      </c>
      <c r="B26" s="539">
        <v>-201234.88000000073</v>
      </c>
      <c r="C26" s="539">
        <v>-278883.16440000013</v>
      </c>
      <c r="D26" s="539">
        <v>-77648.284399999393</v>
      </c>
      <c r="E26" s="545">
        <v>-176665.50000000067</v>
      </c>
      <c r="F26" s="541">
        <v>102217.66439999946</v>
      </c>
      <c r="G26" s="530"/>
      <c r="H26" s="490"/>
      <c r="I26" s="536"/>
      <c r="J26" s="536"/>
      <c r="K26" s="536"/>
      <c r="L26" s="537"/>
      <c r="M26" s="529"/>
      <c r="N26" s="530"/>
    </row>
    <row r="27" spans="1:14" s="527" customFormat="1" ht="22" customHeight="1">
      <c r="A27" s="538" t="s">
        <v>503</v>
      </c>
      <c r="B27" s="539">
        <v>-135614.90000000224</v>
      </c>
      <c r="C27" s="539">
        <v>-49914.000160001451</v>
      </c>
      <c r="D27" s="539">
        <v>85700.899840000784</v>
      </c>
      <c r="E27" s="540">
        <v>-144438.49999999924</v>
      </c>
      <c r="F27" s="541">
        <v>-94524.499839997792</v>
      </c>
      <c r="G27" s="530"/>
      <c r="H27" s="490"/>
      <c r="I27" s="536"/>
      <c r="J27" s="536"/>
      <c r="K27" s="536"/>
      <c r="L27" s="505"/>
      <c r="M27" s="529"/>
      <c r="N27" s="530"/>
    </row>
    <row r="28" spans="1:14" s="527" customFormat="1" ht="22" customHeight="1">
      <c r="A28" s="538" t="s">
        <v>630</v>
      </c>
      <c r="B28" s="539">
        <v>106.60000000038417</v>
      </c>
      <c r="C28" s="539">
        <v>-82638.50000000064</v>
      </c>
      <c r="D28" s="539">
        <v>-82745.100000001024</v>
      </c>
      <c r="E28" s="545">
        <v>2013.5999999999185</v>
      </c>
      <c r="F28" s="541">
        <v>84652.100000000559</v>
      </c>
      <c r="G28" s="530"/>
      <c r="H28" s="490"/>
      <c r="I28" s="536"/>
      <c r="J28" s="536"/>
      <c r="K28" s="536"/>
      <c r="L28" s="537"/>
      <c r="M28" s="529"/>
      <c r="N28" s="530"/>
    </row>
    <row r="29" spans="1:14" s="527" customFormat="1" ht="22" customHeight="1">
      <c r="A29" s="538" t="s">
        <v>631</v>
      </c>
      <c r="B29" s="539">
        <v>-18939.791000000056</v>
      </c>
      <c r="C29" s="539">
        <v>-235412.31899999996</v>
      </c>
      <c r="D29" s="539">
        <v>-216472.5279999999</v>
      </c>
      <c r="E29" s="545">
        <v>-17616.852999999981</v>
      </c>
      <c r="F29" s="541">
        <v>217795.46599999999</v>
      </c>
      <c r="G29" s="530"/>
      <c r="H29" s="490"/>
      <c r="I29" s="536"/>
      <c r="J29" s="536"/>
      <c r="K29" s="536"/>
      <c r="L29" s="537"/>
      <c r="M29" s="529"/>
      <c r="N29" s="530"/>
    </row>
    <row r="30" spans="1:14" s="527" customFormat="1" ht="22" customHeight="1">
      <c r="A30" s="538" t="s">
        <v>633</v>
      </c>
      <c r="B30" s="539">
        <v>66314.610005600262</v>
      </c>
      <c r="C30" s="539">
        <v>387655.09874999558</v>
      </c>
      <c r="D30" s="539">
        <v>321340.48874439532</v>
      </c>
      <c r="E30" s="540">
        <v>-212364.91600000043</v>
      </c>
      <c r="F30" s="541">
        <v>-600020.01474999601</v>
      </c>
      <c r="G30" s="530"/>
      <c r="H30" s="490"/>
      <c r="I30" s="536"/>
      <c r="J30" s="536"/>
      <c r="K30" s="536"/>
      <c r="L30" s="505"/>
      <c r="M30" s="505"/>
      <c r="N30" s="530"/>
    </row>
    <row r="31" spans="1:14" s="527" customFormat="1" ht="22" customHeight="1">
      <c r="A31" s="538" t="s">
        <v>206</v>
      </c>
      <c r="B31" s="547">
        <v>53.999999999978172</v>
      </c>
      <c r="C31" s="547">
        <v>-1848.8966400000572</v>
      </c>
      <c r="D31" s="563">
        <v>-1902.8966400000354</v>
      </c>
      <c r="E31" s="564">
        <v>-7548.7000000000698</v>
      </c>
      <c r="F31" s="565">
        <v>-5699.8033600000126</v>
      </c>
      <c r="G31" s="530"/>
      <c r="H31" s="490"/>
      <c r="I31" s="536"/>
      <c r="J31" s="536"/>
      <c r="K31" s="536"/>
      <c r="L31" s="537"/>
      <c r="M31" s="529"/>
      <c r="N31" s="530"/>
    </row>
    <row r="32" spans="1:14" s="527" customFormat="1" ht="28.5" customHeight="1">
      <c r="A32" s="531" t="s">
        <v>678</v>
      </c>
      <c r="B32" s="533">
        <v>-1801759.992644405</v>
      </c>
      <c r="C32" s="532">
        <v>-741280.24316000589</v>
      </c>
      <c r="D32" s="533">
        <v>1060479.7494843991</v>
      </c>
      <c r="E32" s="566">
        <v>-2983915.0441099992</v>
      </c>
      <c r="F32" s="535">
        <v>-2242634.8009499935</v>
      </c>
      <c r="G32" s="530"/>
      <c r="H32" s="490"/>
      <c r="I32" s="536"/>
      <c r="J32" s="536"/>
      <c r="K32" s="536"/>
      <c r="L32" s="537"/>
      <c r="M32" s="529"/>
      <c r="N32" s="530"/>
    </row>
    <row r="33" spans="1:14" s="527" customFormat="1" ht="20.25" customHeight="1">
      <c r="A33" s="567" t="s">
        <v>675</v>
      </c>
      <c r="B33" s="563"/>
      <c r="C33" s="563"/>
      <c r="D33" s="568" t="s">
        <v>676</v>
      </c>
      <c r="E33" s="569"/>
      <c r="F33" s="570"/>
      <c r="G33" s="530"/>
      <c r="H33" s="553"/>
      <c r="I33" s="528"/>
      <c r="J33" s="528"/>
      <c r="K33" s="528"/>
      <c r="L33" s="528"/>
      <c r="M33" s="529"/>
      <c r="N33" s="530"/>
    </row>
    <row r="34" spans="1:14" ht="6" customHeight="1">
      <c r="B34" s="490"/>
      <c r="C34" s="490"/>
      <c r="D34" s="490"/>
      <c r="E34" s="571"/>
      <c r="F34" s="490"/>
      <c r="I34" s="528"/>
      <c r="J34" s="528"/>
      <c r="K34" s="528"/>
      <c r="L34" s="528"/>
      <c r="M34" s="528"/>
    </row>
    <row r="35" spans="1:14" ht="2" customHeight="1">
      <c r="A35" s="457"/>
      <c r="B35" s="553"/>
      <c r="C35" s="553"/>
      <c r="D35" s="553"/>
      <c r="E35" s="572"/>
      <c r="F35" s="553"/>
      <c r="I35" s="554"/>
      <c r="J35" s="554"/>
      <c r="K35" s="554"/>
      <c r="L35" s="554"/>
      <c r="M35" s="554"/>
    </row>
    <row r="36" spans="1:14" ht="2" customHeight="1">
      <c r="A36" s="457"/>
      <c r="B36" s="553"/>
      <c r="C36" s="553"/>
      <c r="D36" s="553"/>
      <c r="E36" s="572"/>
      <c r="F36" s="553"/>
      <c r="H36" s="553"/>
    </row>
    <row r="37" spans="1:14" ht="12" customHeight="1">
      <c r="A37" s="573" t="s">
        <v>669</v>
      </c>
      <c r="B37" s="553"/>
      <c r="C37" s="553"/>
      <c r="D37" s="553"/>
      <c r="E37" s="572"/>
      <c r="F37" s="553"/>
    </row>
    <row r="38" spans="1:14" ht="12" customHeight="1">
      <c r="B38" s="553"/>
      <c r="C38" s="553"/>
      <c r="D38" s="553"/>
      <c r="E38" s="572"/>
      <c r="F38" s="553"/>
    </row>
    <row r="39" spans="1:14" ht="12" customHeight="1">
      <c r="B39" s="553"/>
      <c r="C39" s="553"/>
      <c r="D39" s="553"/>
      <c r="E39" s="572"/>
      <c r="F39" s="553"/>
    </row>
    <row r="40" spans="1:14" ht="12" customHeight="1">
      <c r="B40" s="553"/>
      <c r="C40" s="553"/>
      <c r="D40" s="553"/>
      <c r="E40" s="572"/>
      <c r="F40" s="553"/>
    </row>
    <row r="41" spans="1:14" ht="12" customHeight="1">
      <c r="B41" s="553"/>
      <c r="C41" s="553"/>
      <c r="D41" s="553"/>
      <c r="E41" s="572"/>
      <c r="F41" s="553"/>
    </row>
    <row r="42" spans="1:14" ht="3.75" customHeight="1">
      <c r="B42" s="553"/>
      <c r="C42" s="553"/>
      <c r="D42" s="553"/>
      <c r="E42" s="572"/>
      <c r="F42" s="553"/>
    </row>
    <row r="43" spans="1:14">
      <c r="A43" s="503" t="s">
        <v>672</v>
      </c>
      <c r="B43" s="553"/>
      <c r="C43" s="553"/>
      <c r="D43" s="553"/>
      <c r="E43" s="572"/>
      <c r="F43" s="553"/>
    </row>
    <row r="44" spans="1:14">
      <c r="A44" s="458" t="s">
        <v>665</v>
      </c>
      <c r="B44" s="553"/>
      <c r="C44" s="553"/>
      <c r="D44" s="553"/>
      <c r="E44" s="572"/>
      <c r="F44" s="553"/>
    </row>
    <row r="45" spans="1:14" ht="18.75" customHeight="1">
      <c r="A45" s="558" t="s">
        <v>673</v>
      </c>
      <c r="B45" s="553"/>
      <c r="C45" s="553"/>
      <c r="D45" s="553"/>
      <c r="E45" s="572"/>
      <c r="F45" s="553"/>
    </row>
    <row r="46" spans="1:14">
      <c r="A46" s="458" t="s">
        <v>666</v>
      </c>
      <c r="B46" s="553"/>
      <c r="C46" s="553"/>
      <c r="D46" s="553"/>
      <c r="E46" s="572"/>
      <c r="F46" s="553"/>
    </row>
    <row r="47" spans="1:14">
      <c r="B47" s="553"/>
      <c r="C47" s="553"/>
      <c r="D47" s="553"/>
      <c r="E47" s="572"/>
      <c r="F47" s="553"/>
    </row>
    <row r="48" spans="1:14">
      <c r="A48" s="556"/>
      <c r="B48" s="553"/>
      <c r="C48" s="553"/>
      <c r="D48" s="553"/>
      <c r="E48" s="572"/>
      <c r="F48" s="553"/>
    </row>
    <row r="49" spans="1:8">
      <c r="B49" s="553"/>
      <c r="C49" s="553"/>
      <c r="D49" s="553"/>
      <c r="E49" s="572"/>
      <c r="F49" s="553"/>
      <c r="H49" s="553"/>
    </row>
    <row r="50" spans="1:8">
      <c r="B50" s="553"/>
      <c r="C50" s="553"/>
      <c r="D50" s="553"/>
      <c r="E50" s="572"/>
      <c r="F50" s="553"/>
      <c r="H50" s="553"/>
    </row>
    <row r="51" spans="1:8">
      <c r="B51" s="553"/>
      <c r="C51" s="553"/>
      <c r="D51" s="553"/>
      <c r="E51" s="572"/>
      <c r="F51" s="553"/>
      <c r="H51" s="553"/>
    </row>
    <row r="52" spans="1:8">
      <c r="B52" s="553"/>
      <c r="C52" s="553"/>
      <c r="D52" s="553"/>
      <c r="E52" s="572"/>
      <c r="F52" s="553"/>
    </row>
    <row r="53" spans="1:8">
      <c r="B53" s="553"/>
      <c r="C53" s="553"/>
      <c r="D53" s="553"/>
      <c r="E53" s="572"/>
      <c r="F53" s="553"/>
    </row>
    <row r="54" spans="1:8">
      <c r="A54" s="556"/>
      <c r="B54" s="553"/>
      <c r="C54" s="553"/>
      <c r="D54" s="553"/>
      <c r="E54" s="572"/>
      <c r="F54" s="553"/>
    </row>
    <row r="55" spans="1:8">
      <c r="A55" s="556"/>
      <c r="B55" s="553"/>
      <c r="C55" s="553"/>
      <c r="D55" s="553"/>
      <c r="E55" s="572"/>
      <c r="F55" s="553"/>
    </row>
    <row r="56" spans="1:8">
      <c r="A56" s="556"/>
      <c r="B56" s="553"/>
      <c r="C56" s="553"/>
      <c r="D56" s="553"/>
      <c r="E56" s="572"/>
      <c r="F56" s="553"/>
    </row>
    <row r="57" spans="1:8">
      <c r="B57" s="553"/>
      <c r="C57" s="553"/>
      <c r="D57" s="553"/>
      <c r="E57" s="572"/>
      <c r="F57" s="553"/>
    </row>
    <row r="58" spans="1:8">
      <c r="B58" s="553"/>
      <c r="C58" s="553"/>
      <c r="D58" s="553"/>
      <c r="E58" s="572"/>
      <c r="F58" s="553"/>
    </row>
    <row r="59" spans="1:8">
      <c r="B59" s="553"/>
      <c r="C59" s="553"/>
      <c r="D59" s="553"/>
      <c r="E59" s="572"/>
      <c r="F59" s="553"/>
    </row>
    <row r="60" spans="1:8">
      <c r="B60" s="553"/>
      <c r="C60" s="553"/>
      <c r="D60" s="553"/>
      <c r="E60" s="572"/>
      <c r="F60" s="553"/>
    </row>
    <row r="61" spans="1:8">
      <c r="B61" s="553"/>
      <c r="C61" s="553"/>
      <c r="D61" s="553"/>
      <c r="E61" s="572"/>
      <c r="F61" s="553"/>
    </row>
    <row r="62" spans="1:8">
      <c r="B62" s="553"/>
      <c r="C62" s="553"/>
      <c r="D62" s="553"/>
      <c r="E62" s="572"/>
      <c r="F62" s="553"/>
    </row>
    <row r="63" spans="1:8">
      <c r="B63" s="553"/>
      <c r="C63" s="553"/>
      <c r="D63" s="553"/>
      <c r="E63" s="572"/>
      <c r="F63" s="553"/>
    </row>
    <row r="64" spans="1:8">
      <c r="B64" s="553"/>
      <c r="C64" s="553"/>
      <c r="D64" s="553"/>
      <c r="E64" s="572"/>
      <c r="F64" s="553"/>
    </row>
    <row r="65" spans="1:6">
      <c r="B65" s="553"/>
      <c r="C65" s="553"/>
      <c r="D65" s="553"/>
      <c r="E65" s="572"/>
      <c r="F65" s="553"/>
    </row>
    <row r="66" spans="1:6">
      <c r="B66" s="553"/>
      <c r="C66" s="553"/>
      <c r="D66" s="553"/>
      <c r="E66" s="572"/>
      <c r="F66" s="553"/>
    </row>
    <row r="67" spans="1:6">
      <c r="A67" s="556"/>
      <c r="B67" s="553"/>
      <c r="C67" s="553"/>
      <c r="D67" s="553"/>
      <c r="E67" s="572"/>
      <c r="F67" s="553"/>
    </row>
  </sheetData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N64"/>
  <sheetViews>
    <sheetView workbookViewId="0">
      <selection activeCell="E6" sqref="E6:F6"/>
    </sheetView>
  </sheetViews>
  <sheetFormatPr baseColWidth="10" defaultColWidth="11.5" defaultRowHeight="16"/>
  <cols>
    <col min="1" max="1" width="19.6640625" style="552" customWidth="1"/>
    <col min="2" max="2" width="13.5" style="557" customWidth="1"/>
    <col min="3" max="3" width="13.33203125" style="557" customWidth="1"/>
    <col min="4" max="4" width="13.1640625" style="557" customWidth="1"/>
    <col min="5" max="5" width="15.33203125" style="557" customWidth="1"/>
    <col min="6" max="6" width="15.33203125" style="559" customWidth="1"/>
    <col min="7" max="7" width="11.5" style="513" customWidth="1"/>
    <col min="8" max="8" width="25.6640625" style="513" customWidth="1"/>
    <col min="9" max="9" width="14.83203125" style="513" customWidth="1"/>
    <col min="10" max="10" width="16.6640625" style="513" customWidth="1"/>
    <col min="11" max="11" width="18.6640625" style="513" customWidth="1"/>
    <col min="12" max="12" width="13.6640625" style="513" customWidth="1"/>
    <col min="13" max="13" width="13.6640625" style="513" hidden="1" customWidth="1"/>
    <col min="14" max="14" width="13.5" style="513" customWidth="1"/>
    <col min="15" max="61" width="11.5" style="457" customWidth="1"/>
    <col min="62" max="16384" width="11.5" style="457"/>
  </cols>
  <sheetData>
    <row r="1" spans="1:14" s="509" customFormat="1" ht="37.5" customHeight="1">
      <c r="A1" s="804" t="s">
        <v>677</v>
      </c>
      <c r="B1" s="805"/>
      <c r="C1" s="805"/>
      <c r="D1" s="805"/>
      <c r="E1" s="805"/>
      <c r="F1" s="805"/>
      <c r="G1" s="508"/>
      <c r="H1" s="508"/>
      <c r="I1" s="508"/>
      <c r="J1" s="508"/>
      <c r="K1" s="508"/>
      <c r="L1" s="508"/>
      <c r="M1" s="508"/>
      <c r="N1" s="508"/>
    </row>
    <row r="2" spans="1:14" ht="15" customHeight="1">
      <c r="A2" s="510" t="s">
        <v>506</v>
      </c>
      <c r="B2" s="511" t="s">
        <v>2</v>
      </c>
      <c r="C2" s="511" t="s">
        <v>37</v>
      </c>
      <c r="D2" s="511" t="s">
        <v>512</v>
      </c>
      <c r="E2" s="511" t="s">
        <v>2</v>
      </c>
      <c r="F2" s="512" t="s">
        <v>512</v>
      </c>
      <c r="H2" s="464"/>
      <c r="I2" s="464"/>
      <c r="J2" s="464"/>
      <c r="K2" s="464"/>
      <c r="L2" s="464"/>
      <c r="M2" s="464"/>
    </row>
    <row r="3" spans="1:14" ht="14">
      <c r="A3" s="514" t="s">
        <v>644</v>
      </c>
      <c r="B3" s="515" t="s">
        <v>2</v>
      </c>
      <c r="C3" s="515" t="s">
        <v>172</v>
      </c>
      <c r="D3" s="516" t="s">
        <v>708</v>
      </c>
      <c r="E3" s="515" t="s">
        <v>2</v>
      </c>
      <c r="F3" s="517" t="s">
        <v>709</v>
      </c>
      <c r="H3" s="464"/>
      <c r="I3" s="464"/>
      <c r="J3" s="464"/>
      <c r="K3" s="464"/>
      <c r="L3" s="464"/>
      <c r="M3" s="464"/>
    </row>
    <row r="4" spans="1:14" ht="13">
      <c r="A4" s="575"/>
      <c r="B4" s="519">
        <v>2013</v>
      </c>
      <c r="C4" s="519">
        <v>2013</v>
      </c>
      <c r="D4" s="519"/>
      <c r="E4" s="519">
        <v>2014</v>
      </c>
      <c r="F4" s="520"/>
      <c r="H4" s="464"/>
      <c r="I4" s="464"/>
      <c r="J4" s="464"/>
      <c r="K4" s="464"/>
      <c r="L4" s="464"/>
      <c r="M4" s="464"/>
    </row>
    <row r="5" spans="1:14" s="527" customFormat="1" ht="19.5" customHeight="1">
      <c r="A5" s="576" t="s">
        <v>648</v>
      </c>
      <c r="B5" s="562"/>
      <c r="C5" s="525"/>
      <c r="D5" s="524"/>
      <c r="E5" s="525" t="s">
        <v>483</v>
      </c>
      <c r="F5" s="577"/>
      <c r="G5" s="530"/>
      <c r="H5" s="528"/>
      <c r="I5" s="464"/>
      <c r="J5" s="528"/>
      <c r="K5" s="528"/>
      <c r="L5" s="528"/>
      <c r="M5" s="529"/>
      <c r="N5" s="530"/>
    </row>
    <row r="6" spans="1:14" s="527" customFormat="1" ht="22" customHeight="1">
      <c r="A6" s="578" t="s">
        <v>38</v>
      </c>
      <c r="B6" s="579">
        <v>0.7854072247338858</v>
      </c>
      <c r="C6" s="579">
        <v>0.91813878811645477</v>
      </c>
      <c r="D6" s="580">
        <v>0.13273156338256897</v>
      </c>
      <c r="E6" s="579">
        <v>0.7891349267486113</v>
      </c>
      <c r="F6" s="581">
        <v>-0.12900386136784348</v>
      </c>
      <c r="G6" s="530"/>
      <c r="H6" s="528"/>
      <c r="I6" s="536"/>
      <c r="J6" s="536"/>
      <c r="K6" s="536"/>
      <c r="L6" s="537"/>
      <c r="M6" s="529"/>
      <c r="N6" s="530"/>
    </row>
    <row r="7" spans="1:14" s="527" customFormat="1" ht="22" customHeight="1">
      <c r="A7" s="538" t="s">
        <v>507</v>
      </c>
      <c r="B7" s="582">
        <v>1.0872751711508912</v>
      </c>
      <c r="C7" s="582">
        <v>1.3268947882178932</v>
      </c>
      <c r="D7" s="582">
        <v>0.23961961706700197</v>
      </c>
      <c r="E7" s="583">
        <v>1.0941412537558635</v>
      </c>
      <c r="F7" s="584">
        <v>-0.23275353446202973</v>
      </c>
      <c r="G7" s="530"/>
      <c r="H7" s="528"/>
      <c r="I7" s="536"/>
      <c r="J7" s="536"/>
      <c r="K7" s="536"/>
      <c r="L7" s="505"/>
      <c r="M7" s="529"/>
      <c r="N7" s="530"/>
    </row>
    <row r="8" spans="1:14" s="527" customFormat="1" ht="22" customHeight="1">
      <c r="A8" s="538" t="s">
        <v>210</v>
      </c>
      <c r="B8" s="585">
        <v>0.92380193805985877</v>
      </c>
      <c r="C8" s="585">
        <v>1.2189074087947582</v>
      </c>
      <c r="D8" s="582">
        <v>0.29510547073489946</v>
      </c>
      <c r="E8" s="585">
        <v>1.0630665969510154</v>
      </c>
      <c r="F8" s="581">
        <v>-0.15584081184374288</v>
      </c>
      <c r="G8" s="530"/>
      <c r="H8" s="528"/>
      <c r="I8" s="536"/>
      <c r="J8" s="536"/>
      <c r="K8" s="536"/>
      <c r="L8" s="537"/>
      <c r="M8" s="529"/>
      <c r="N8" s="530"/>
    </row>
    <row r="9" spans="1:14" s="527" customFormat="1" ht="22" customHeight="1">
      <c r="A9" s="538" t="s">
        <v>208</v>
      </c>
      <c r="B9" s="585">
        <v>0.59305786699764584</v>
      </c>
      <c r="C9" s="585">
        <v>1.6010467527206982</v>
      </c>
      <c r="D9" s="582">
        <v>1.0079888857230523</v>
      </c>
      <c r="E9" s="585">
        <v>0.78647396501655009</v>
      </c>
      <c r="F9" s="584">
        <v>-0.81457278770414809</v>
      </c>
      <c r="G9" s="530"/>
      <c r="H9" s="528"/>
      <c r="I9" s="536"/>
      <c r="J9" s="536"/>
      <c r="K9" s="536"/>
      <c r="L9" s="537"/>
      <c r="M9" s="529"/>
      <c r="N9" s="530"/>
    </row>
    <row r="10" spans="1:14" s="527" customFormat="1" ht="22" customHeight="1">
      <c r="A10" s="538" t="s">
        <v>510</v>
      </c>
      <c r="B10" s="582" t="s">
        <v>587</v>
      </c>
      <c r="C10" s="582" t="s">
        <v>587</v>
      </c>
      <c r="D10" s="583" t="s">
        <v>710</v>
      </c>
      <c r="E10" s="582" t="s">
        <v>587</v>
      </c>
      <c r="F10" s="586" t="s">
        <v>711</v>
      </c>
      <c r="G10" s="530"/>
      <c r="H10" s="528"/>
      <c r="I10" s="536"/>
      <c r="J10" s="536"/>
      <c r="K10" s="536"/>
      <c r="L10" s="537"/>
      <c r="M10" s="529"/>
      <c r="N10" s="530"/>
    </row>
    <row r="11" spans="1:14" s="527" customFormat="1" ht="22" customHeight="1">
      <c r="A11" s="538" t="s">
        <v>225</v>
      </c>
      <c r="B11" s="585">
        <v>8.2527829151690685E-2</v>
      </c>
      <c r="C11" s="585">
        <v>0.34927278434655229</v>
      </c>
      <c r="D11" s="582">
        <v>0.26674495519486163</v>
      </c>
      <c r="E11" s="585">
        <v>7.1578947368421048E-2</v>
      </c>
      <c r="F11" s="584">
        <v>-0.27769383697813121</v>
      </c>
      <c r="G11" s="530"/>
      <c r="H11" s="528"/>
      <c r="I11" s="536"/>
      <c r="J11" s="536"/>
      <c r="K11" s="536"/>
      <c r="L11" s="537"/>
      <c r="M11" s="529"/>
      <c r="N11" s="530"/>
    </row>
    <row r="12" spans="1:14" s="527" customFormat="1" ht="22" customHeight="1">
      <c r="A12" s="538" t="s">
        <v>136</v>
      </c>
      <c r="B12" s="585">
        <v>0.61278815821402288</v>
      </c>
      <c r="C12" s="585">
        <v>0.64143641048307964</v>
      </c>
      <c r="D12" s="582">
        <v>2.8648252269056762E-2</v>
      </c>
      <c r="E12" s="585">
        <v>0.84184858586945521</v>
      </c>
      <c r="F12" s="581">
        <v>0.20041217538637557</v>
      </c>
      <c r="G12" s="530"/>
      <c r="H12" s="528"/>
      <c r="I12" s="536"/>
      <c r="J12" s="536"/>
      <c r="K12" s="536"/>
      <c r="L12" s="537"/>
      <c r="M12" s="529"/>
      <c r="N12" s="530"/>
    </row>
    <row r="13" spans="1:14" s="527" customFormat="1" ht="22" customHeight="1">
      <c r="A13" s="538" t="s">
        <v>141</v>
      </c>
      <c r="B13" s="585">
        <v>0.62697056250470995</v>
      </c>
      <c r="C13" s="585">
        <v>1.6285410736796997</v>
      </c>
      <c r="D13" s="583">
        <v>1.0015705111749897</v>
      </c>
      <c r="E13" s="585">
        <v>0.17400791195089374</v>
      </c>
      <c r="F13" s="586">
        <v>-1.454533161728806</v>
      </c>
      <c r="G13" s="530"/>
      <c r="H13" s="528"/>
      <c r="I13" s="536"/>
      <c r="J13" s="536"/>
      <c r="K13" s="536"/>
      <c r="L13" s="537"/>
      <c r="M13" s="529"/>
      <c r="N13" s="530"/>
    </row>
    <row r="14" spans="1:14" s="527" customFormat="1" ht="22" customHeight="1">
      <c r="A14" s="538" t="s">
        <v>214</v>
      </c>
      <c r="B14" s="585">
        <v>6.0030020082760406E-2</v>
      </c>
      <c r="C14" s="585">
        <v>8.0275405579258052E-2</v>
      </c>
      <c r="D14" s="582">
        <v>2.0245385496497646E-2</v>
      </c>
      <c r="E14" s="585">
        <v>0.12730854348242016</v>
      </c>
      <c r="F14" s="581">
        <v>4.7033137903162103E-2</v>
      </c>
      <c r="G14" s="530"/>
      <c r="H14" s="528"/>
      <c r="I14" s="536"/>
      <c r="J14" s="536"/>
      <c r="K14" s="536"/>
      <c r="L14" s="537"/>
      <c r="M14" s="529"/>
      <c r="N14" s="530"/>
    </row>
    <row r="15" spans="1:14" s="527" customFormat="1" ht="22" customHeight="1">
      <c r="A15" s="538" t="s">
        <v>218</v>
      </c>
      <c r="B15" s="585">
        <v>0.46177732749108091</v>
      </c>
      <c r="C15" s="585">
        <v>0.73668022691122026</v>
      </c>
      <c r="D15" s="582">
        <v>0.27490289942013935</v>
      </c>
      <c r="E15" s="585">
        <v>0.88005739278708528</v>
      </c>
      <c r="F15" s="584">
        <v>0.14337716587586502</v>
      </c>
      <c r="G15" s="530"/>
      <c r="H15" s="528"/>
      <c r="I15" s="536"/>
      <c r="J15" s="536"/>
      <c r="K15" s="536"/>
      <c r="L15" s="537"/>
      <c r="M15" s="529"/>
      <c r="N15" s="530"/>
    </row>
    <row r="16" spans="1:14" s="527" customFormat="1" ht="22" customHeight="1">
      <c r="A16" s="538" t="s">
        <v>204</v>
      </c>
      <c r="B16" s="585">
        <v>-0.59051503332653987</v>
      </c>
      <c r="C16" s="585" t="s">
        <v>587</v>
      </c>
      <c r="D16" s="582" t="e">
        <v>#VALUE!</v>
      </c>
      <c r="E16" s="587" t="s">
        <v>587</v>
      </c>
      <c r="F16" s="581" t="s">
        <v>711</v>
      </c>
      <c r="G16" s="530"/>
      <c r="H16" s="528"/>
      <c r="I16" s="536"/>
      <c r="J16" s="536"/>
      <c r="K16" s="536"/>
      <c r="L16" s="505"/>
      <c r="M16" s="529"/>
      <c r="N16" s="530"/>
    </row>
    <row r="17" spans="1:14" s="527" customFormat="1" ht="22" customHeight="1">
      <c r="A17" s="538" t="s">
        <v>508</v>
      </c>
      <c r="B17" s="582">
        <v>0.3828275740942842</v>
      </c>
      <c r="C17" s="582">
        <v>1.0701177422154193</v>
      </c>
      <c r="D17" s="582">
        <v>0.68729016812113519</v>
      </c>
      <c r="E17" s="587">
        <v>0.37743561080295707</v>
      </c>
      <c r="F17" s="584">
        <v>-0.69268213141246227</v>
      </c>
      <c r="G17" s="530"/>
      <c r="H17" s="528"/>
      <c r="I17" s="536"/>
      <c r="J17" s="536"/>
      <c r="K17" s="536"/>
      <c r="L17" s="505"/>
      <c r="M17" s="529"/>
      <c r="N17" s="530"/>
    </row>
    <row r="18" spans="1:14" s="527" customFormat="1" ht="22" customHeight="1">
      <c r="A18" s="538" t="s">
        <v>668</v>
      </c>
      <c r="B18" s="585">
        <v>0.12856686825496685</v>
      </c>
      <c r="C18" s="585">
        <v>0.17300504776328438</v>
      </c>
      <c r="D18" s="582">
        <v>4.4438179508317521E-2</v>
      </c>
      <c r="E18" s="585" t="s">
        <v>587</v>
      </c>
      <c r="F18" s="581" t="s">
        <v>711</v>
      </c>
      <c r="G18" s="530"/>
      <c r="H18" s="528"/>
      <c r="I18" s="536"/>
      <c r="J18" s="536"/>
      <c r="K18" s="536"/>
      <c r="L18" s="537"/>
      <c r="M18" s="529"/>
      <c r="N18" s="530"/>
    </row>
    <row r="19" spans="1:14" s="527" customFormat="1" ht="22" customHeight="1">
      <c r="A19" s="538" t="s">
        <v>509</v>
      </c>
      <c r="B19" s="582" t="s">
        <v>587</v>
      </c>
      <c r="C19" s="582" t="s">
        <v>587</v>
      </c>
      <c r="D19" s="582" t="s">
        <v>710</v>
      </c>
      <c r="E19" s="582" t="s">
        <v>587</v>
      </c>
      <c r="F19" s="584" t="s">
        <v>711</v>
      </c>
      <c r="G19" s="530"/>
      <c r="H19" s="528"/>
      <c r="I19" s="536"/>
      <c r="J19" s="536"/>
      <c r="K19" s="536"/>
      <c r="L19" s="537"/>
      <c r="M19" s="529"/>
      <c r="N19" s="530"/>
    </row>
    <row r="20" spans="1:14" s="527" customFormat="1" ht="22" customHeight="1">
      <c r="A20" s="538" t="s">
        <v>589</v>
      </c>
      <c r="B20" s="582">
        <v>0.32450899067114175</v>
      </c>
      <c r="C20" s="585">
        <v>0.12845158323096756</v>
      </c>
      <c r="D20" s="583">
        <v>-0.19605740744017419</v>
      </c>
      <c r="E20" s="585" t="s">
        <v>587</v>
      </c>
      <c r="F20" s="581" t="s">
        <v>711</v>
      </c>
      <c r="G20" s="530"/>
      <c r="H20" s="528"/>
      <c r="I20" s="536"/>
      <c r="J20" s="536"/>
      <c r="K20" s="536"/>
      <c r="L20" s="537"/>
      <c r="M20" s="529"/>
      <c r="N20" s="530"/>
    </row>
    <row r="21" spans="1:14" s="527" customFormat="1" ht="22" customHeight="1">
      <c r="A21" s="538" t="s">
        <v>590</v>
      </c>
      <c r="B21" s="582" t="s">
        <v>587</v>
      </c>
      <c r="C21" s="582">
        <v>0.69330206830207175</v>
      </c>
      <c r="D21" s="582" t="s">
        <v>710</v>
      </c>
      <c r="E21" s="582" t="s">
        <v>587</v>
      </c>
      <c r="F21" s="586" t="s">
        <v>711</v>
      </c>
      <c r="G21" s="530"/>
      <c r="H21" s="528"/>
      <c r="I21" s="536"/>
      <c r="J21" s="536"/>
      <c r="K21" s="536"/>
      <c r="L21" s="537"/>
      <c r="M21" s="529"/>
      <c r="N21" s="530"/>
    </row>
    <row r="22" spans="1:14" s="527" customFormat="1" ht="22" customHeight="1">
      <c r="A22" s="538" t="s">
        <v>499</v>
      </c>
      <c r="B22" s="582">
        <v>0.51583117076459961</v>
      </c>
      <c r="C22" s="582">
        <v>1.5750832212826278</v>
      </c>
      <c r="D22" s="582">
        <v>1.0592520505180283</v>
      </c>
      <c r="E22" s="582">
        <v>4.9292013970658966E-2</v>
      </c>
      <c r="F22" s="581">
        <v>-1.5257912073119688</v>
      </c>
      <c r="G22" s="530"/>
      <c r="H22" s="528"/>
      <c r="I22" s="536"/>
      <c r="J22" s="536"/>
      <c r="K22" s="536"/>
      <c r="L22" s="537"/>
      <c r="M22" s="529"/>
      <c r="N22" s="530"/>
    </row>
    <row r="23" spans="1:14" s="527" customFormat="1" ht="22" customHeight="1">
      <c r="A23" s="538" t="s">
        <v>223</v>
      </c>
      <c r="B23" s="582">
        <v>0.54398625098688647</v>
      </c>
      <c r="C23" s="582">
        <v>0.75923058266012422</v>
      </c>
      <c r="D23" s="582">
        <v>0.21524433167323775</v>
      </c>
      <c r="E23" s="585">
        <v>0.62596197019850264</v>
      </c>
      <c r="F23" s="584">
        <v>-0.13326861246162158</v>
      </c>
      <c r="G23" s="530"/>
      <c r="H23" s="528"/>
      <c r="I23" s="536"/>
      <c r="J23" s="536"/>
      <c r="K23" s="536"/>
      <c r="L23" s="537"/>
      <c r="M23" s="529"/>
      <c r="N23" s="530"/>
    </row>
    <row r="24" spans="1:14" s="527" customFormat="1" ht="22" customHeight="1">
      <c r="A24" s="538" t="s">
        <v>497</v>
      </c>
      <c r="B24" s="582">
        <v>1.0600616117643744</v>
      </c>
      <c r="C24" s="582">
        <v>1.0654474130515872</v>
      </c>
      <c r="D24" s="582">
        <v>5.385801287212777E-3</v>
      </c>
      <c r="E24" s="582">
        <v>1.1100612661228775</v>
      </c>
      <c r="F24" s="581">
        <v>4.4613853071290288E-2</v>
      </c>
      <c r="G24" s="530"/>
      <c r="H24" s="528"/>
      <c r="I24" s="536"/>
      <c r="J24" s="536"/>
      <c r="K24" s="536"/>
      <c r="L24" s="537"/>
      <c r="M24" s="529"/>
      <c r="N24" s="530"/>
    </row>
    <row r="25" spans="1:14" s="527" customFormat="1" ht="22" customHeight="1">
      <c r="A25" s="538" t="s">
        <v>212</v>
      </c>
      <c r="B25" s="585">
        <v>0.13184588715539899</v>
      </c>
      <c r="C25" s="585">
        <v>0.19753536975536173</v>
      </c>
      <c r="D25" s="582">
        <v>6.568948259996274E-2</v>
      </c>
      <c r="E25" s="585">
        <v>0.35262008733624456</v>
      </c>
      <c r="F25" s="584">
        <v>0.15508471758088282</v>
      </c>
      <c r="G25" s="530"/>
      <c r="H25" s="528"/>
      <c r="I25" s="536"/>
      <c r="J25" s="536"/>
      <c r="K25" s="536"/>
      <c r="L25" s="537"/>
      <c r="M25" s="529"/>
      <c r="N25" s="530"/>
    </row>
    <row r="26" spans="1:14" s="527" customFormat="1" ht="22" customHeight="1">
      <c r="A26" s="538" t="s">
        <v>511</v>
      </c>
      <c r="B26" s="582">
        <v>0.10001323806695274</v>
      </c>
      <c r="C26" s="582">
        <v>1.0411360546592179E-2</v>
      </c>
      <c r="D26" s="583">
        <v>-8.9601877520360557E-2</v>
      </c>
      <c r="E26" s="582">
        <v>0.14046569875977793</v>
      </c>
      <c r="F26" s="588">
        <v>0.13005433821318577</v>
      </c>
      <c r="G26" s="530"/>
      <c r="H26" s="528"/>
      <c r="I26" s="536"/>
      <c r="J26" s="536"/>
      <c r="K26" s="536"/>
      <c r="L26" s="537"/>
      <c r="M26" s="529"/>
      <c r="N26" s="530"/>
    </row>
    <row r="27" spans="1:14" s="527" customFormat="1" ht="22" customHeight="1">
      <c r="A27" s="538" t="s">
        <v>503</v>
      </c>
      <c r="B27" s="582">
        <v>0.57739202243688925</v>
      </c>
      <c r="C27" s="582">
        <v>0.79280602751045459</v>
      </c>
      <c r="D27" s="582">
        <v>0.21541400507356534</v>
      </c>
      <c r="E27" s="583">
        <v>0.60880098586208964</v>
      </c>
      <c r="F27" s="586">
        <v>-0.18400504164836495</v>
      </c>
      <c r="G27" s="530"/>
      <c r="H27" s="528"/>
      <c r="I27" s="536"/>
      <c r="J27" s="536"/>
      <c r="K27" s="536"/>
      <c r="L27" s="505"/>
      <c r="M27" s="529"/>
      <c r="N27" s="530"/>
    </row>
    <row r="28" spans="1:14" s="527" customFormat="1" ht="22" customHeight="1">
      <c r="A28" s="538" t="s">
        <v>630</v>
      </c>
      <c r="B28" s="582">
        <v>1.0006004432916256</v>
      </c>
      <c r="C28" s="582">
        <v>0.59043319018389384</v>
      </c>
      <c r="D28" s="582">
        <v>-0.41016725310773172</v>
      </c>
      <c r="E28" s="582">
        <v>1.0107942188531085</v>
      </c>
      <c r="F28" s="581">
        <v>0.42036102866921465</v>
      </c>
      <c r="G28" s="530"/>
      <c r="H28" s="528"/>
      <c r="I28" s="536"/>
      <c r="J28" s="536"/>
      <c r="K28" s="536"/>
      <c r="L28" s="537"/>
      <c r="M28" s="529"/>
      <c r="N28" s="530"/>
    </row>
    <row r="29" spans="1:14" s="527" customFormat="1" ht="22" customHeight="1">
      <c r="A29" s="538" t="s">
        <v>631</v>
      </c>
      <c r="B29" s="582">
        <v>0.70046479078167767</v>
      </c>
      <c r="C29" s="582" t="s">
        <v>587</v>
      </c>
      <c r="D29" s="582" t="s">
        <v>710</v>
      </c>
      <c r="E29" s="582">
        <v>0.70140370413685715</v>
      </c>
      <c r="F29" s="586" t="s">
        <v>711</v>
      </c>
      <c r="G29" s="530"/>
      <c r="H29" s="528"/>
      <c r="I29" s="536"/>
      <c r="J29" s="536"/>
      <c r="K29" s="536"/>
      <c r="L29" s="537"/>
      <c r="M29" s="529"/>
      <c r="N29" s="530"/>
    </row>
    <row r="30" spans="1:14" s="527" customFormat="1" ht="22" customHeight="1">
      <c r="A30" s="538" t="s">
        <v>633</v>
      </c>
      <c r="B30" s="582">
        <v>1.1183168981139486</v>
      </c>
      <c r="C30" s="582">
        <v>1.5818956996941127</v>
      </c>
      <c r="D30" s="582">
        <v>0.46357880158016407</v>
      </c>
      <c r="E30" s="583">
        <v>0.6711832703196623</v>
      </c>
      <c r="F30" s="588">
        <v>-0.91071242937445041</v>
      </c>
      <c r="G30" s="530"/>
      <c r="H30" s="528"/>
      <c r="I30" s="536"/>
      <c r="J30" s="536"/>
      <c r="K30" s="536"/>
      <c r="L30" s="505"/>
      <c r="M30" s="505"/>
      <c r="N30" s="530"/>
    </row>
    <row r="31" spans="1:14" s="527" customFormat="1" ht="22" customHeight="1">
      <c r="A31" s="589" t="s">
        <v>206</v>
      </c>
      <c r="B31" s="590">
        <v>1.0014070341283938</v>
      </c>
      <c r="C31" s="590">
        <v>0.95118263042632178</v>
      </c>
      <c r="D31" s="591">
        <v>-5.022440370207204E-2</v>
      </c>
      <c r="E31" s="590">
        <v>0.80486499760885966</v>
      </c>
      <c r="F31" s="592">
        <v>-0.14631763281746213</v>
      </c>
      <c r="G31" s="530"/>
      <c r="H31" s="528"/>
      <c r="I31" s="536"/>
      <c r="J31" s="536"/>
      <c r="K31" s="536"/>
      <c r="L31" s="537"/>
      <c r="M31" s="529"/>
      <c r="N31" s="530"/>
    </row>
    <row r="32" spans="1:14" s="527" customFormat="1" ht="22" customHeight="1">
      <c r="A32" s="593" t="s">
        <v>678</v>
      </c>
      <c r="B32" s="594">
        <v>0.63558760528063063</v>
      </c>
      <c r="C32" s="594">
        <v>0.81646442051784063</v>
      </c>
      <c r="D32" s="595">
        <v>0.18087681523721</v>
      </c>
      <c r="E32" s="594">
        <v>0.40253935023360582</v>
      </c>
      <c r="F32" s="596">
        <v>-0.41392507028423481</v>
      </c>
      <c r="G32" s="530"/>
      <c r="H32" s="528"/>
      <c r="I32" s="536"/>
      <c r="J32" s="536"/>
      <c r="K32" s="536"/>
      <c r="L32" s="537"/>
      <c r="M32" s="529"/>
      <c r="N32" s="530"/>
    </row>
    <row r="33" spans="1:13" ht="2" customHeight="1">
      <c r="B33" s="490"/>
      <c r="C33" s="490"/>
      <c r="D33" s="490"/>
      <c r="E33" s="490"/>
      <c r="F33" s="490"/>
      <c r="I33" s="528"/>
      <c r="J33" s="528"/>
      <c r="K33" s="528"/>
      <c r="L33" s="528"/>
      <c r="M33" s="528"/>
    </row>
    <row r="34" spans="1:13" ht="2" customHeight="1">
      <c r="A34" s="458"/>
      <c r="B34" s="553"/>
      <c r="C34" s="553"/>
      <c r="D34" s="553"/>
      <c r="E34" s="553"/>
      <c r="F34" s="490"/>
      <c r="I34" s="554"/>
      <c r="J34" s="554"/>
      <c r="K34" s="554"/>
      <c r="L34" s="554"/>
      <c r="M34" s="554"/>
    </row>
    <row r="35" spans="1:13" ht="17" customHeight="1">
      <c r="A35" s="479" t="s">
        <v>649</v>
      </c>
      <c r="B35" s="553"/>
      <c r="C35" s="553"/>
      <c r="D35" s="553"/>
      <c r="E35" s="553"/>
      <c r="F35" s="490"/>
      <c r="H35" s="554"/>
    </row>
    <row r="36" spans="1:13" ht="17" customHeight="1">
      <c r="A36" s="457" t="s">
        <v>650</v>
      </c>
      <c r="B36" s="553"/>
      <c r="C36" s="553"/>
      <c r="D36" s="553"/>
      <c r="E36" s="553"/>
      <c r="F36" s="490"/>
    </row>
    <row r="37" spans="1:13" ht="17" customHeight="1">
      <c r="A37" s="597" t="s">
        <v>669</v>
      </c>
      <c r="B37" s="553"/>
      <c r="C37" s="553"/>
      <c r="D37" s="553"/>
      <c r="E37" s="553"/>
      <c r="F37" s="490"/>
    </row>
    <row r="38" spans="1:13" ht="17" customHeight="1">
      <c r="B38" s="553"/>
      <c r="C38" s="553"/>
      <c r="D38" s="553"/>
      <c r="E38" s="553"/>
      <c r="F38" s="490"/>
    </row>
    <row r="39" spans="1:13" ht="17" customHeight="1">
      <c r="B39" s="553"/>
      <c r="C39" s="553"/>
      <c r="D39" s="553"/>
      <c r="E39" s="553"/>
      <c r="F39" s="490"/>
    </row>
    <row r="40" spans="1:13" ht="17" customHeight="1">
      <c r="B40" s="553"/>
      <c r="C40" s="553"/>
      <c r="D40" s="553"/>
      <c r="E40" s="553"/>
      <c r="F40" s="490"/>
    </row>
    <row r="41" spans="1:13" ht="17" customHeight="1">
      <c r="B41" s="553"/>
      <c r="C41" s="553"/>
      <c r="D41" s="553"/>
      <c r="E41" s="553"/>
      <c r="F41" s="490"/>
    </row>
    <row r="42" spans="1:13" ht="17" customHeight="1">
      <c r="B42" s="553"/>
      <c r="C42" s="553"/>
      <c r="D42" s="553"/>
      <c r="E42" s="553"/>
      <c r="F42" s="490"/>
    </row>
    <row r="43" spans="1:13">
      <c r="A43" s="503" t="s">
        <v>672</v>
      </c>
      <c r="B43" s="553"/>
      <c r="C43" s="553"/>
      <c r="D43" s="553"/>
      <c r="E43" s="553"/>
      <c r="F43" s="490"/>
    </row>
    <row r="44" spans="1:13" ht="11.25" customHeight="1">
      <c r="A44" s="458" t="s">
        <v>665</v>
      </c>
      <c r="B44" s="553"/>
      <c r="C44" s="553"/>
      <c r="D44" s="553"/>
      <c r="E44" s="553"/>
      <c r="F44" s="490"/>
    </row>
    <row r="45" spans="1:13" ht="20.25" customHeight="1">
      <c r="A45" s="558" t="s">
        <v>673</v>
      </c>
      <c r="B45" s="553"/>
      <c r="C45" s="553"/>
      <c r="D45" s="553"/>
      <c r="E45" s="553"/>
      <c r="F45" s="490"/>
    </row>
    <row r="46" spans="1:13" ht="12" customHeight="1">
      <c r="A46" s="458" t="s">
        <v>666</v>
      </c>
      <c r="B46" s="553"/>
      <c r="C46" s="553"/>
      <c r="D46" s="553"/>
      <c r="E46" s="553"/>
      <c r="F46" s="490"/>
      <c r="H46" s="554"/>
    </row>
    <row r="47" spans="1:13">
      <c r="B47" s="553"/>
      <c r="C47" s="553"/>
      <c r="D47" s="553"/>
      <c r="E47" s="553"/>
      <c r="F47" s="490"/>
      <c r="H47" s="554"/>
    </row>
    <row r="48" spans="1:13">
      <c r="A48" s="489" t="s">
        <v>670</v>
      </c>
      <c r="B48" s="553"/>
      <c r="C48" s="553"/>
      <c r="D48" s="553"/>
      <c r="E48" s="553"/>
      <c r="F48" s="490"/>
      <c r="H48" s="554"/>
    </row>
    <row r="49" spans="1:6">
      <c r="A49" s="488" t="s">
        <v>671</v>
      </c>
      <c r="B49" s="553"/>
      <c r="C49" s="553"/>
      <c r="D49" s="553"/>
      <c r="E49" s="553"/>
      <c r="F49" s="490"/>
    </row>
    <row r="50" spans="1:6">
      <c r="B50" s="553"/>
      <c r="C50" s="553"/>
      <c r="D50" s="553"/>
      <c r="E50" s="553"/>
      <c r="F50" s="490"/>
    </row>
    <row r="51" spans="1:6">
      <c r="A51" s="556"/>
      <c r="B51" s="553"/>
      <c r="C51" s="553"/>
      <c r="D51" s="553"/>
      <c r="E51" s="553"/>
      <c r="F51" s="490"/>
    </row>
    <row r="52" spans="1:6">
      <c r="A52" s="556"/>
      <c r="B52" s="553"/>
      <c r="C52" s="553"/>
      <c r="D52" s="553"/>
      <c r="E52" s="553"/>
      <c r="F52" s="490"/>
    </row>
    <row r="53" spans="1:6">
      <c r="A53" s="556"/>
      <c r="B53" s="553"/>
      <c r="C53" s="553"/>
      <c r="D53" s="553"/>
      <c r="E53" s="553"/>
      <c r="F53" s="490"/>
    </row>
    <row r="54" spans="1:6">
      <c r="B54" s="553"/>
      <c r="C54" s="553"/>
      <c r="D54" s="553"/>
      <c r="E54" s="553"/>
      <c r="F54" s="490"/>
    </row>
    <row r="55" spans="1:6">
      <c r="B55" s="553"/>
      <c r="C55" s="553"/>
      <c r="D55" s="553"/>
      <c r="E55" s="553"/>
      <c r="F55" s="490"/>
    </row>
    <row r="56" spans="1:6">
      <c r="B56" s="553"/>
      <c r="C56" s="553"/>
      <c r="D56" s="553"/>
      <c r="E56" s="553"/>
      <c r="F56" s="490"/>
    </row>
    <row r="57" spans="1:6">
      <c r="B57" s="553"/>
      <c r="C57" s="553"/>
      <c r="D57" s="553"/>
      <c r="E57" s="553"/>
      <c r="F57" s="490"/>
    </row>
    <row r="58" spans="1:6">
      <c r="B58" s="553"/>
      <c r="C58" s="553"/>
      <c r="D58" s="553"/>
      <c r="E58" s="553"/>
      <c r="F58" s="490"/>
    </row>
    <row r="59" spans="1:6">
      <c r="B59" s="553"/>
      <c r="C59" s="553"/>
      <c r="D59" s="553"/>
      <c r="E59" s="553"/>
      <c r="F59" s="490"/>
    </row>
    <row r="60" spans="1:6">
      <c r="B60" s="553"/>
      <c r="C60" s="553"/>
      <c r="D60" s="553"/>
      <c r="E60" s="553"/>
      <c r="F60" s="490"/>
    </row>
    <row r="61" spans="1:6">
      <c r="B61" s="553"/>
      <c r="C61" s="553"/>
      <c r="D61" s="553"/>
      <c r="E61" s="553"/>
      <c r="F61" s="490"/>
    </row>
    <row r="62" spans="1:6">
      <c r="B62" s="553"/>
      <c r="C62" s="553"/>
      <c r="D62" s="553"/>
      <c r="E62" s="553"/>
      <c r="F62" s="490"/>
    </row>
    <row r="63" spans="1:6">
      <c r="B63" s="553"/>
      <c r="C63" s="553"/>
      <c r="D63" s="553"/>
      <c r="E63" s="553"/>
      <c r="F63" s="490"/>
    </row>
    <row r="64" spans="1:6">
      <c r="A64" s="556"/>
      <c r="B64" s="553"/>
      <c r="C64" s="553"/>
      <c r="D64" s="553"/>
      <c r="E64" s="553"/>
      <c r="F64" s="490"/>
    </row>
  </sheetData>
  <mergeCells count="1">
    <mergeCell ref="A1:F1"/>
  </mergeCells>
  <pageMargins left="0.74803149606299213" right="0.43307086614173229" top="0.82677165354330717" bottom="0.47244094488188981" header="0.35433070866141736" footer="0.27559055118110237"/>
  <pageSetup paperSize="9" orientation="portrait" horizontalDpi="300" verticalDpi="300" r:id="rId1"/>
  <headerFooter alignWithMargins="0">
    <oddHeader>&amp;LFachgruppe für kantonale Finanzfragen (FkF)
Groupe d'études pour les finances cantonales&amp;RZürich, &amp;D</oddHeader>
    <oddFooter>&amp;LQuelle / Source: FkF Mai 2014&amp;RBlatt &amp;P/&amp;N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I44"/>
  <sheetViews>
    <sheetView view="pageLayout" zoomScaleNormal="100" workbookViewId="0">
      <selection activeCell="N36" sqref="N36"/>
    </sheetView>
  </sheetViews>
  <sheetFormatPr baseColWidth="10" defaultRowHeight="13"/>
  <cols>
    <col min="2" max="2" width="25.33203125" customWidth="1"/>
  </cols>
  <sheetData>
    <row r="1" spans="1:9">
      <c r="A1" s="372" t="s">
        <v>219</v>
      </c>
      <c r="B1" s="373" t="s">
        <v>713</v>
      </c>
      <c r="C1" s="374" t="s">
        <v>172</v>
      </c>
      <c r="D1" s="375" t="s">
        <v>514</v>
      </c>
      <c r="E1" s="374" t="s">
        <v>2</v>
      </c>
      <c r="F1" s="375" t="s">
        <v>514</v>
      </c>
      <c r="G1" s="374" t="s">
        <v>172</v>
      </c>
      <c r="H1" s="375" t="s">
        <v>514</v>
      </c>
      <c r="I1" s="376" t="s">
        <v>2</v>
      </c>
    </row>
    <row r="2" spans="1:9">
      <c r="A2" s="377"/>
      <c r="B2" s="598">
        <v>0</v>
      </c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591</v>
      </c>
      <c r="C3" s="433"/>
      <c r="D3" s="384"/>
      <c r="E3" s="385" t="s">
        <v>483</v>
      </c>
      <c r="F3" s="384"/>
      <c r="G3" s="385"/>
      <c r="H3" s="384"/>
      <c r="I3" s="386" t="s">
        <v>483</v>
      </c>
    </row>
    <row r="4" spans="1:9">
      <c r="A4" s="372" t="s">
        <v>518</v>
      </c>
      <c r="B4" s="387" t="s">
        <v>41</v>
      </c>
      <c r="C4" s="388">
        <v>23978501.633019999</v>
      </c>
      <c r="D4" s="389">
        <v>-1.9038230495476604E-2</v>
      </c>
      <c r="E4" s="599">
        <v>23521993.391994402</v>
      </c>
      <c r="F4" s="389">
        <v>1.8994351933950333E-2</v>
      </c>
      <c r="G4" s="599">
        <v>23968778.412669998</v>
      </c>
      <c r="H4" s="389">
        <v>4.0727326170865448E-2</v>
      </c>
      <c r="I4" s="791">
        <v>24944956.669000007</v>
      </c>
    </row>
    <row r="5" spans="1:9">
      <c r="A5" s="391" t="s">
        <v>519</v>
      </c>
      <c r="B5" s="382" t="s">
        <v>592</v>
      </c>
      <c r="C5" s="392">
        <v>8246107.4391000001</v>
      </c>
      <c r="D5" s="393">
        <v>2.411176161945576E-2</v>
      </c>
      <c r="E5" s="392">
        <v>8444935.6159600001</v>
      </c>
      <c r="F5" s="393">
        <v>-2.3908969041564385E-3</v>
      </c>
      <c r="G5" s="392">
        <v>8424744.6455400009</v>
      </c>
      <c r="H5" s="393">
        <v>9.245798931987341E-2</v>
      </c>
      <c r="I5" s="394">
        <v>9051183.9959999993</v>
      </c>
    </row>
    <row r="6" spans="1:9">
      <c r="A6" s="391" t="s">
        <v>298</v>
      </c>
      <c r="B6" s="382" t="s">
        <v>593</v>
      </c>
      <c r="C6" s="392">
        <v>1095441.17028</v>
      </c>
      <c r="D6" s="393">
        <v>-2.8750247055211443E-2</v>
      </c>
      <c r="E6" s="392">
        <v>1063946.966</v>
      </c>
      <c r="F6" s="393">
        <v>6.3221431414843793E-2</v>
      </c>
      <c r="G6" s="392">
        <v>1131211.2161400001</v>
      </c>
      <c r="H6" s="393">
        <v>4.988575766827979E-3</v>
      </c>
      <c r="I6" s="394">
        <v>1136854.3490000002</v>
      </c>
    </row>
    <row r="7" spans="1:9">
      <c r="A7" s="391" t="s">
        <v>522</v>
      </c>
      <c r="B7" s="382" t="s">
        <v>594</v>
      </c>
      <c r="C7" s="392">
        <v>958867.24336999992</v>
      </c>
      <c r="D7" s="393">
        <v>7.4067942273626078E-2</v>
      </c>
      <c r="E7" s="392">
        <v>1029888.567</v>
      </c>
      <c r="F7" s="393">
        <v>-4.7540721995411858E-2</v>
      </c>
      <c r="G7" s="392">
        <v>980926.92094999994</v>
      </c>
      <c r="H7" s="393">
        <v>-3.4115555639547587E-2</v>
      </c>
      <c r="I7" s="394">
        <v>947462.05400000012</v>
      </c>
    </row>
    <row r="8" spans="1:9">
      <c r="A8" s="391" t="s">
        <v>524</v>
      </c>
      <c r="B8" s="382" t="s">
        <v>595</v>
      </c>
      <c r="C8" s="392">
        <v>776498.98326000001</v>
      </c>
      <c r="D8" s="393">
        <v>0.31278958630480852</v>
      </c>
      <c r="E8" s="392">
        <v>1019379.7789999999</v>
      </c>
      <c r="F8" s="393">
        <v>0.4937377742804922</v>
      </c>
      <c r="G8" s="392">
        <v>1522686.0822299998</v>
      </c>
      <c r="H8" s="393">
        <v>-0.89092177833742614</v>
      </c>
      <c r="I8" s="394">
        <v>166091.89000000001</v>
      </c>
    </row>
    <row r="9" spans="1:9">
      <c r="A9" s="391" t="s">
        <v>526</v>
      </c>
      <c r="B9" s="382" t="s">
        <v>596</v>
      </c>
      <c r="C9" s="392">
        <v>4669736.665860001</v>
      </c>
      <c r="D9" s="393">
        <v>-0.16613074594370691</v>
      </c>
      <c r="E9" s="392">
        <v>3893949.8302000002</v>
      </c>
      <c r="F9" s="393">
        <v>-2.5174341394882793E-3</v>
      </c>
      <c r="G9" s="392">
        <v>3884147.0679600001</v>
      </c>
      <c r="H9" s="393">
        <v>-4.8662878946875709E-2</v>
      </c>
      <c r="I9" s="394">
        <v>3543749.5893800007</v>
      </c>
    </row>
    <row r="10" spans="1:9">
      <c r="A10" s="391" t="s">
        <v>528</v>
      </c>
      <c r="B10" s="382" t="s">
        <v>597</v>
      </c>
      <c r="C10" s="392">
        <v>44269680.966160007</v>
      </c>
      <c r="D10" s="393">
        <v>1.741388412374777E-2</v>
      </c>
      <c r="E10" s="392">
        <v>45040588.060699999</v>
      </c>
      <c r="F10" s="393">
        <v>9.1979270655102689E-3</v>
      </c>
      <c r="G10" s="392">
        <v>45454868.104670011</v>
      </c>
      <c r="H10" s="393">
        <v>4.2359923559698504E-2</v>
      </c>
      <c r="I10" s="394">
        <v>45951541.943000011</v>
      </c>
    </row>
    <row r="11" spans="1:9">
      <c r="A11" s="391" t="s">
        <v>598</v>
      </c>
      <c r="B11" s="382" t="s">
        <v>599</v>
      </c>
      <c r="C11" s="392">
        <v>6988706.7613300001</v>
      </c>
      <c r="D11" s="393">
        <v>7.9848194770129777E-2</v>
      </c>
      <c r="E11" s="392">
        <v>7546742.3800000008</v>
      </c>
      <c r="F11" s="393">
        <v>-4.4061542538040177E-2</v>
      </c>
      <c r="G11" s="392">
        <v>7214221.2696000002</v>
      </c>
      <c r="H11" s="393">
        <v>0.37535827474697664</v>
      </c>
      <c r="I11" s="394">
        <v>8341964.3190000001</v>
      </c>
    </row>
    <row r="12" spans="1:9">
      <c r="A12" s="391" t="s">
        <v>600</v>
      </c>
      <c r="B12" s="382" t="s">
        <v>601</v>
      </c>
      <c r="C12" s="392">
        <v>3088259.1237300001</v>
      </c>
      <c r="D12" s="393">
        <v>5.7336201036179681E-2</v>
      </c>
      <c r="E12" s="392">
        <v>3265328.1696999995</v>
      </c>
      <c r="F12" s="393">
        <v>-3.0261261556163301E-2</v>
      </c>
      <c r="G12" s="392">
        <v>3166515.2198899998</v>
      </c>
      <c r="H12" s="393">
        <v>-2.1504709174385342E-3</v>
      </c>
      <c r="I12" s="394">
        <v>3159705.7209999999</v>
      </c>
    </row>
    <row r="13" spans="1:9">
      <c r="A13" s="391" t="s">
        <v>602</v>
      </c>
      <c r="B13" s="382" t="s">
        <v>603</v>
      </c>
      <c r="C13" s="392">
        <v>6665317.748660001</v>
      </c>
      <c r="D13" s="393">
        <v>-0.11160952736417681</v>
      </c>
      <c r="E13" s="392">
        <v>5921404.7849999992</v>
      </c>
      <c r="F13" s="393">
        <v>2.5363755387987748E-2</v>
      </c>
      <c r="G13" s="392">
        <v>6071593.8475199994</v>
      </c>
      <c r="H13" s="393">
        <v>-0.63198790809884786</v>
      </c>
      <c r="I13" s="394">
        <v>2234419.9529999997</v>
      </c>
    </row>
    <row r="14" spans="1:9">
      <c r="A14" s="391" t="s">
        <v>604</v>
      </c>
      <c r="B14" s="382" t="s">
        <v>605</v>
      </c>
      <c r="C14" s="392">
        <v>752330.27717000002</v>
      </c>
      <c r="D14" s="393">
        <v>-0.10684945111126459</v>
      </c>
      <c r="E14" s="392">
        <v>671944.2</v>
      </c>
      <c r="F14" s="393">
        <v>0.41345636713584244</v>
      </c>
      <c r="G14" s="392">
        <v>949763.80784999987</v>
      </c>
      <c r="H14" s="393">
        <v>-0.14089219524264471</v>
      </c>
      <c r="I14" s="394">
        <v>815949.5</v>
      </c>
    </row>
    <row r="15" spans="1:9">
      <c r="A15" s="391" t="s">
        <v>606</v>
      </c>
      <c r="B15" s="382" t="s">
        <v>607</v>
      </c>
      <c r="C15" s="392">
        <v>673573.47836000007</v>
      </c>
      <c r="D15" s="393">
        <v>5.9031373587943782E-2</v>
      </c>
      <c r="E15" s="392">
        <v>713335.446</v>
      </c>
      <c r="F15" s="393">
        <v>-1.527498166690021E-2</v>
      </c>
      <c r="G15" s="392">
        <v>702439.26013999991</v>
      </c>
      <c r="H15" s="393">
        <v>0.38294234836245955</v>
      </c>
      <c r="I15" s="394">
        <v>971433.00000000012</v>
      </c>
    </row>
    <row r="16" spans="1:9">
      <c r="A16" s="391" t="s">
        <v>608</v>
      </c>
      <c r="B16" s="382" t="s">
        <v>609</v>
      </c>
      <c r="C16" s="392">
        <v>658290.43705299997</v>
      </c>
      <c r="D16" s="393">
        <v>-0.34583418539721356</v>
      </c>
      <c r="E16" s="392">
        <v>430631.10000000003</v>
      </c>
      <c r="F16" s="393">
        <v>8.1968756529660639E-2</v>
      </c>
      <c r="G16" s="392">
        <v>465929.39578999998</v>
      </c>
      <c r="H16" s="393">
        <v>-0.53316961332477419</v>
      </c>
      <c r="I16" s="394">
        <v>217510</v>
      </c>
    </row>
    <row r="17" spans="1:9">
      <c r="A17" s="391" t="s">
        <v>542</v>
      </c>
      <c r="B17" s="382" t="s">
        <v>610</v>
      </c>
      <c r="C17" s="392">
        <v>660465.36075000011</v>
      </c>
      <c r="D17" s="393">
        <v>-0.5022926295078981</v>
      </c>
      <c r="E17" s="392">
        <v>328718.478</v>
      </c>
      <c r="F17" s="393">
        <v>1.651654012464733</v>
      </c>
      <c r="G17" s="392">
        <v>871647.67116000003</v>
      </c>
      <c r="H17" s="393">
        <v>-0.61887784366142085</v>
      </c>
      <c r="I17" s="394">
        <v>332204.24</v>
      </c>
    </row>
    <row r="18" spans="1:9">
      <c r="A18" s="391">
        <v>389</v>
      </c>
      <c r="B18" s="382" t="s">
        <v>61</v>
      </c>
      <c r="C18" s="392">
        <v>2361.63</v>
      </c>
      <c r="D18" s="393">
        <v>-0.70236658579032274</v>
      </c>
      <c r="E18" s="392">
        <v>702.9</v>
      </c>
      <c r="F18" s="393">
        <v>3.2540375586854462</v>
      </c>
      <c r="G18" s="392">
        <v>2990.163</v>
      </c>
      <c r="H18" s="393">
        <v>-0.84245006041476667</v>
      </c>
      <c r="I18" s="394">
        <v>471.1</v>
      </c>
    </row>
    <row r="19" spans="1:9">
      <c r="A19" s="395" t="s">
        <v>544</v>
      </c>
      <c r="B19" s="396" t="s">
        <v>45</v>
      </c>
      <c r="C19" s="397">
        <v>2445910.21667</v>
      </c>
      <c r="D19" s="393">
        <v>-3.5016824446894836E-2</v>
      </c>
      <c r="E19" s="397">
        <v>2360262.2080000001</v>
      </c>
      <c r="F19" s="393">
        <v>8.4962717498207659E-3</v>
      </c>
      <c r="G19" s="397">
        <v>2380315.6371200001</v>
      </c>
      <c r="H19" s="393">
        <v>3.0026739632932384E-2</v>
      </c>
      <c r="I19" s="398">
        <v>2451788.7549999999</v>
      </c>
    </row>
    <row r="20" spans="1:9">
      <c r="A20" s="399" t="s">
        <v>546</v>
      </c>
      <c r="B20" s="400" t="s">
        <v>611</v>
      </c>
      <c r="C20" s="401">
        <v>86008130.138189986</v>
      </c>
      <c r="D20" s="402">
        <v>-4.2753087033142161E-3</v>
      </c>
      <c r="E20" s="401">
        <v>85640418.830854401</v>
      </c>
      <c r="F20" s="402">
        <v>2.1609958238303712E-2</v>
      </c>
      <c r="G20" s="401">
        <v>87491104.705300003</v>
      </c>
      <c r="H20" s="402">
        <v>1.8642143525034006E-2</v>
      </c>
      <c r="I20" s="434">
        <v>87389450.236379966</v>
      </c>
    </row>
    <row r="21" spans="1:9">
      <c r="A21" s="403" t="s">
        <v>548</v>
      </c>
      <c r="B21" s="404" t="s">
        <v>612</v>
      </c>
      <c r="C21" s="388">
        <v>37917294.049239993</v>
      </c>
      <c r="D21" s="393">
        <v>6.8447449668486871E-4</v>
      </c>
      <c r="E21" s="388">
        <v>37943247.469999999</v>
      </c>
      <c r="F21" s="393">
        <v>1.6813236815177747E-2</v>
      </c>
      <c r="G21" s="388">
        <v>38581196.275250003</v>
      </c>
      <c r="H21" s="393">
        <v>-1.7254850182213319E-2</v>
      </c>
      <c r="I21" s="390">
        <v>37915483.513669997</v>
      </c>
    </row>
    <row r="22" spans="1:9">
      <c r="A22" s="405" t="s">
        <v>550</v>
      </c>
      <c r="B22" s="378" t="s">
        <v>613</v>
      </c>
      <c r="C22" s="392">
        <v>3621711.2045499999</v>
      </c>
      <c r="D22" s="393">
        <v>-2.6870779875473743E-2</v>
      </c>
      <c r="E22" s="392">
        <v>3524393</v>
      </c>
      <c r="F22" s="393">
        <v>5.9718516479291578E-2</v>
      </c>
      <c r="G22" s="392">
        <v>3734864.5214499999</v>
      </c>
      <c r="H22" s="393">
        <v>0.22404640750533378</v>
      </c>
      <c r="I22" s="394">
        <v>4571647.5</v>
      </c>
    </row>
    <row r="23" spans="1:9">
      <c r="A23" s="405" t="s">
        <v>552</v>
      </c>
      <c r="B23" s="378" t="s">
        <v>614</v>
      </c>
      <c r="C23" s="392">
        <v>3349708.5061800005</v>
      </c>
      <c r="D23" s="393">
        <v>-8.0730103434698317E-2</v>
      </c>
      <c r="E23" s="392">
        <v>3079286.1920000003</v>
      </c>
      <c r="F23" s="393">
        <v>5.9476501832084118E-2</v>
      </c>
      <c r="G23" s="392">
        <v>3262431.3628399996</v>
      </c>
      <c r="H23" s="393">
        <v>-0.16134047840374871</v>
      </c>
      <c r="I23" s="394">
        <v>2736069.1260000002</v>
      </c>
    </row>
    <row r="24" spans="1:9">
      <c r="A24" s="405" t="s">
        <v>554</v>
      </c>
      <c r="B24" s="378" t="s">
        <v>615</v>
      </c>
      <c r="C24" s="392">
        <v>9374698.3529000003</v>
      </c>
      <c r="D24" s="393">
        <v>6.3507320085218321E-3</v>
      </c>
      <c r="E24" s="392">
        <v>9434234.5497999992</v>
      </c>
      <c r="F24" s="393">
        <v>7.3338080341098552E-2</v>
      </c>
      <c r="G24" s="392">
        <v>10126123.201169999</v>
      </c>
      <c r="H24" s="393">
        <v>-8.2701000228126501E-2</v>
      </c>
      <c r="I24" s="394">
        <v>9279128.3430000022</v>
      </c>
    </row>
    <row r="25" spans="1:9">
      <c r="A25" s="405" t="s">
        <v>556</v>
      </c>
      <c r="B25" s="378" t="s">
        <v>597</v>
      </c>
      <c r="C25" s="392">
        <v>27319443.70809</v>
      </c>
      <c r="D25" s="393">
        <v>6.1447946079624611E-3</v>
      </c>
      <c r="E25" s="392">
        <v>27487316.078480005</v>
      </c>
      <c r="F25" s="393">
        <v>1.7318858624131021E-2</v>
      </c>
      <c r="G25" s="392">
        <v>27963365.019600004</v>
      </c>
      <c r="H25" s="393">
        <v>6.2429330604395539E-2</v>
      </c>
      <c r="I25" s="394">
        <v>28129119.579220004</v>
      </c>
    </row>
    <row r="26" spans="1:9">
      <c r="A26" s="406" t="s">
        <v>558</v>
      </c>
      <c r="B26" s="378" t="s">
        <v>616</v>
      </c>
      <c r="C26" s="392">
        <v>1035607.31119</v>
      </c>
      <c r="D26" s="393">
        <v>2.3752152262941115E-2</v>
      </c>
      <c r="E26" s="392">
        <v>1060205.21373</v>
      </c>
      <c r="F26" s="393">
        <v>-0.1951723713110286</v>
      </c>
      <c r="G26" s="392">
        <v>853282.44808999996</v>
      </c>
      <c r="H26" s="393">
        <v>-0.10523234398058216</v>
      </c>
      <c r="I26" s="394">
        <v>773489.53599999985</v>
      </c>
    </row>
    <row r="27" spans="1:9">
      <c r="A27" s="407">
        <v>489</v>
      </c>
      <c r="B27" s="378" t="s">
        <v>63</v>
      </c>
      <c r="C27" s="392">
        <v>163083.06443</v>
      </c>
      <c r="D27" s="393">
        <v>-0.14250057405546881</v>
      </c>
      <c r="E27" s="392">
        <v>139843.63412999999</v>
      </c>
      <c r="F27" s="393">
        <v>-0.15760563051094093</v>
      </c>
      <c r="G27" s="392">
        <v>117803.49</v>
      </c>
      <c r="H27" s="393">
        <v>0.12201832899857197</v>
      </c>
      <c r="I27" s="394">
        <v>132177.67499999999</v>
      </c>
    </row>
    <row r="28" spans="1:9">
      <c r="A28" s="408" t="s">
        <v>560</v>
      </c>
      <c r="B28" s="409" t="s">
        <v>45</v>
      </c>
      <c r="C28" s="397">
        <v>2445909.2116700001</v>
      </c>
      <c r="D28" s="393">
        <v>-3.5282242553507835E-2</v>
      </c>
      <c r="E28" s="397">
        <v>2359612.0496</v>
      </c>
      <c r="F28" s="393">
        <v>8.7741489214338084E-3</v>
      </c>
      <c r="G28" s="397">
        <v>2380315.6371200001</v>
      </c>
      <c r="H28" s="393">
        <v>3.0310609548948115E-2</v>
      </c>
      <c r="I28" s="398">
        <v>2452464.4550000001</v>
      </c>
    </row>
    <row r="29" spans="1:9">
      <c r="A29" s="410" t="s">
        <v>562</v>
      </c>
      <c r="B29" s="411" t="s">
        <v>617</v>
      </c>
      <c r="C29" s="401">
        <v>85227455.408250004</v>
      </c>
      <c r="D29" s="413">
        <v>-2.33865037452118E-3</v>
      </c>
      <c r="E29" s="401">
        <v>85028138.187740013</v>
      </c>
      <c r="F29" s="413">
        <v>2.3418644818299729E-2</v>
      </c>
      <c r="G29" s="401">
        <v>87019381.955520004</v>
      </c>
      <c r="H29" s="412">
        <v>6.31734794038173E-3</v>
      </c>
      <c r="I29" s="434">
        <v>85989579.72789</v>
      </c>
    </row>
    <row r="30" spans="1:9">
      <c r="A30" s="414" t="s">
        <v>564</v>
      </c>
      <c r="B30" s="415" t="s">
        <v>618</v>
      </c>
      <c r="C30" s="416">
        <v>-780674.7299399972</v>
      </c>
      <c r="D30" s="418"/>
      <c r="E30" s="416">
        <v>-612280.64311440487</v>
      </c>
      <c r="F30" s="418"/>
      <c r="G30" s="416">
        <v>-471722.74978000601</v>
      </c>
      <c r="H30" s="417"/>
      <c r="I30" s="435">
        <v>-1399870.5084900004</v>
      </c>
    </row>
    <row r="31" spans="1:9">
      <c r="A31" s="419"/>
      <c r="B31" s="404" t="s">
        <v>619</v>
      </c>
      <c r="C31" s="420">
        <v>0</v>
      </c>
      <c r="D31" s="384"/>
      <c r="E31" s="420">
        <v>0</v>
      </c>
      <c r="F31" s="384"/>
      <c r="G31" s="420">
        <v>0</v>
      </c>
      <c r="H31" s="421"/>
      <c r="I31" s="422">
        <v>0</v>
      </c>
    </row>
    <row r="32" spans="1:9">
      <c r="A32" s="406" t="s">
        <v>567</v>
      </c>
      <c r="B32" s="378" t="s">
        <v>620</v>
      </c>
      <c r="C32" s="392">
        <v>4750252.1455399999</v>
      </c>
      <c r="D32" s="393">
        <v>-1.8069858771728173E-3</v>
      </c>
      <c r="E32" s="392">
        <v>4741668.5069999993</v>
      </c>
      <c r="F32" s="393">
        <v>-7.7151686732199326E-2</v>
      </c>
      <c r="G32" s="392">
        <v>4375840.78376</v>
      </c>
      <c r="H32" s="393">
        <v>1.1503236686950066E-2</v>
      </c>
      <c r="I32" s="394">
        <v>4426177.1160000004</v>
      </c>
    </row>
    <row r="33" spans="1:9">
      <c r="A33" s="406" t="s">
        <v>569</v>
      </c>
      <c r="B33" s="378" t="s">
        <v>621</v>
      </c>
      <c r="C33" s="392">
        <v>701371.21305000002</v>
      </c>
      <c r="D33" s="393">
        <v>-0.16015044666795078</v>
      </c>
      <c r="E33" s="392">
        <v>589046.30000000005</v>
      </c>
      <c r="F33" s="393">
        <v>-7.4802255272631698E-3</v>
      </c>
      <c r="G33" s="392">
        <v>584640.10083000013</v>
      </c>
      <c r="H33" s="393">
        <v>0.28059262260167922</v>
      </c>
      <c r="I33" s="394">
        <v>748685.8</v>
      </c>
    </row>
    <row r="34" spans="1:9">
      <c r="A34" s="405" t="s">
        <v>571</v>
      </c>
      <c r="B34" s="378" t="s">
        <v>622</v>
      </c>
      <c r="C34" s="392">
        <v>1677996.9106899998</v>
      </c>
      <c r="D34" s="393">
        <v>9.5789959377162989E-2</v>
      </c>
      <c r="E34" s="392">
        <v>1838732.1665999999</v>
      </c>
      <c r="F34" s="393">
        <v>-9.0920271677809888E-2</v>
      </c>
      <c r="G34" s="392">
        <v>1671554.1384699999</v>
      </c>
      <c r="H34" s="393">
        <v>8.1293628727083275E-2</v>
      </c>
      <c r="I34" s="394">
        <v>1803408.8399999996</v>
      </c>
    </row>
    <row r="35" spans="1:9">
      <c r="A35" s="410" t="s">
        <v>573</v>
      </c>
      <c r="B35" s="411" t="s">
        <v>623</v>
      </c>
      <c r="C35" s="401">
        <v>7129620.2692800006</v>
      </c>
      <c r="D35" s="412">
        <v>5.5860905371923177E-3</v>
      </c>
      <c r="E35" s="401">
        <v>7169446.9736000001</v>
      </c>
      <c r="F35" s="412">
        <v>-7.4958633841481437E-2</v>
      </c>
      <c r="G35" s="401">
        <v>6632035.0230600005</v>
      </c>
      <c r="H35" s="412">
        <v>5.2814668758849159E-2</v>
      </c>
      <c r="I35" s="434">
        <v>6978271.756000001</v>
      </c>
    </row>
    <row r="36" spans="1:9">
      <c r="A36" s="405" t="s">
        <v>575</v>
      </c>
      <c r="B36" s="378" t="s">
        <v>624</v>
      </c>
      <c r="C36" s="392">
        <v>123242.19094</v>
      </c>
      <c r="D36" s="393">
        <v>-3.0955234655454293E-2</v>
      </c>
      <c r="E36" s="392">
        <v>119427.2</v>
      </c>
      <c r="F36" s="393">
        <v>1.6446632084650732</v>
      </c>
      <c r="G36" s="392">
        <v>315844.72193</v>
      </c>
      <c r="H36" s="393">
        <v>-0.80908498444573007</v>
      </c>
      <c r="I36" s="394">
        <v>60299.5</v>
      </c>
    </row>
    <row r="37" spans="1:9">
      <c r="A37" s="405" t="s">
        <v>577</v>
      </c>
      <c r="B37" s="378" t="s">
        <v>625</v>
      </c>
      <c r="C37" s="392">
        <v>2247718.88271</v>
      </c>
      <c r="D37" s="393">
        <v>-6.0274020809335915E-2</v>
      </c>
      <c r="E37" s="392">
        <v>2112239.8280000002</v>
      </c>
      <c r="F37" s="393">
        <v>7.814417501363384E-2</v>
      </c>
      <c r="G37" s="392">
        <v>2277299.0667900001</v>
      </c>
      <c r="H37" s="393">
        <v>-0.15352564223495585</v>
      </c>
      <c r="I37" s="394">
        <v>1923643.2649999997</v>
      </c>
    </row>
    <row r="38" spans="1:9">
      <c r="A38" s="410" t="s">
        <v>579</v>
      </c>
      <c r="B38" s="411" t="s">
        <v>626</v>
      </c>
      <c r="C38" s="401">
        <v>2357406.0636499999</v>
      </c>
      <c r="D38" s="412">
        <v>-5.6098750948845671E-2</v>
      </c>
      <c r="E38" s="401">
        <v>2225158.5279999999</v>
      </c>
      <c r="F38" s="412">
        <v>0.16537485131486312</v>
      </c>
      <c r="G38" s="401">
        <v>2593143.7887199996</v>
      </c>
      <c r="H38" s="412">
        <v>-0.23337272169497283</v>
      </c>
      <c r="I38" s="434">
        <v>1983942.7649999997</v>
      </c>
    </row>
    <row r="39" spans="1:9">
      <c r="A39" s="423" t="s">
        <v>581</v>
      </c>
      <c r="B39" s="424" t="s">
        <v>68</v>
      </c>
      <c r="C39" s="425">
        <v>4772214.2056299997</v>
      </c>
      <c r="D39" s="426">
        <v>3.6057526455328781E-2</v>
      </c>
      <c r="E39" s="425">
        <v>4944288.4455999993</v>
      </c>
      <c r="F39" s="426">
        <v>-0.18311982021714898</v>
      </c>
      <c r="G39" s="425">
        <v>4038891.2343400004</v>
      </c>
      <c r="H39" s="426">
        <v>0.23655941723227145</v>
      </c>
      <c r="I39" s="436">
        <v>4994328.9910000004</v>
      </c>
    </row>
    <row r="40" spans="1:9">
      <c r="A40" s="377"/>
      <c r="B40" s="378" t="s">
        <v>155</v>
      </c>
      <c r="C40" s="392">
        <v>3728340.501490003</v>
      </c>
      <c r="D40" s="393">
        <v>-0.15712407391446473</v>
      </c>
      <c r="E40" s="392">
        <v>3142528.4529555952</v>
      </c>
      <c r="F40" s="393">
        <v>4.9349605117669386E-2</v>
      </c>
      <c r="G40" s="392">
        <v>3297610.9911799943</v>
      </c>
      <c r="H40" s="393">
        <v>-0.39034229559909139</v>
      </c>
      <c r="I40" s="394">
        <v>2012172.5058900001</v>
      </c>
    </row>
    <row r="41" spans="1:9">
      <c r="A41" s="377"/>
      <c r="B41" s="378" t="s">
        <v>627</v>
      </c>
      <c r="C41" s="392">
        <v>-1043873.7041399969</v>
      </c>
      <c r="D41" s="393">
        <v>0.72603255115885723</v>
      </c>
      <c r="E41" s="392">
        <v>-1801759.992644405</v>
      </c>
      <c r="F41" s="393">
        <v>-0.5885799184207412</v>
      </c>
      <c r="G41" s="392">
        <v>-741280.24316000589</v>
      </c>
      <c r="H41" s="393">
        <v>3.0253535307913491</v>
      </c>
      <c r="I41" s="394">
        <v>-2982156.4851099998</v>
      </c>
    </row>
    <row r="42" spans="1:9">
      <c r="A42" s="427"/>
      <c r="B42" s="409" t="s">
        <v>628</v>
      </c>
      <c r="C42" s="397">
        <v>84582777.550929993</v>
      </c>
      <c r="D42" s="428">
        <v>7.3782757719042871E-3</v>
      </c>
      <c r="E42" s="397">
        <v>85206852.60925439</v>
      </c>
      <c r="F42" s="428">
        <v>2.9868548108765778E-3</v>
      </c>
      <c r="G42" s="397">
        <v>85461353.106889993</v>
      </c>
      <c r="H42" s="428">
        <v>4.6774216248487301E-2</v>
      </c>
      <c r="I42" s="398">
        <v>87873416.417999998</v>
      </c>
    </row>
    <row r="43" spans="1:9">
      <c r="A43" s="427"/>
      <c r="B43" s="409" t="s">
        <v>629</v>
      </c>
      <c r="C43" s="428">
        <v>0.78126009035627719</v>
      </c>
      <c r="D43" s="430"/>
      <c r="E43" s="429">
        <v>0.63558760528063063</v>
      </c>
      <c r="F43" s="430"/>
      <c r="G43" s="429">
        <v>0.81646442051784063</v>
      </c>
      <c r="H43" s="430"/>
      <c r="I43" s="437">
        <v>0.40289146139872306</v>
      </c>
    </row>
    <row r="44" spans="1:9">
      <c r="A44" s="371" t="s">
        <v>712</v>
      </c>
      <c r="B44" s="600"/>
      <c r="C44" s="601"/>
      <c r="D44" s="380"/>
      <c r="E44" s="601"/>
      <c r="F44" s="393"/>
      <c r="G44" s="601"/>
      <c r="H44" s="380"/>
      <c r="I44" s="601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Header xml:space="preserve">&amp;LFachgruppe für kantonale Finanzfragen (FkF)
Groupe d'études pour les finances cantonales
&amp;CRechnung 2012 - Budget 2014
Compte 2012 - Budget 2014&amp;RZürich, &amp;D
</oddHeader>
    <oddFooter>&amp;LQuelle/Source: FkF Mai 2014&amp;RBlatt 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I44"/>
  <sheetViews>
    <sheetView view="pageLayout" zoomScaleNormal="100" workbookViewId="0">
      <selection activeCell="L21" sqref="L21"/>
    </sheetView>
  </sheetViews>
  <sheetFormatPr baseColWidth="10" defaultRowHeight="13"/>
  <sheetData>
    <row r="1" spans="1:9">
      <c r="A1" s="372" t="s">
        <v>513</v>
      </c>
      <c r="B1" s="373" t="s">
        <v>678</v>
      </c>
      <c r="C1" s="374" t="s">
        <v>37</v>
      </c>
      <c r="D1" s="375" t="s">
        <v>514</v>
      </c>
      <c r="E1" s="374" t="s">
        <v>2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598">
        <v>0</v>
      </c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714</v>
      </c>
      <c r="C3" s="433" t="s">
        <v>582</v>
      </c>
      <c r="D3" s="384"/>
      <c r="E3" s="385"/>
      <c r="F3" s="384"/>
      <c r="G3" s="385"/>
      <c r="H3" s="384"/>
      <c r="I3" s="386" t="s">
        <v>470</v>
      </c>
    </row>
    <row r="4" spans="1:9">
      <c r="A4" s="372" t="s">
        <v>518</v>
      </c>
      <c r="B4" s="387" t="s">
        <v>1</v>
      </c>
      <c r="C4" s="599">
        <v>23978501.633019999</v>
      </c>
      <c r="D4" s="389">
        <v>-1.9038230495476604E-2</v>
      </c>
      <c r="E4" s="599">
        <v>23521993.391994402</v>
      </c>
      <c r="F4" s="389">
        <v>1.8994351933950333E-2</v>
      </c>
      <c r="G4" s="388">
        <v>23968778.412669998</v>
      </c>
      <c r="H4" s="389">
        <v>4.0727326170865448E-2</v>
      </c>
      <c r="I4" s="390">
        <v>24944956.669000007</v>
      </c>
    </row>
    <row r="5" spans="1:9">
      <c r="A5" s="391" t="s">
        <v>519</v>
      </c>
      <c r="B5" s="382" t="s">
        <v>520</v>
      </c>
      <c r="C5" s="392">
        <v>8246107.4391000001</v>
      </c>
      <c r="D5" s="393">
        <v>2.411176161945576E-2</v>
      </c>
      <c r="E5" s="392">
        <v>8444935.6159600001</v>
      </c>
      <c r="F5" s="393">
        <v>-2.3908969041564385E-3</v>
      </c>
      <c r="G5" s="392">
        <v>8424744.6455400009</v>
      </c>
      <c r="H5" s="393">
        <v>9.245798931987341E-2</v>
      </c>
      <c r="I5" s="394">
        <v>9051183.9959999993</v>
      </c>
    </row>
    <row r="6" spans="1:9">
      <c r="A6" s="391" t="s">
        <v>229</v>
      </c>
      <c r="B6" s="382" t="s">
        <v>521</v>
      </c>
      <c r="C6" s="392">
        <v>1095441.17028</v>
      </c>
      <c r="D6" s="393">
        <v>-2.8750247055211443E-2</v>
      </c>
      <c r="E6" s="392">
        <v>1063946.966</v>
      </c>
      <c r="F6" s="393">
        <v>6.3221431414843793E-2</v>
      </c>
      <c r="G6" s="392">
        <v>1131211.2161400001</v>
      </c>
      <c r="H6" s="393">
        <v>4.988575766827979E-3</v>
      </c>
      <c r="I6" s="394">
        <v>1136854.3490000002</v>
      </c>
    </row>
    <row r="7" spans="1:9">
      <c r="A7" s="391" t="s">
        <v>522</v>
      </c>
      <c r="B7" s="382" t="s">
        <v>523</v>
      </c>
      <c r="C7" s="392">
        <v>958867.24336999992</v>
      </c>
      <c r="D7" s="393">
        <v>7.4067942273626078E-2</v>
      </c>
      <c r="E7" s="392">
        <v>1029888.567</v>
      </c>
      <c r="F7" s="393">
        <v>-4.7540721995411858E-2</v>
      </c>
      <c r="G7" s="392">
        <v>980926.92094999994</v>
      </c>
      <c r="H7" s="393">
        <v>-3.4115555639547587E-2</v>
      </c>
      <c r="I7" s="394">
        <v>947462.05400000012</v>
      </c>
    </row>
    <row r="8" spans="1:9">
      <c r="A8" s="391" t="s">
        <v>524</v>
      </c>
      <c r="B8" s="382" t="s">
        <v>525</v>
      </c>
      <c r="C8" s="392">
        <v>776498.98326000001</v>
      </c>
      <c r="D8" s="393">
        <v>0.31278958630480852</v>
      </c>
      <c r="E8" s="392">
        <v>1019379.7789999999</v>
      </c>
      <c r="F8" s="393">
        <v>0.4937377742804922</v>
      </c>
      <c r="G8" s="392">
        <v>1522686.0822299998</v>
      </c>
      <c r="H8" s="393">
        <v>-0.89092177833742614</v>
      </c>
      <c r="I8" s="394">
        <v>166091.89000000001</v>
      </c>
    </row>
    <row r="9" spans="1:9">
      <c r="A9" s="391" t="s">
        <v>526</v>
      </c>
      <c r="B9" s="382" t="s">
        <v>527</v>
      </c>
      <c r="C9" s="392">
        <v>4669736.665860001</v>
      </c>
      <c r="D9" s="393">
        <v>-0.16613074594370691</v>
      </c>
      <c r="E9" s="392">
        <v>3893949.8302000002</v>
      </c>
      <c r="F9" s="393">
        <v>-2.5174341394882793E-3</v>
      </c>
      <c r="G9" s="392">
        <v>3884147.0679600001</v>
      </c>
      <c r="H9" s="393">
        <v>-4.8662878946875709E-2</v>
      </c>
      <c r="I9" s="394">
        <v>3543749.5893800007</v>
      </c>
    </row>
    <row r="10" spans="1:9">
      <c r="A10" s="391" t="s">
        <v>528</v>
      </c>
      <c r="B10" s="382" t="s">
        <v>529</v>
      </c>
      <c r="C10" s="392">
        <v>44269680.966160007</v>
      </c>
      <c r="D10" s="393">
        <v>1.741388412374777E-2</v>
      </c>
      <c r="E10" s="392">
        <v>45040588.060699999</v>
      </c>
      <c r="F10" s="393">
        <v>9.1979270655102689E-3</v>
      </c>
      <c r="G10" s="392">
        <v>45454868.104670011</v>
      </c>
      <c r="H10" s="393">
        <v>4.2359923559698504E-2</v>
      </c>
      <c r="I10" s="394">
        <v>45951541.943000011</v>
      </c>
    </row>
    <row r="11" spans="1:9">
      <c r="A11" s="391" t="s">
        <v>530</v>
      </c>
      <c r="B11" s="382" t="s">
        <v>531</v>
      </c>
      <c r="C11" s="392">
        <v>6988706.7613300001</v>
      </c>
      <c r="D11" s="393">
        <v>7.9848194770129777E-2</v>
      </c>
      <c r="E11" s="392">
        <v>7546742.3800000008</v>
      </c>
      <c r="F11" s="393">
        <v>-4.4061542538040177E-2</v>
      </c>
      <c r="G11" s="392">
        <v>7214221.2696000002</v>
      </c>
      <c r="H11" s="393">
        <v>0.37535827474697664</v>
      </c>
      <c r="I11" s="394">
        <v>8341964.3190000001</v>
      </c>
    </row>
    <row r="12" spans="1:9">
      <c r="A12" s="391" t="s">
        <v>532</v>
      </c>
      <c r="B12" s="382" t="s">
        <v>533</v>
      </c>
      <c r="C12" s="392">
        <v>3088259.1237300001</v>
      </c>
      <c r="D12" s="393">
        <v>5.7336201036179681E-2</v>
      </c>
      <c r="E12" s="392">
        <v>3265328.1696999995</v>
      </c>
      <c r="F12" s="393">
        <v>-3.0261261556163301E-2</v>
      </c>
      <c r="G12" s="392">
        <v>3166515.2198899998</v>
      </c>
      <c r="H12" s="393">
        <v>-2.1504709174385342E-3</v>
      </c>
      <c r="I12" s="394">
        <v>3159705.7209999999</v>
      </c>
    </row>
    <row r="13" spans="1:9">
      <c r="A13" s="391" t="s">
        <v>534</v>
      </c>
      <c r="B13" s="382" t="s">
        <v>535</v>
      </c>
      <c r="C13" s="392">
        <v>6665317.748660001</v>
      </c>
      <c r="D13" s="393">
        <v>-0.11160952736417681</v>
      </c>
      <c r="E13" s="392">
        <v>5921404.7849999992</v>
      </c>
      <c r="F13" s="393">
        <v>2.5363755387987748E-2</v>
      </c>
      <c r="G13" s="392">
        <v>6071593.8475199994</v>
      </c>
      <c r="H13" s="393">
        <v>-0.63198790809884786</v>
      </c>
      <c r="I13" s="394">
        <v>2234419.9529999997</v>
      </c>
    </row>
    <row r="14" spans="1:9">
      <c r="A14" s="391" t="s">
        <v>536</v>
      </c>
      <c r="B14" s="382" t="s">
        <v>537</v>
      </c>
      <c r="C14" s="392">
        <v>752330.27717000002</v>
      </c>
      <c r="D14" s="393">
        <v>-0.10684945111126459</v>
      </c>
      <c r="E14" s="392">
        <v>671944.2</v>
      </c>
      <c r="F14" s="393">
        <v>0.41345636713584244</v>
      </c>
      <c r="G14" s="392">
        <v>949763.80784999987</v>
      </c>
      <c r="H14" s="393">
        <v>-0.14089219524264471</v>
      </c>
      <c r="I14" s="394">
        <v>815949.5</v>
      </c>
    </row>
    <row r="15" spans="1:9">
      <c r="A15" s="391" t="s">
        <v>538</v>
      </c>
      <c r="B15" s="382" t="s">
        <v>539</v>
      </c>
      <c r="C15" s="392">
        <v>673573.47836000007</v>
      </c>
      <c r="D15" s="393">
        <v>5.9031373587943782E-2</v>
      </c>
      <c r="E15" s="392">
        <v>713335.446</v>
      </c>
      <c r="F15" s="393">
        <v>-1.527498166690021E-2</v>
      </c>
      <c r="G15" s="392">
        <v>702439.26013999991</v>
      </c>
      <c r="H15" s="393">
        <v>0.38294234836245955</v>
      </c>
      <c r="I15" s="394">
        <v>971433.00000000012</v>
      </c>
    </row>
    <row r="16" spans="1:9">
      <c r="A16" s="391" t="s">
        <v>540</v>
      </c>
      <c r="B16" s="382" t="s">
        <v>541</v>
      </c>
      <c r="C16" s="392">
        <v>658290.43705299997</v>
      </c>
      <c r="D16" s="393">
        <v>-0.34583418539721356</v>
      </c>
      <c r="E16" s="392">
        <v>430631.10000000003</v>
      </c>
      <c r="F16" s="393">
        <v>8.1968756529660639E-2</v>
      </c>
      <c r="G16" s="392">
        <v>465929.39578999998</v>
      </c>
      <c r="H16" s="393">
        <v>-0.53316961332477419</v>
      </c>
      <c r="I16" s="394">
        <v>217510</v>
      </c>
    </row>
    <row r="17" spans="1:9">
      <c r="A17" s="391" t="s">
        <v>542</v>
      </c>
      <c r="B17" s="382" t="s">
        <v>543</v>
      </c>
      <c r="C17" s="392">
        <v>660465.36075000011</v>
      </c>
      <c r="D17" s="393">
        <v>-0.5022926295078981</v>
      </c>
      <c r="E17" s="392">
        <v>328718.478</v>
      </c>
      <c r="F17" s="393">
        <v>1.651654012464733</v>
      </c>
      <c r="G17" s="392">
        <v>871647.67116000003</v>
      </c>
      <c r="H17" s="393">
        <v>-0.61887784366142085</v>
      </c>
      <c r="I17" s="394">
        <v>332204.24</v>
      </c>
    </row>
    <row r="18" spans="1:9">
      <c r="A18" s="391">
        <v>389</v>
      </c>
      <c r="B18" s="382" t="s">
        <v>7</v>
      </c>
      <c r="C18" s="392">
        <v>2361.63</v>
      </c>
      <c r="D18" s="393">
        <v>-0.70236658579032274</v>
      </c>
      <c r="E18" s="392">
        <v>702.9</v>
      </c>
      <c r="F18" s="393">
        <v>3.2540375586854462</v>
      </c>
      <c r="G18" s="392">
        <v>2990.163</v>
      </c>
      <c r="H18" s="393">
        <v>-0.84245006041476667</v>
      </c>
      <c r="I18" s="394">
        <v>471.1</v>
      </c>
    </row>
    <row r="19" spans="1:9">
      <c r="A19" s="395" t="s">
        <v>544</v>
      </c>
      <c r="B19" s="396" t="s">
        <v>545</v>
      </c>
      <c r="C19" s="397">
        <v>2445910.21667</v>
      </c>
      <c r="D19" s="393">
        <v>-3.5016824446894836E-2</v>
      </c>
      <c r="E19" s="397">
        <v>2360262.2080000001</v>
      </c>
      <c r="F19" s="393">
        <v>8.4962717498207659E-3</v>
      </c>
      <c r="G19" s="397">
        <v>2380315.6371200001</v>
      </c>
      <c r="H19" s="393">
        <v>3.0026739632932384E-2</v>
      </c>
      <c r="I19" s="398">
        <v>2451788.7549999999</v>
      </c>
    </row>
    <row r="20" spans="1:9">
      <c r="A20" s="399" t="s">
        <v>546</v>
      </c>
      <c r="B20" s="400" t="s">
        <v>547</v>
      </c>
      <c r="C20" s="401">
        <v>86008130.138189986</v>
      </c>
      <c r="D20" s="402">
        <v>-4.2753087033142161E-3</v>
      </c>
      <c r="E20" s="401">
        <v>85640418.830854401</v>
      </c>
      <c r="F20" s="402">
        <v>2.1609958238303712E-2</v>
      </c>
      <c r="G20" s="401">
        <v>87491104.705300003</v>
      </c>
      <c r="H20" s="402">
        <v>1.8642143525034006E-2</v>
      </c>
      <c r="I20" s="434">
        <v>87389450.236379966</v>
      </c>
    </row>
    <row r="21" spans="1:9">
      <c r="A21" s="403" t="s">
        <v>548</v>
      </c>
      <c r="B21" s="404" t="s">
        <v>549</v>
      </c>
      <c r="C21" s="388">
        <v>37917294.049239993</v>
      </c>
      <c r="D21" s="393">
        <v>6.8447449668486871E-4</v>
      </c>
      <c r="E21" s="388">
        <v>37943247.469999999</v>
      </c>
      <c r="F21" s="393">
        <v>1.6813236815177747E-2</v>
      </c>
      <c r="G21" s="388">
        <v>38581196.275250003</v>
      </c>
      <c r="H21" s="393">
        <v>-1.7254850182213319E-2</v>
      </c>
      <c r="I21" s="390">
        <v>37915483.513669997</v>
      </c>
    </row>
    <row r="22" spans="1:9">
      <c r="A22" s="405" t="s">
        <v>550</v>
      </c>
      <c r="B22" s="378" t="s">
        <v>551</v>
      </c>
      <c r="C22" s="392">
        <v>3621711.2045499999</v>
      </c>
      <c r="D22" s="393">
        <v>-2.6870779875473743E-2</v>
      </c>
      <c r="E22" s="392">
        <v>3524393</v>
      </c>
      <c r="F22" s="393">
        <v>5.9718516479291578E-2</v>
      </c>
      <c r="G22" s="392">
        <v>3734864.5214499999</v>
      </c>
      <c r="H22" s="393">
        <v>0.22404640750533378</v>
      </c>
      <c r="I22" s="394">
        <v>4571647.5</v>
      </c>
    </row>
    <row r="23" spans="1:9">
      <c r="A23" s="405" t="s">
        <v>552</v>
      </c>
      <c r="B23" s="378" t="s">
        <v>553</v>
      </c>
      <c r="C23" s="392">
        <v>3349708.5061800005</v>
      </c>
      <c r="D23" s="393">
        <v>-8.0730103434698317E-2</v>
      </c>
      <c r="E23" s="392">
        <v>3079286.1920000003</v>
      </c>
      <c r="F23" s="393">
        <v>5.9476501832084118E-2</v>
      </c>
      <c r="G23" s="392">
        <v>3262431.3628399996</v>
      </c>
      <c r="H23" s="393">
        <v>-0.16134047840374871</v>
      </c>
      <c r="I23" s="394">
        <v>2736069.1260000002</v>
      </c>
    </row>
    <row r="24" spans="1:9">
      <c r="A24" s="405" t="s">
        <v>554</v>
      </c>
      <c r="B24" s="378" t="s">
        <v>555</v>
      </c>
      <c r="C24" s="392">
        <v>9374698.3529000003</v>
      </c>
      <c r="D24" s="393">
        <v>6.3507320085218321E-3</v>
      </c>
      <c r="E24" s="392">
        <v>9434234.5497999992</v>
      </c>
      <c r="F24" s="393">
        <v>7.3338080341098552E-2</v>
      </c>
      <c r="G24" s="392">
        <v>10126123.201169999</v>
      </c>
      <c r="H24" s="393">
        <v>-8.2701000228126501E-2</v>
      </c>
      <c r="I24" s="394">
        <v>9279128.3430000022</v>
      </c>
    </row>
    <row r="25" spans="1:9">
      <c r="A25" s="405" t="s">
        <v>556</v>
      </c>
      <c r="B25" s="378" t="s">
        <v>557</v>
      </c>
      <c r="C25" s="392">
        <v>27319443.70809</v>
      </c>
      <c r="D25" s="393">
        <v>6.1447946079624611E-3</v>
      </c>
      <c r="E25" s="392">
        <v>27487316.078480005</v>
      </c>
      <c r="F25" s="393">
        <v>1.7318858624131021E-2</v>
      </c>
      <c r="G25" s="392">
        <v>27963365.019600004</v>
      </c>
      <c r="H25" s="393">
        <v>6.2429330604395539E-2</v>
      </c>
      <c r="I25" s="394">
        <v>28129119.579220004</v>
      </c>
    </row>
    <row r="26" spans="1:9">
      <c r="A26" s="406" t="s">
        <v>558</v>
      </c>
      <c r="B26" s="378" t="s">
        <v>559</v>
      </c>
      <c r="C26" s="392">
        <v>1035607.31119</v>
      </c>
      <c r="D26" s="393">
        <v>2.3752152262941115E-2</v>
      </c>
      <c r="E26" s="392">
        <v>1060205.21373</v>
      </c>
      <c r="F26" s="393">
        <v>-0.1951723713110286</v>
      </c>
      <c r="G26" s="392">
        <v>853282.44808999996</v>
      </c>
      <c r="H26" s="393">
        <v>-0.10523234398058216</v>
      </c>
      <c r="I26" s="394">
        <v>773489.53599999985</v>
      </c>
    </row>
    <row r="27" spans="1:9">
      <c r="A27" s="407">
        <v>489</v>
      </c>
      <c r="B27" s="378" t="s">
        <v>18</v>
      </c>
      <c r="C27" s="392">
        <v>163083.06443</v>
      </c>
      <c r="D27" s="393">
        <v>-0.14250057405546881</v>
      </c>
      <c r="E27" s="392">
        <v>139843.63412999999</v>
      </c>
      <c r="F27" s="393">
        <v>-0.15760563051094093</v>
      </c>
      <c r="G27" s="392">
        <v>117803.49</v>
      </c>
      <c r="H27" s="393">
        <v>0.12201832899857197</v>
      </c>
      <c r="I27" s="394">
        <v>132177.67499999999</v>
      </c>
    </row>
    <row r="28" spans="1:9">
      <c r="A28" s="408" t="s">
        <v>560</v>
      </c>
      <c r="B28" s="409" t="s">
        <v>561</v>
      </c>
      <c r="C28" s="397">
        <v>2445909.2116700001</v>
      </c>
      <c r="D28" s="393">
        <v>-3.5282242553507835E-2</v>
      </c>
      <c r="E28" s="397">
        <v>2359612.0496</v>
      </c>
      <c r="F28" s="393">
        <v>8.7741489214338084E-3</v>
      </c>
      <c r="G28" s="397">
        <v>2380315.6371200001</v>
      </c>
      <c r="H28" s="393">
        <v>3.0310609548948115E-2</v>
      </c>
      <c r="I28" s="398">
        <v>2452464.4550000001</v>
      </c>
    </row>
    <row r="29" spans="1:9">
      <c r="A29" s="410" t="s">
        <v>562</v>
      </c>
      <c r="B29" s="411" t="s">
        <v>563</v>
      </c>
      <c r="C29" s="401">
        <v>85227455.408250004</v>
      </c>
      <c r="D29" s="413">
        <v>-2.33865037452118E-3</v>
      </c>
      <c r="E29" s="401">
        <v>85028138.187740013</v>
      </c>
      <c r="F29" s="413">
        <v>2.3418644818299729E-2</v>
      </c>
      <c r="G29" s="401">
        <v>87019381.955520004</v>
      </c>
      <c r="H29" s="412">
        <v>6.31734794038173E-3</v>
      </c>
      <c r="I29" s="434">
        <v>85989579.72789</v>
      </c>
    </row>
    <row r="30" spans="1:9">
      <c r="A30" s="414" t="s">
        <v>564</v>
      </c>
      <c r="B30" s="415" t="s">
        <v>565</v>
      </c>
      <c r="C30" s="416">
        <v>-780674.7299399972</v>
      </c>
      <c r="D30" s="418"/>
      <c r="E30" s="416">
        <v>-612280.64311440487</v>
      </c>
      <c r="F30" s="418"/>
      <c r="G30" s="416">
        <v>-471722.74978000601</v>
      </c>
      <c r="H30" s="417"/>
      <c r="I30" s="435">
        <v>-1399870.5084900004</v>
      </c>
    </row>
    <row r="31" spans="1:9">
      <c r="A31" s="419"/>
      <c r="B31" s="404" t="s">
        <v>566</v>
      </c>
      <c r="C31" s="420"/>
      <c r="D31" s="384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4750252.1455399999</v>
      </c>
      <c r="D32" s="393">
        <v>-1.8069858771728173E-3</v>
      </c>
      <c r="E32" s="392">
        <v>4741668.5069999993</v>
      </c>
      <c r="F32" s="393">
        <v>-7.7151686732199326E-2</v>
      </c>
      <c r="G32" s="392">
        <v>4375840.78376</v>
      </c>
      <c r="H32" s="393">
        <v>1.1503236686950066E-2</v>
      </c>
      <c r="I32" s="394">
        <v>4426177.1160000004</v>
      </c>
    </row>
    <row r="33" spans="1:9">
      <c r="A33" s="406" t="s">
        <v>569</v>
      </c>
      <c r="B33" s="378" t="s">
        <v>570</v>
      </c>
      <c r="C33" s="392">
        <v>701371.21305000002</v>
      </c>
      <c r="D33" s="393">
        <v>-0.16015044666795078</v>
      </c>
      <c r="E33" s="392">
        <v>589046.30000000005</v>
      </c>
      <c r="F33" s="393">
        <v>-7.4802255272631698E-3</v>
      </c>
      <c r="G33" s="392">
        <v>584640.10083000013</v>
      </c>
      <c r="H33" s="393">
        <v>0.28059262260167922</v>
      </c>
      <c r="I33" s="394">
        <v>748685.8</v>
      </c>
    </row>
    <row r="34" spans="1:9">
      <c r="A34" s="405" t="s">
        <v>571</v>
      </c>
      <c r="B34" s="378" t="s">
        <v>572</v>
      </c>
      <c r="C34" s="392">
        <v>1677996.9106899998</v>
      </c>
      <c r="D34" s="393">
        <v>9.5789959377162989E-2</v>
      </c>
      <c r="E34" s="392">
        <v>1838732.1665999999</v>
      </c>
      <c r="F34" s="393">
        <v>-9.0920271677809888E-2</v>
      </c>
      <c r="G34" s="392">
        <v>1671554.1384699999</v>
      </c>
      <c r="H34" s="393">
        <v>8.1293628727083275E-2</v>
      </c>
      <c r="I34" s="394">
        <v>1803408.8399999996</v>
      </c>
    </row>
    <row r="35" spans="1:9">
      <c r="A35" s="410" t="s">
        <v>573</v>
      </c>
      <c r="B35" s="411" t="s">
        <v>574</v>
      </c>
      <c r="C35" s="401">
        <v>7129620.2692800006</v>
      </c>
      <c r="D35" s="412">
        <v>5.5860905371923177E-3</v>
      </c>
      <c r="E35" s="401">
        <v>7169446.9736000001</v>
      </c>
      <c r="F35" s="412">
        <v>-7.4958633841481437E-2</v>
      </c>
      <c r="G35" s="401">
        <v>6632035.0230600005</v>
      </c>
      <c r="H35" s="412">
        <v>5.2814668758849159E-2</v>
      </c>
      <c r="I35" s="434">
        <v>6978271.756000001</v>
      </c>
    </row>
    <row r="36" spans="1:9">
      <c r="A36" s="405" t="s">
        <v>575</v>
      </c>
      <c r="B36" s="378" t="s">
        <v>576</v>
      </c>
      <c r="C36" s="392">
        <v>123242.19094</v>
      </c>
      <c r="D36" s="393">
        <v>-3.0955234655454293E-2</v>
      </c>
      <c r="E36" s="392">
        <v>119427.2</v>
      </c>
      <c r="F36" s="393">
        <v>1.6446632084650732</v>
      </c>
      <c r="G36" s="392">
        <v>315844.72193</v>
      </c>
      <c r="H36" s="393">
        <v>-0.80908498444573007</v>
      </c>
      <c r="I36" s="394">
        <v>60299.5</v>
      </c>
    </row>
    <row r="37" spans="1:9">
      <c r="A37" s="405" t="s">
        <v>577</v>
      </c>
      <c r="B37" s="378" t="s">
        <v>578</v>
      </c>
      <c r="C37" s="392">
        <v>2247718.88271</v>
      </c>
      <c r="D37" s="393">
        <v>-6.0274020809335915E-2</v>
      </c>
      <c r="E37" s="392">
        <v>2112239.8280000002</v>
      </c>
      <c r="F37" s="393">
        <v>7.814417501363384E-2</v>
      </c>
      <c r="G37" s="392">
        <v>2277299.0667900001</v>
      </c>
      <c r="H37" s="393">
        <v>-0.15352564223495585</v>
      </c>
      <c r="I37" s="394">
        <v>1923643.2649999997</v>
      </c>
    </row>
    <row r="38" spans="1:9">
      <c r="A38" s="410" t="s">
        <v>579</v>
      </c>
      <c r="B38" s="411" t="s">
        <v>580</v>
      </c>
      <c r="C38" s="401">
        <v>2357406.0636499999</v>
      </c>
      <c r="D38" s="412">
        <v>-5.6098750948845671E-2</v>
      </c>
      <c r="E38" s="401">
        <v>2225158.5279999999</v>
      </c>
      <c r="F38" s="412">
        <v>0.16537485131486312</v>
      </c>
      <c r="G38" s="401">
        <v>2593143.7887199996</v>
      </c>
      <c r="H38" s="412">
        <v>-0.23337272169497283</v>
      </c>
      <c r="I38" s="434">
        <v>1983942.7649999997</v>
      </c>
    </row>
    <row r="39" spans="1:9">
      <c r="A39" s="423" t="s">
        <v>581</v>
      </c>
      <c r="B39" s="424" t="s">
        <v>145</v>
      </c>
      <c r="C39" s="425">
        <v>4772214.2056299997</v>
      </c>
      <c r="D39" s="426">
        <v>3.6057526455328781E-2</v>
      </c>
      <c r="E39" s="425">
        <v>4944288.4455999993</v>
      </c>
      <c r="F39" s="426">
        <v>-0.18311982021714898</v>
      </c>
      <c r="G39" s="425">
        <v>4038891.2343400004</v>
      </c>
      <c r="H39" s="426">
        <v>0.23655941723227145</v>
      </c>
      <c r="I39" s="436">
        <v>4994328.9910000004</v>
      </c>
    </row>
    <row r="40" spans="1:9">
      <c r="A40" s="377" t="s">
        <v>582</v>
      </c>
      <c r="B40" s="378" t="s">
        <v>153</v>
      </c>
      <c r="C40" s="392">
        <v>3728340.501490003</v>
      </c>
      <c r="D40" s="393">
        <v>-0.15712407391446473</v>
      </c>
      <c r="E40" s="392">
        <v>3142528.4529555952</v>
      </c>
      <c r="F40" s="393">
        <v>4.9349605117669386E-2</v>
      </c>
      <c r="G40" s="392">
        <v>3297610.9911799943</v>
      </c>
      <c r="H40" s="393">
        <v>-0.39034229559909139</v>
      </c>
      <c r="I40" s="394">
        <v>2012172.5058900001</v>
      </c>
    </row>
    <row r="41" spans="1:9">
      <c r="A41" s="377" t="s">
        <v>582</v>
      </c>
      <c r="B41" s="378" t="s">
        <v>583</v>
      </c>
      <c r="C41" s="392">
        <v>-1043873.7041399969</v>
      </c>
      <c r="D41" s="393">
        <v>0.72603255115885723</v>
      </c>
      <c r="E41" s="392">
        <v>-1801759.992644405</v>
      </c>
      <c r="F41" s="393">
        <v>-0.5885799184207412</v>
      </c>
      <c r="G41" s="392">
        <v>-741280.24316000589</v>
      </c>
      <c r="H41" s="393">
        <v>3.0253535307913491</v>
      </c>
      <c r="I41" s="394">
        <v>-2982156.4851099998</v>
      </c>
    </row>
    <row r="42" spans="1:9">
      <c r="A42" s="427" t="s">
        <v>582</v>
      </c>
      <c r="B42" s="409" t="s">
        <v>584</v>
      </c>
      <c r="C42" s="397">
        <v>84582777.550929993</v>
      </c>
      <c r="D42" s="428">
        <v>7.3782757719042871E-3</v>
      </c>
      <c r="E42" s="397">
        <v>85206852.60925439</v>
      </c>
      <c r="F42" s="428">
        <v>2.9868548108765778E-3</v>
      </c>
      <c r="G42" s="397">
        <v>85461353.106889993</v>
      </c>
      <c r="H42" s="428">
        <v>4.6774216248487301E-2</v>
      </c>
      <c r="I42" s="398">
        <v>87873416.417999998</v>
      </c>
    </row>
    <row r="43" spans="1:9">
      <c r="A43" s="427"/>
      <c r="B43" s="409" t="s">
        <v>585</v>
      </c>
      <c r="C43" s="602">
        <v>0.78126009035627719</v>
      </c>
      <c r="D43" s="430"/>
      <c r="E43" s="429">
        <v>0.63558760528063063</v>
      </c>
      <c r="F43" s="430"/>
      <c r="G43" s="429">
        <v>0.81646442051784063</v>
      </c>
      <c r="H43" s="430"/>
      <c r="I43" s="437">
        <v>0.40289146139872306</v>
      </c>
    </row>
    <row r="44" spans="1:9">
      <c r="A44" s="371" t="s">
        <v>715</v>
      </c>
      <c r="B44" s="378"/>
      <c r="D44" s="603"/>
      <c r="F44" s="603"/>
      <c r="H44" s="603"/>
      <c r="I44" s="378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Header xml:space="preserve">&amp;LFachgruppe für kantonale Finanzfragen (FkF)
Groupe d'études pour les finances cantonales
&amp;CRechnung 2012 - Budget 2014
Compte 2012 - Budget 2014&amp;RZürich, &amp;D
</oddHeader>
    <oddFooter>&amp;LQuelle/Source: FkF Mai 2014&amp;RBlatt 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view="pageLayout" zoomScaleNormal="100" workbookViewId="0">
      <selection activeCell="J8" sqref="J8"/>
    </sheetView>
  </sheetViews>
  <sheetFormatPr baseColWidth="10" defaultRowHeight="13"/>
  <sheetData>
    <row r="1" spans="1:9">
      <c r="A1" s="372" t="s">
        <v>513</v>
      </c>
      <c r="B1" s="373" t="s">
        <v>510</v>
      </c>
      <c r="C1" s="374" t="s">
        <v>37</v>
      </c>
      <c r="D1" s="375" t="s">
        <v>514</v>
      </c>
      <c r="E1" s="374" t="s">
        <v>515</v>
      </c>
      <c r="F1" s="375" t="s">
        <v>514</v>
      </c>
      <c r="G1" s="374" t="s">
        <v>37</v>
      </c>
      <c r="H1" s="375" t="s">
        <v>514</v>
      </c>
      <c r="I1" s="376" t="s">
        <v>2</v>
      </c>
    </row>
    <row r="2" spans="1:9">
      <c r="A2" s="377"/>
      <c r="B2" s="378"/>
      <c r="C2" s="379">
        <v>2012</v>
      </c>
      <c r="D2" s="380" t="s">
        <v>516</v>
      </c>
      <c r="E2" s="379">
        <v>2013</v>
      </c>
      <c r="F2" s="380" t="s">
        <v>516</v>
      </c>
      <c r="G2" s="379">
        <v>2013</v>
      </c>
      <c r="H2" s="380" t="s">
        <v>516</v>
      </c>
      <c r="I2" s="381">
        <v>2014</v>
      </c>
    </row>
    <row r="3" spans="1:9">
      <c r="A3" s="377"/>
      <c r="B3" s="382" t="s">
        <v>517</v>
      </c>
      <c r="C3" s="383"/>
      <c r="D3" s="384"/>
      <c r="E3" s="385" t="s">
        <v>470</v>
      </c>
      <c r="F3" s="384"/>
      <c r="G3" s="385"/>
      <c r="H3" s="384"/>
      <c r="I3" s="386"/>
    </row>
    <row r="4" spans="1:9">
      <c r="A4" s="372" t="s">
        <v>518</v>
      </c>
      <c r="B4" s="387" t="s">
        <v>1</v>
      </c>
      <c r="C4" s="388">
        <v>209232</v>
      </c>
      <c r="D4" s="389">
        <v>5.8069511355815555E-2</v>
      </c>
      <c r="E4" s="388">
        <v>221382</v>
      </c>
      <c r="F4" s="389">
        <v>-2.6311985617620222E-2</v>
      </c>
      <c r="G4" s="388">
        <v>215557</v>
      </c>
      <c r="H4" s="389">
        <v>2.5116326540079885E-2</v>
      </c>
      <c r="I4" s="390">
        <v>220971</v>
      </c>
    </row>
    <row r="5" spans="1:9">
      <c r="A5" s="391" t="s">
        <v>519</v>
      </c>
      <c r="B5" s="382" t="s">
        <v>520</v>
      </c>
      <c r="C5" s="392">
        <v>83257</v>
      </c>
      <c r="D5" s="393">
        <v>5.5815126656016914E-2</v>
      </c>
      <c r="E5" s="392">
        <v>87904</v>
      </c>
      <c r="F5" s="393">
        <v>-6.7835365853658541E-2</v>
      </c>
      <c r="G5" s="392">
        <v>81941</v>
      </c>
      <c r="H5" s="393">
        <v>9.5556558987564225E-2</v>
      </c>
      <c r="I5" s="394">
        <v>89771</v>
      </c>
    </row>
    <row r="6" spans="1:9">
      <c r="A6" s="391" t="s">
        <v>229</v>
      </c>
      <c r="B6" s="382" t="s">
        <v>521</v>
      </c>
      <c r="C6" s="392">
        <v>20064</v>
      </c>
      <c r="D6" s="393">
        <v>-6.0954944178628387E-2</v>
      </c>
      <c r="E6" s="392">
        <v>18841</v>
      </c>
      <c r="F6" s="393">
        <v>-2.6325566583514676E-2</v>
      </c>
      <c r="G6" s="392">
        <v>18345</v>
      </c>
      <c r="H6" s="393">
        <v>0.19422185881711637</v>
      </c>
      <c r="I6" s="394">
        <v>21908</v>
      </c>
    </row>
    <row r="7" spans="1:9">
      <c r="A7" s="391" t="s">
        <v>522</v>
      </c>
      <c r="B7" s="382" t="s">
        <v>523</v>
      </c>
      <c r="C7" s="392">
        <v>5105</v>
      </c>
      <c r="D7" s="393">
        <v>0.13614103819784526</v>
      </c>
      <c r="E7" s="392">
        <v>5800</v>
      </c>
      <c r="F7" s="393">
        <v>-0.10741379310344827</v>
      </c>
      <c r="G7" s="392">
        <v>5177</v>
      </c>
      <c r="H7" s="393">
        <v>1.1010237589337455E-2</v>
      </c>
      <c r="I7" s="394">
        <v>5234</v>
      </c>
    </row>
    <row r="8" spans="1:9">
      <c r="A8" s="391" t="s">
        <v>524</v>
      </c>
      <c r="B8" s="382" t="s">
        <v>525</v>
      </c>
      <c r="C8" s="392">
        <v>0</v>
      </c>
      <c r="D8" s="393" t="s">
        <v>586</v>
      </c>
      <c r="E8" s="392">
        <v>0</v>
      </c>
      <c r="F8" s="393" t="s">
        <v>586</v>
      </c>
      <c r="G8" s="392">
        <v>0</v>
      </c>
      <c r="H8" s="393" t="s">
        <v>586</v>
      </c>
      <c r="I8" s="394">
        <v>0</v>
      </c>
    </row>
    <row r="9" spans="1:9">
      <c r="A9" s="391" t="s">
        <v>526</v>
      </c>
      <c r="B9" s="382" t="s">
        <v>527</v>
      </c>
      <c r="C9" s="392">
        <v>72708</v>
      </c>
      <c r="D9" s="393">
        <v>7.8327006656764037E-2</v>
      </c>
      <c r="E9" s="392">
        <v>78403</v>
      </c>
      <c r="F9" s="393">
        <v>-1.5139726796168514E-2</v>
      </c>
      <c r="G9" s="392">
        <v>77216</v>
      </c>
      <c r="H9" s="393">
        <v>-2.9916079569001245E-3</v>
      </c>
      <c r="I9" s="394">
        <v>76985</v>
      </c>
    </row>
    <row r="10" spans="1:9">
      <c r="A10" s="391" t="s">
        <v>528</v>
      </c>
      <c r="B10" s="382" t="s">
        <v>529</v>
      </c>
      <c r="C10" s="392">
        <v>812636</v>
      </c>
      <c r="D10" s="393">
        <v>2.8349716232113763E-2</v>
      </c>
      <c r="E10" s="392">
        <v>835674</v>
      </c>
      <c r="F10" s="393">
        <v>6.6042499826487362E-3</v>
      </c>
      <c r="G10" s="392">
        <v>841193</v>
      </c>
      <c r="H10" s="393">
        <v>2.6827374930604511E-2</v>
      </c>
      <c r="I10" s="394">
        <v>863760</v>
      </c>
    </row>
    <row r="11" spans="1:9">
      <c r="A11" s="391" t="s">
        <v>530</v>
      </c>
      <c r="B11" s="382" t="s">
        <v>531</v>
      </c>
      <c r="C11" s="392">
        <v>1784</v>
      </c>
      <c r="D11" s="393">
        <v>1.7735426008968609</v>
      </c>
      <c r="E11" s="392">
        <v>4948</v>
      </c>
      <c r="F11" s="393">
        <v>-0.10873080032336298</v>
      </c>
      <c r="G11" s="392">
        <v>4410</v>
      </c>
      <c r="H11" s="393">
        <v>1.1086167800453515</v>
      </c>
      <c r="I11" s="394">
        <v>9299</v>
      </c>
    </row>
    <row r="12" spans="1:9">
      <c r="A12" s="391" t="s">
        <v>532</v>
      </c>
      <c r="B12" s="382" t="s">
        <v>533</v>
      </c>
      <c r="C12" s="392">
        <v>34405</v>
      </c>
      <c r="D12" s="393">
        <v>0.20494114227583199</v>
      </c>
      <c r="E12" s="392">
        <v>41456</v>
      </c>
      <c r="F12" s="393">
        <v>-0.1604351601698186</v>
      </c>
      <c r="G12" s="392">
        <v>34805</v>
      </c>
      <c r="H12" s="393">
        <v>9.3262462289900872E-2</v>
      </c>
      <c r="I12" s="394">
        <v>38051</v>
      </c>
    </row>
    <row r="13" spans="1:9">
      <c r="A13" s="391" t="s">
        <v>534</v>
      </c>
      <c r="B13" s="382" t="s">
        <v>535</v>
      </c>
      <c r="C13" s="392">
        <v>198534</v>
      </c>
      <c r="D13" s="393">
        <v>-1.6218884422819265E-2</v>
      </c>
      <c r="E13" s="392">
        <v>195314</v>
      </c>
      <c r="F13" s="393">
        <v>3.9480016793471025E-2</v>
      </c>
      <c r="G13" s="392">
        <v>203025</v>
      </c>
      <c r="H13" s="393">
        <v>1.8475557197389483E-2</v>
      </c>
      <c r="I13" s="394">
        <v>206776</v>
      </c>
    </row>
    <row r="14" spans="1:9">
      <c r="A14" s="391" t="s">
        <v>536</v>
      </c>
      <c r="B14" s="382" t="s">
        <v>537</v>
      </c>
      <c r="C14" s="392">
        <v>0</v>
      </c>
      <c r="D14" s="393" t="s">
        <v>586</v>
      </c>
      <c r="E14" s="392">
        <v>0</v>
      </c>
      <c r="F14" s="393" t="s">
        <v>586</v>
      </c>
      <c r="G14" s="392">
        <v>0</v>
      </c>
      <c r="H14" s="393" t="s">
        <v>586</v>
      </c>
      <c r="I14" s="394">
        <v>0</v>
      </c>
    </row>
    <row r="15" spans="1:9">
      <c r="A15" s="391" t="s">
        <v>538</v>
      </c>
      <c r="B15" s="382" t="s">
        <v>539</v>
      </c>
      <c r="C15" s="392">
        <v>0</v>
      </c>
      <c r="D15" s="393" t="s">
        <v>586</v>
      </c>
      <c r="E15" s="392">
        <v>0</v>
      </c>
      <c r="F15" s="393" t="s">
        <v>586</v>
      </c>
      <c r="G15" s="392">
        <v>0</v>
      </c>
      <c r="H15" s="393" t="s">
        <v>586</v>
      </c>
      <c r="I15" s="394">
        <v>0</v>
      </c>
    </row>
    <row r="16" spans="1:9">
      <c r="A16" s="391" t="s">
        <v>540</v>
      </c>
      <c r="B16" s="382" t="s">
        <v>541</v>
      </c>
      <c r="C16" s="392">
        <v>80369</v>
      </c>
      <c r="D16" s="393">
        <v>5.1636825144023195E-3</v>
      </c>
      <c r="E16" s="392">
        <v>80784</v>
      </c>
      <c r="F16" s="393">
        <v>-1.7094969300851654E-2</v>
      </c>
      <c r="G16" s="392">
        <v>79403</v>
      </c>
      <c r="H16" s="393">
        <v>-1.5528380539778093E-2</v>
      </c>
      <c r="I16" s="394">
        <v>78170</v>
      </c>
    </row>
    <row r="17" spans="1:9">
      <c r="A17" s="391" t="s">
        <v>542</v>
      </c>
      <c r="B17" s="382" t="s">
        <v>543</v>
      </c>
      <c r="C17" s="392">
        <v>4934</v>
      </c>
      <c r="D17" s="393">
        <v>-0.85407377381434946</v>
      </c>
      <c r="E17" s="392">
        <v>720</v>
      </c>
      <c r="F17" s="393">
        <v>14.251388888888888</v>
      </c>
      <c r="G17" s="392">
        <v>10981</v>
      </c>
      <c r="H17" s="393">
        <v>-0.92714689008287043</v>
      </c>
      <c r="I17" s="394">
        <v>800</v>
      </c>
    </row>
    <row r="18" spans="1:9">
      <c r="A18" s="391">
        <v>389</v>
      </c>
      <c r="B18" s="382" t="s">
        <v>7</v>
      </c>
      <c r="C18" s="392">
        <v>0</v>
      </c>
      <c r="D18" s="393" t="s">
        <v>586</v>
      </c>
      <c r="E18" s="392">
        <v>0</v>
      </c>
      <c r="F18" s="393" t="s">
        <v>586</v>
      </c>
      <c r="G18" s="392">
        <v>0</v>
      </c>
      <c r="H18" s="393" t="s">
        <v>586</v>
      </c>
      <c r="I18" s="394">
        <v>0</v>
      </c>
    </row>
    <row r="19" spans="1:9">
      <c r="A19" s="395" t="s">
        <v>544</v>
      </c>
      <c r="B19" s="396" t="s">
        <v>545</v>
      </c>
      <c r="C19" s="397">
        <v>96750</v>
      </c>
      <c r="D19" s="393">
        <v>-1.2206718346253229E-2</v>
      </c>
      <c r="E19" s="397">
        <v>95569</v>
      </c>
      <c r="F19" s="393">
        <v>0.12783433958710461</v>
      </c>
      <c r="G19" s="397">
        <v>107786</v>
      </c>
      <c r="H19" s="393">
        <v>-2.4465143896238845E-2</v>
      </c>
      <c r="I19" s="398">
        <v>105149</v>
      </c>
    </row>
    <row r="20" spans="1:9">
      <c r="A20" s="399" t="s">
        <v>546</v>
      </c>
      <c r="B20" s="400" t="s">
        <v>547</v>
      </c>
      <c r="C20" s="401">
        <v>1284622</v>
      </c>
      <c r="D20" s="402">
        <v>3.1783668658951818E-2</v>
      </c>
      <c r="E20" s="401">
        <v>1325452</v>
      </c>
      <c r="F20" s="402">
        <v>1.0863463935321687E-2</v>
      </c>
      <c r="G20" s="401">
        <v>1339851</v>
      </c>
      <c r="H20" s="402">
        <v>1.703099822293673E-2</v>
      </c>
      <c r="I20" s="401">
        <v>1362670</v>
      </c>
    </row>
    <row r="21" spans="1:9">
      <c r="A21" s="403" t="s">
        <v>548</v>
      </c>
      <c r="B21" s="404" t="s">
        <v>549</v>
      </c>
      <c r="C21" s="388">
        <v>480330</v>
      </c>
      <c r="D21" s="393">
        <v>3.7688672371078216E-2</v>
      </c>
      <c r="E21" s="388">
        <v>498433</v>
      </c>
      <c r="F21" s="393">
        <v>-3.676923478180618E-2</v>
      </c>
      <c r="G21" s="388">
        <v>480106</v>
      </c>
      <c r="H21" s="393">
        <v>9.3129433916676732E-2</v>
      </c>
      <c r="I21" s="390">
        <v>524818</v>
      </c>
    </row>
    <row r="22" spans="1:9">
      <c r="A22" s="405" t="s">
        <v>550</v>
      </c>
      <c r="B22" s="378" t="s">
        <v>551</v>
      </c>
      <c r="C22" s="392">
        <v>48738</v>
      </c>
      <c r="D22" s="393">
        <v>1.4608724198777135E-2</v>
      </c>
      <c r="E22" s="392">
        <v>49450</v>
      </c>
      <c r="F22" s="393">
        <v>2.2851365015166835E-2</v>
      </c>
      <c r="G22" s="392">
        <v>50580</v>
      </c>
      <c r="H22" s="393">
        <v>3.1633056544088572E-2</v>
      </c>
      <c r="I22" s="394">
        <v>52180</v>
      </c>
    </row>
    <row r="23" spans="1:9">
      <c r="A23" s="405" t="s">
        <v>552</v>
      </c>
      <c r="B23" s="378" t="s">
        <v>553</v>
      </c>
      <c r="C23" s="392">
        <v>60277</v>
      </c>
      <c r="D23" s="393">
        <v>-1.6490535361746602E-2</v>
      </c>
      <c r="E23" s="392">
        <v>59283</v>
      </c>
      <c r="F23" s="393">
        <v>-1.1942715449622995E-2</v>
      </c>
      <c r="G23" s="392">
        <v>58575</v>
      </c>
      <c r="H23" s="393">
        <v>-0.13119931711481006</v>
      </c>
      <c r="I23" s="394">
        <v>50890</v>
      </c>
    </row>
    <row r="24" spans="1:9">
      <c r="A24" s="405" t="s">
        <v>554</v>
      </c>
      <c r="B24" s="378" t="s">
        <v>555</v>
      </c>
      <c r="C24" s="392">
        <v>71767</v>
      </c>
      <c r="D24" s="393">
        <v>-2.718519653879917E-2</v>
      </c>
      <c r="E24" s="392">
        <v>69816</v>
      </c>
      <c r="F24" s="393">
        <v>2.2358771628280049E-2</v>
      </c>
      <c r="G24" s="392">
        <v>71377</v>
      </c>
      <c r="H24" s="393">
        <v>3.4913207335696375E-2</v>
      </c>
      <c r="I24" s="394">
        <v>73869</v>
      </c>
    </row>
    <row r="25" spans="1:9">
      <c r="A25" s="405" t="s">
        <v>556</v>
      </c>
      <c r="B25" s="378" t="s">
        <v>557</v>
      </c>
      <c r="C25" s="392">
        <v>431820</v>
      </c>
      <c r="D25" s="393">
        <v>4.7262748367375297E-2</v>
      </c>
      <c r="E25" s="392">
        <v>452229</v>
      </c>
      <c r="F25" s="393">
        <v>-4.7471524382558396E-2</v>
      </c>
      <c r="G25" s="392">
        <v>430761</v>
      </c>
      <c r="H25" s="393">
        <v>5.1720095366107888E-2</v>
      </c>
      <c r="I25" s="394">
        <v>453040</v>
      </c>
    </row>
    <row r="26" spans="1:9">
      <c r="A26" s="406" t="s">
        <v>558</v>
      </c>
      <c r="B26" s="378" t="s">
        <v>559</v>
      </c>
      <c r="C26" s="392">
        <v>120</v>
      </c>
      <c r="D26" s="393">
        <v>-0.96666666666666667</v>
      </c>
      <c r="E26" s="392">
        <v>4</v>
      </c>
      <c r="F26" s="393">
        <v>0</v>
      </c>
      <c r="G26" s="392">
        <v>4</v>
      </c>
      <c r="H26" s="393">
        <v>1479.75</v>
      </c>
      <c r="I26" s="394">
        <v>5923</v>
      </c>
    </row>
    <row r="27" spans="1:9">
      <c r="A27" s="407">
        <v>489</v>
      </c>
      <c r="B27" s="378" t="s">
        <v>18</v>
      </c>
      <c r="C27" s="392">
        <v>0</v>
      </c>
      <c r="D27" s="393" t="s">
        <v>586</v>
      </c>
      <c r="E27" s="392">
        <v>0</v>
      </c>
      <c r="F27" s="393" t="s">
        <v>586</v>
      </c>
      <c r="G27" s="392">
        <v>0</v>
      </c>
      <c r="H27" s="393" t="s">
        <v>586</v>
      </c>
      <c r="I27" s="394">
        <v>0</v>
      </c>
    </row>
    <row r="28" spans="1:9">
      <c r="A28" s="408" t="s">
        <v>560</v>
      </c>
      <c r="B28" s="409" t="s">
        <v>561</v>
      </c>
      <c r="C28" s="397">
        <v>96750</v>
      </c>
      <c r="D28" s="393">
        <v>-1.2206718346253229E-2</v>
      </c>
      <c r="E28" s="397">
        <v>95569</v>
      </c>
      <c r="F28" s="393">
        <v>0.12783433958710461</v>
      </c>
      <c r="G28" s="397">
        <v>107786</v>
      </c>
      <c r="H28" s="393">
        <v>-2.4465143896238845E-2</v>
      </c>
      <c r="I28" s="398">
        <v>105149</v>
      </c>
    </row>
    <row r="29" spans="1:9">
      <c r="A29" s="410" t="s">
        <v>562</v>
      </c>
      <c r="B29" s="411" t="s">
        <v>563</v>
      </c>
      <c r="C29" s="401">
        <v>1189802</v>
      </c>
      <c r="D29" s="412">
        <v>2.9401530674851781E-2</v>
      </c>
      <c r="E29" s="401">
        <v>1224784</v>
      </c>
      <c r="F29" s="413">
        <v>-2.0897562345687078E-2</v>
      </c>
      <c r="G29" s="401">
        <v>1199189</v>
      </c>
      <c r="H29" s="412">
        <v>5.5604245869500135E-2</v>
      </c>
      <c r="I29" s="401">
        <v>1265869</v>
      </c>
    </row>
    <row r="30" spans="1:9">
      <c r="A30" s="414" t="s">
        <v>564</v>
      </c>
      <c r="B30" s="415" t="s">
        <v>565</v>
      </c>
      <c r="C30" s="416">
        <v>-94820</v>
      </c>
      <c r="D30" s="417"/>
      <c r="E30" s="416">
        <v>-100668</v>
      </c>
      <c r="F30" s="418"/>
      <c r="G30" s="416">
        <v>-140662</v>
      </c>
      <c r="H30" s="417"/>
      <c r="I30" s="416">
        <v>-96801</v>
      </c>
    </row>
    <row r="31" spans="1:9">
      <c r="A31" s="419"/>
      <c r="B31" s="404" t="s">
        <v>566</v>
      </c>
      <c r="C31" s="420"/>
      <c r="D31" s="421"/>
      <c r="E31" s="420"/>
      <c r="F31" s="384"/>
      <c r="G31" s="420"/>
      <c r="H31" s="421"/>
      <c r="I31" s="422"/>
    </row>
    <row r="32" spans="1:9">
      <c r="A32" s="406" t="s">
        <v>567</v>
      </c>
      <c r="B32" s="378" t="s">
        <v>568</v>
      </c>
      <c r="C32" s="392">
        <v>57436</v>
      </c>
      <c r="D32" s="393">
        <v>0.31213872832369943</v>
      </c>
      <c r="E32" s="392">
        <v>75364</v>
      </c>
      <c r="F32" s="393">
        <v>-0.31703465845761902</v>
      </c>
      <c r="G32" s="392">
        <v>51471</v>
      </c>
      <c r="H32" s="393">
        <v>0.4839424141749723</v>
      </c>
      <c r="I32" s="394">
        <v>76380</v>
      </c>
    </row>
    <row r="33" spans="1:9">
      <c r="A33" s="406" t="s">
        <v>569</v>
      </c>
      <c r="B33" s="378" t="s">
        <v>570</v>
      </c>
      <c r="C33" s="392">
        <v>891</v>
      </c>
      <c r="D33" s="393">
        <v>-1</v>
      </c>
      <c r="E33" s="392">
        <v>0</v>
      </c>
      <c r="F33" s="393" t="s">
        <v>586</v>
      </c>
      <c r="G33" s="392">
        <v>579</v>
      </c>
      <c r="H33" s="393">
        <v>-1</v>
      </c>
      <c r="I33" s="394">
        <v>0</v>
      </c>
    </row>
    <row r="34" spans="1:9">
      <c r="A34" s="405" t="s">
        <v>571</v>
      </c>
      <c r="B34" s="378" t="s">
        <v>572</v>
      </c>
      <c r="C34" s="392">
        <v>33457</v>
      </c>
      <c r="D34" s="393">
        <v>0.5053053172729175</v>
      </c>
      <c r="E34" s="392">
        <v>50363</v>
      </c>
      <c r="F34" s="393">
        <v>-0.28624188392272104</v>
      </c>
      <c r="G34" s="392">
        <v>35947</v>
      </c>
      <c r="H34" s="393">
        <v>0.28035719253345204</v>
      </c>
      <c r="I34" s="394">
        <v>46025</v>
      </c>
    </row>
    <row r="35" spans="1:9">
      <c r="A35" s="410" t="s">
        <v>573</v>
      </c>
      <c r="B35" s="411" t="s">
        <v>574</v>
      </c>
      <c r="C35" s="401">
        <v>91784</v>
      </c>
      <c r="D35" s="412">
        <v>0.36981391092129345</v>
      </c>
      <c r="E35" s="401">
        <v>125727</v>
      </c>
      <c r="F35" s="412">
        <v>-0.30009464951840098</v>
      </c>
      <c r="G35" s="401">
        <v>87997</v>
      </c>
      <c r="H35" s="412">
        <v>0.39101332999988636</v>
      </c>
      <c r="I35" s="401">
        <v>122405</v>
      </c>
    </row>
    <row r="36" spans="1:9">
      <c r="A36" s="405" t="s">
        <v>575</v>
      </c>
      <c r="B36" s="378" t="s">
        <v>576</v>
      </c>
      <c r="C36" s="392">
        <v>0</v>
      </c>
      <c r="D36" s="393" t="s">
        <v>586</v>
      </c>
      <c r="E36" s="392">
        <v>0</v>
      </c>
      <c r="F36" s="393" t="s">
        <v>586</v>
      </c>
      <c r="G36" s="392">
        <v>714</v>
      </c>
      <c r="H36" s="393">
        <v>-1</v>
      </c>
      <c r="I36" s="394">
        <v>0</v>
      </c>
    </row>
    <row r="37" spans="1:9">
      <c r="A37" s="405" t="s">
        <v>577</v>
      </c>
      <c r="B37" s="378" t="s">
        <v>578</v>
      </c>
      <c r="C37" s="392">
        <v>36476</v>
      </c>
      <c r="D37" s="393">
        <v>6.7523851299484586E-2</v>
      </c>
      <c r="E37" s="392">
        <v>38939</v>
      </c>
      <c r="F37" s="393">
        <v>-0.11189296078481728</v>
      </c>
      <c r="G37" s="392">
        <v>34582</v>
      </c>
      <c r="H37" s="393">
        <v>0.20322711237059743</v>
      </c>
      <c r="I37" s="394">
        <v>41610</v>
      </c>
    </row>
    <row r="38" spans="1:9">
      <c r="A38" s="410" t="s">
        <v>579</v>
      </c>
      <c r="B38" s="411" t="s">
        <v>580</v>
      </c>
      <c r="C38" s="401">
        <v>36476</v>
      </c>
      <c r="D38" s="412">
        <v>6.7523851299484586E-2</v>
      </c>
      <c r="E38" s="401">
        <v>38939</v>
      </c>
      <c r="F38" s="412">
        <v>-9.3556588510233962E-2</v>
      </c>
      <c r="G38" s="401">
        <v>35296</v>
      </c>
      <c r="H38" s="412">
        <v>0.17888712601994561</v>
      </c>
      <c r="I38" s="401">
        <v>41610</v>
      </c>
    </row>
    <row r="39" spans="1:9">
      <c r="A39" s="423" t="s">
        <v>581</v>
      </c>
      <c r="B39" s="424" t="s">
        <v>145</v>
      </c>
      <c r="C39" s="425">
        <v>55308</v>
      </c>
      <c r="D39" s="426">
        <v>0.56917624936718014</v>
      </c>
      <c r="E39" s="425">
        <v>86788</v>
      </c>
      <c r="F39" s="426">
        <v>-0.39276167212056967</v>
      </c>
      <c r="G39" s="425">
        <v>52701</v>
      </c>
      <c r="H39" s="426">
        <v>0.53308286370277602</v>
      </c>
      <c r="I39" s="425">
        <v>80795</v>
      </c>
    </row>
    <row r="40" spans="1:9">
      <c r="A40" s="377" t="s">
        <v>582</v>
      </c>
      <c r="B40" s="378" t="s">
        <v>153</v>
      </c>
      <c r="C40" s="392">
        <v>-22112</v>
      </c>
      <c r="D40" s="393">
        <v>6.91931982633864E-3</v>
      </c>
      <c r="E40" s="392">
        <v>-22265</v>
      </c>
      <c r="F40" s="393">
        <v>1.8495845497417471</v>
      </c>
      <c r="G40" s="392">
        <v>-63446</v>
      </c>
      <c r="H40" s="393">
        <v>-0.68767140560476625</v>
      </c>
      <c r="I40" s="392">
        <v>-19816</v>
      </c>
    </row>
    <row r="41" spans="1:9">
      <c r="A41" s="377" t="s">
        <v>582</v>
      </c>
      <c r="B41" s="378" t="s">
        <v>583</v>
      </c>
      <c r="C41" s="392">
        <v>-77420</v>
      </c>
      <c r="D41" s="393">
        <v>0.40858951175406871</v>
      </c>
      <c r="E41" s="392">
        <v>-109053</v>
      </c>
      <c r="F41" s="393">
        <v>6.5050938534474065E-2</v>
      </c>
      <c r="G41" s="392">
        <v>-116147</v>
      </c>
      <c r="H41" s="393">
        <v>-0.13376152634161881</v>
      </c>
      <c r="I41" s="392">
        <v>-100611</v>
      </c>
    </row>
    <row r="42" spans="1:9">
      <c r="A42" s="427" t="s">
        <v>582</v>
      </c>
      <c r="B42" s="409" t="s">
        <v>584</v>
      </c>
      <c r="C42" s="397">
        <v>1202014</v>
      </c>
      <c r="D42" s="428">
        <v>6.1956849088280169E-2</v>
      </c>
      <c r="E42" s="397">
        <v>1276487</v>
      </c>
      <c r="F42" s="428">
        <v>-3.4956877743369107E-2</v>
      </c>
      <c r="G42" s="397">
        <v>1231865</v>
      </c>
      <c r="H42" s="428">
        <v>5.7048459043807558E-2</v>
      </c>
      <c r="I42" s="397">
        <v>1302141</v>
      </c>
    </row>
    <row r="43" spans="1:9">
      <c r="A43" s="427"/>
      <c r="B43" s="409" t="s">
        <v>585</v>
      </c>
      <c r="C43" s="428" t="s">
        <v>587</v>
      </c>
      <c r="D43" s="430"/>
      <c r="E43" s="428" t="s">
        <v>587</v>
      </c>
      <c r="F43" s="430"/>
      <c r="G43" s="428" t="s">
        <v>587</v>
      </c>
      <c r="H43" s="430"/>
      <c r="I43" s="428" t="s">
        <v>587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186"/>
  <sheetViews>
    <sheetView topLeftCell="A164" zoomScale="115" zoomScaleNormal="115" workbookViewId="0">
      <selection activeCell="I183" sqref="I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0.1640625" style="1" customWidth="1"/>
    <col min="5" max="16384" width="11.5" style="1"/>
  </cols>
  <sheetData>
    <row r="1" spans="1:7" s="2" customFormat="1" ht="18" customHeight="1">
      <c r="A1" s="43" t="s">
        <v>3</v>
      </c>
      <c r="B1" s="44" t="s">
        <v>224</v>
      </c>
      <c r="C1" s="44" t="s">
        <v>225</v>
      </c>
      <c r="D1" s="28" t="s">
        <v>37</v>
      </c>
      <c r="E1" s="24" t="s">
        <v>2</v>
      </c>
      <c r="F1" s="28" t="s">
        <v>37</v>
      </c>
      <c r="G1" s="24" t="s">
        <v>2</v>
      </c>
    </row>
    <row r="2" spans="1:7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7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7" s="62" customFormat="1" ht="12.75" customHeight="1">
      <c r="A4" s="148">
        <v>30</v>
      </c>
      <c r="B4" s="96"/>
      <c r="C4" s="97" t="s">
        <v>1</v>
      </c>
      <c r="D4" s="98">
        <v>52737</v>
      </c>
      <c r="E4" s="100">
        <v>54248</v>
      </c>
      <c r="F4" s="98">
        <v>55044</v>
      </c>
      <c r="G4" s="100">
        <v>55479</v>
      </c>
    </row>
    <row r="5" spans="1:7" s="62" customFormat="1" ht="12.75" customHeight="1">
      <c r="A5" s="101">
        <v>31</v>
      </c>
      <c r="B5" s="102"/>
      <c r="C5" s="103" t="s">
        <v>4</v>
      </c>
      <c r="D5" s="105">
        <v>26066</v>
      </c>
      <c r="E5" s="106">
        <v>25921</v>
      </c>
      <c r="F5" s="105">
        <v>29416</v>
      </c>
      <c r="G5" s="106">
        <v>28715</v>
      </c>
    </row>
    <row r="6" spans="1:7" s="62" customFormat="1" ht="12.75" customHeight="1">
      <c r="A6" s="107" t="s">
        <v>229</v>
      </c>
      <c r="B6" s="108"/>
      <c r="C6" s="109" t="s">
        <v>230</v>
      </c>
      <c r="D6" s="150">
        <v>3567</v>
      </c>
      <c r="E6" s="155">
        <v>3313</v>
      </c>
      <c r="F6" s="150">
        <v>14024</v>
      </c>
      <c r="G6" s="155">
        <v>3270</v>
      </c>
    </row>
    <row r="7" spans="1:7" s="62" customFormat="1" ht="12.75" customHeight="1">
      <c r="A7" s="107" t="s">
        <v>371</v>
      </c>
      <c r="B7" s="108"/>
      <c r="C7" s="109" t="s">
        <v>372</v>
      </c>
      <c r="D7" s="150">
        <v>0</v>
      </c>
      <c r="E7" s="155">
        <v>0</v>
      </c>
      <c r="F7" s="150">
        <v>241</v>
      </c>
      <c r="G7" s="155">
        <v>0</v>
      </c>
    </row>
    <row r="8" spans="1:7" s="62" customFormat="1" ht="12.75" customHeight="1">
      <c r="A8" s="145">
        <v>330</v>
      </c>
      <c r="B8" s="102"/>
      <c r="C8" s="103" t="s">
        <v>231</v>
      </c>
      <c r="D8" s="105">
        <v>7041</v>
      </c>
      <c r="E8" s="113">
        <v>14330</v>
      </c>
      <c r="F8" s="105">
        <v>7113</v>
      </c>
      <c r="G8" s="113">
        <v>7070</v>
      </c>
    </row>
    <row r="9" spans="1:7" s="62" customFormat="1" ht="12.75" customHeight="1">
      <c r="A9" s="145">
        <v>332</v>
      </c>
      <c r="B9" s="102"/>
      <c r="C9" s="103" t="s">
        <v>232</v>
      </c>
      <c r="D9" s="105">
        <v>629</v>
      </c>
      <c r="E9" s="113">
        <v>0</v>
      </c>
      <c r="F9" s="105">
        <v>706</v>
      </c>
      <c r="G9" s="113">
        <v>615</v>
      </c>
    </row>
    <row r="10" spans="1:7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7" s="62" customFormat="1" ht="12.75" customHeight="1">
      <c r="A11" s="101">
        <v>350</v>
      </c>
      <c r="B11" s="102"/>
      <c r="C11" s="103" t="s">
        <v>234</v>
      </c>
      <c r="D11" s="105">
        <v>418</v>
      </c>
      <c r="E11" s="113">
        <v>1</v>
      </c>
      <c r="F11" s="105">
        <v>0</v>
      </c>
      <c r="G11" s="113">
        <v>8</v>
      </c>
    </row>
    <row r="12" spans="1:7" s="63" customFormat="1" ht="14">
      <c r="A12" s="114">
        <v>351</v>
      </c>
      <c r="B12" s="115"/>
      <c r="C12" s="116" t="s">
        <v>272</v>
      </c>
      <c r="D12" s="119"/>
      <c r="E12" s="296">
        <v>50</v>
      </c>
      <c r="F12" s="119">
        <v>0</v>
      </c>
      <c r="G12" s="296">
        <v>10</v>
      </c>
    </row>
    <row r="13" spans="1:7" s="62" customFormat="1" ht="12.75" customHeight="1">
      <c r="A13" s="101">
        <v>36</v>
      </c>
      <c r="B13" s="102"/>
      <c r="C13" s="103" t="s">
        <v>5</v>
      </c>
      <c r="D13" s="104">
        <v>133887</v>
      </c>
      <c r="E13" s="113">
        <v>135479</v>
      </c>
      <c r="F13" s="104">
        <v>140297</v>
      </c>
      <c r="G13" s="113">
        <v>147399</v>
      </c>
    </row>
    <row r="14" spans="1:7" s="62" customFormat="1" ht="12.75" customHeight="1">
      <c r="A14" s="121" t="s">
        <v>173</v>
      </c>
      <c r="B14" s="102"/>
      <c r="C14" s="122" t="s">
        <v>174</v>
      </c>
      <c r="D14" s="104">
        <v>33271</v>
      </c>
      <c r="E14" s="113">
        <v>341753</v>
      </c>
      <c r="F14" s="104">
        <v>35216</v>
      </c>
      <c r="G14" s="113">
        <v>36908</v>
      </c>
    </row>
    <row r="15" spans="1:7" s="62" customFormat="1" ht="12.75" customHeight="1">
      <c r="A15" s="121" t="s">
        <v>175</v>
      </c>
      <c r="B15" s="102"/>
      <c r="C15" s="122" t="s">
        <v>176</v>
      </c>
      <c r="D15" s="104">
        <v>20048</v>
      </c>
      <c r="E15" s="113">
        <v>19105</v>
      </c>
      <c r="F15" s="104">
        <v>20024</v>
      </c>
      <c r="G15" s="113">
        <v>19512</v>
      </c>
    </row>
    <row r="16" spans="1:7" s="64" customFormat="1" ht="26.25" customHeight="1">
      <c r="A16" s="121" t="s">
        <v>146</v>
      </c>
      <c r="B16" s="123"/>
      <c r="C16" s="122" t="s">
        <v>148</v>
      </c>
      <c r="D16" s="126">
        <v>5472</v>
      </c>
      <c r="E16" s="127">
        <v>0</v>
      </c>
      <c r="F16" s="126">
        <v>7273</v>
      </c>
      <c r="G16" s="127">
        <v>7487</v>
      </c>
    </row>
    <row r="17" spans="1:7" s="65" customFormat="1">
      <c r="A17" s="101">
        <v>37</v>
      </c>
      <c r="B17" s="102"/>
      <c r="C17" s="103" t="s">
        <v>6</v>
      </c>
      <c r="D17" s="104">
        <v>38376</v>
      </c>
      <c r="E17" s="157">
        <v>38295</v>
      </c>
      <c r="F17" s="104">
        <v>38395</v>
      </c>
      <c r="G17" s="157">
        <v>38661</v>
      </c>
    </row>
    <row r="18" spans="1:7" s="65" customFormat="1">
      <c r="A18" s="112" t="s">
        <v>196</v>
      </c>
      <c r="B18" s="108"/>
      <c r="C18" s="109" t="s">
        <v>197</v>
      </c>
      <c r="D18" s="104">
        <v>788</v>
      </c>
      <c r="E18" s="157">
        <v>722</v>
      </c>
      <c r="F18" s="104">
        <v>885</v>
      </c>
      <c r="G18" s="157">
        <v>769</v>
      </c>
    </row>
    <row r="19" spans="1:7" s="65" customFormat="1">
      <c r="A19" s="112" t="s">
        <v>198</v>
      </c>
      <c r="B19" s="108"/>
      <c r="C19" s="109" t="s">
        <v>199</v>
      </c>
      <c r="D19" s="104">
        <v>1003</v>
      </c>
      <c r="E19" s="157">
        <v>1277</v>
      </c>
      <c r="F19" s="104">
        <v>1115</v>
      </c>
      <c r="G19" s="157">
        <v>586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22559</v>
      </c>
      <c r="E20" s="159">
        <v>22942</v>
      </c>
      <c r="F20" s="134">
        <v>22395</v>
      </c>
      <c r="G20" s="159">
        <v>22630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259154</v>
      </c>
      <c r="E21" s="15">
        <f t="shared" si="0"/>
        <v>268324</v>
      </c>
      <c r="F21" s="15">
        <f t="shared" ref="F21:G21" si="1">F4+F5+SUM(F8:F13)+F17</f>
        <v>270971</v>
      </c>
      <c r="G21" s="15">
        <f t="shared" si="1"/>
        <v>277957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68369</v>
      </c>
      <c r="E22" s="141">
        <v>70400</v>
      </c>
      <c r="F22" s="152">
        <v>76232</v>
      </c>
      <c r="G22" s="141">
        <v>75300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15026</v>
      </c>
      <c r="E23" s="141">
        <v>15305</v>
      </c>
      <c r="F23" s="152">
        <v>16489</v>
      </c>
      <c r="G23" s="141">
        <v>15870</v>
      </c>
    </row>
    <row r="24" spans="1:7" s="67" customFormat="1" ht="12.75" customHeight="1">
      <c r="A24" s="101">
        <v>41</v>
      </c>
      <c r="B24" s="102"/>
      <c r="C24" s="103" t="s">
        <v>9</v>
      </c>
      <c r="D24" s="152">
        <v>7416</v>
      </c>
      <c r="E24" s="141">
        <v>7324</v>
      </c>
      <c r="F24" s="152">
        <v>7408</v>
      </c>
      <c r="G24" s="141">
        <v>7470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17121</v>
      </c>
      <c r="E25" s="141">
        <v>17163</v>
      </c>
      <c r="F25" s="152">
        <v>18216</v>
      </c>
      <c r="G25" s="141">
        <v>17279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1130</v>
      </c>
      <c r="E26" s="144">
        <v>1377</v>
      </c>
      <c r="F26" s="268">
        <v>1230</v>
      </c>
      <c r="G26" s="144">
        <v>1398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1161</v>
      </c>
      <c r="E27" s="144">
        <v>1175</v>
      </c>
      <c r="F27" s="268">
        <v>1217</v>
      </c>
      <c r="G27" s="144">
        <v>1189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>
        <v>0</v>
      </c>
      <c r="F28" s="268">
        <v>0</v>
      </c>
      <c r="G28" s="144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1377</v>
      </c>
      <c r="E29" s="144">
        <v>1067</v>
      </c>
      <c r="F29" s="268">
        <v>1191</v>
      </c>
      <c r="G29" s="144">
        <v>1143</v>
      </c>
    </row>
    <row r="30" spans="1:7" s="62" customFormat="1" ht="14">
      <c r="A30" s="114">
        <v>450</v>
      </c>
      <c r="B30" s="115"/>
      <c r="C30" s="116" t="s">
        <v>271</v>
      </c>
      <c r="D30" s="104">
        <v>556</v>
      </c>
      <c r="E30" s="106">
        <v>380</v>
      </c>
      <c r="F30" s="104">
        <v>474</v>
      </c>
      <c r="G30" s="106">
        <v>352</v>
      </c>
    </row>
    <row r="31" spans="1:7" s="63" customFormat="1" ht="14">
      <c r="A31" s="114">
        <v>451</v>
      </c>
      <c r="B31" s="115"/>
      <c r="C31" s="116" t="s">
        <v>14</v>
      </c>
      <c r="D31" s="279">
        <v>61</v>
      </c>
      <c r="E31" s="141">
        <v>40</v>
      </c>
      <c r="F31" s="279">
        <v>62</v>
      </c>
      <c r="G31" s="141">
        <v>3</v>
      </c>
    </row>
    <row r="32" spans="1:7" s="69" customFormat="1" ht="12.75" customHeight="1">
      <c r="A32" s="101">
        <v>46</v>
      </c>
      <c r="B32" s="102"/>
      <c r="C32" s="103" t="s">
        <v>15</v>
      </c>
      <c r="D32" s="152">
        <v>84371</v>
      </c>
      <c r="E32" s="141">
        <v>86423</v>
      </c>
      <c r="F32" s="152">
        <v>86184</v>
      </c>
      <c r="G32" s="141">
        <v>86602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/>
      <c r="E33" s="143"/>
      <c r="F33" s="152">
        <v>0</v>
      </c>
      <c r="G33" s="143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38376</v>
      </c>
      <c r="E34" s="141">
        <v>38295</v>
      </c>
      <c r="F34" s="152">
        <v>38395</v>
      </c>
      <c r="G34" s="141">
        <v>38661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22559</v>
      </c>
      <c r="E35" s="151">
        <v>22942</v>
      </c>
      <c r="F35" s="146">
        <v>22395</v>
      </c>
      <c r="G35" s="151">
        <v>22630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234964</v>
      </c>
      <c r="E36" s="15">
        <f t="shared" si="2"/>
        <v>238949</v>
      </c>
      <c r="F36" s="15">
        <f t="shared" ref="F36:G36" si="3">F22+F23+F24+F25+F26+F27+F28+F29+F30+F31+F32+F34</f>
        <v>247098</v>
      </c>
      <c r="G36" s="15">
        <f t="shared" si="3"/>
        <v>245267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-24190</v>
      </c>
      <c r="E37" s="16">
        <f t="shared" si="4"/>
        <v>-29375</v>
      </c>
      <c r="F37" s="16">
        <f t="shared" ref="F37:G37" si="5">F36-F21</f>
        <v>-23873</v>
      </c>
      <c r="G37" s="16">
        <f t="shared" si="5"/>
        <v>-32690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536</v>
      </c>
      <c r="E38" s="141">
        <v>368</v>
      </c>
      <c r="F38" s="140">
        <v>643</v>
      </c>
      <c r="G38" s="141">
        <v>436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0</v>
      </c>
      <c r="E39" s="141">
        <v>0</v>
      </c>
      <c r="F39" s="152">
        <v>0</v>
      </c>
      <c r="G39" s="141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0</v>
      </c>
      <c r="E40" s="141">
        <v>0</v>
      </c>
      <c r="F40" s="152">
        <v>0</v>
      </c>
      <c r="G40" s="141">
        <v>0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0</v>
      </c>
      <c r="E41" s="141">
        <v>0</v>
      </c>
      <c r="F41" s="152">
        <v>0</v>
      </c>
      <c r="G41" s="141">
        <v>0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0</v>
      </c>
      <c r="E42" s="141">
        <v>0</v>
      </c>
      <c r="F42" s="152">
        <v>0</v>
      </c>
      <c r="G42" s="141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0</v>
      </c>
      <c r="E43" s="141">
        <v>0</v>
      </c>
      <c r="F43" s="152">
        <v>0</v>
      </c>
      <c r="G43" s="141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2552</v>
      </c>
      <c r="E44" s="141">
        <v>1942</v>
      </c>
      <c r="F44" s="140">
        <v>2027</v>
      </c>
      <c r="G44" s="141">
        <v>1588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0</v>
      </c>
      <c r="E45" s="141">
        <v>0</v>
      </c>
      <c r="F45" s="140">
        <v>18</v>
      </c>
      <c r="G45" s="141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0</v>
      </c>
      <c r="E46" s="141">
        <v>0</v>
      </c>
      <c r="F46" s="140">
        <v>0</v>
      </c>
      <c r="G46" s="141">
        <v>0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0</v>
      </c>
      <c r="E47" s="141">
        <v>0</v>
      </c>
      <c r="F47" s="140">
        <v>0</v>
      </c>
      <c r="G47" s="141">
        <v>0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15</v>
      </c>
      <c r="E48" s="141">
        <v>0</v>
      </c>
      <c r="F48" s="140">
        <v>44</v>
      </c>
      <c r="G48" s="141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596</v>
      </c>
      <c r="E49" s="141">
        <v>232</v>
      </c>
      <c r="F49" s="140">
        <v>789</v>
      </c>
      <c r="G49" s="141">
        <v>213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9665</v>
      </c>
      <c r="E50" s="141">
        <v>10954</v>
      </c>
      <c r="F50" s="140">
        <v>10665</v>
      </c>
      <c r="G50" s="141">
        <v>11165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4704</v>
      </c>
      <c r="E51" s="141">
        <v>4650</v>
      </c>
      <c r="F51" s="140">
        <v>5895</v>
      </c>
      <c r="G51" s="141">
        <v>7096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40">
        <v>0</v>
      </c>
      <c r="G52" s="141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40">
        <v>0</v>
      </c>
      <c r="G53" s="141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70">
        <v>0</v>
      </c>
      <c r="G54" s="171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16996</v>
      </c>
      <c r="E55" s="15">
        <f t="shared" si="6"/>
        <v>17410</v>
      </c>
      <c r="F55" s="15">
        <f t="shared" ref="F55:G55" si="7">SUM(F44:F53)-SUM(F38:F43)</f>
        <v>18795</v>
      </c>
      <c r="G55" s="15">
        <f t="shared" si="7"/>
        <v>19626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-7194</v>
      </c>
      <c r="E56" s="15">
        <f t="shared" si="8"/>
        <v>-11965</v>
      </c>
      <c r="F56" s="15">
        <f t="shared" ref="F56:G56" si="9">F55+F37</f>
        <v>-5078</v>
      </c>
      <c r="G56" s="15">
        <f t="shared" si="9"/>
        <v>-13064</v>
      </c>
    </row>
    <row r="57" spans="1:7" s="62" customFormat="1" ht="15.75" customHeight="1">
      <c r="A57" s="285">
        <v>380</v>
      </c>
      <c r="B57" s="286"/>
      <c r="C57" s="287" t="s">
        <v>484</v>
      </c>
      <c r="D57" s="290">
        <v>0</v>
      </c>
      <c r="E57" s="291">
        <v>0</v>
      </c>
      <c r="F57" s="290">
        <v>0</v>
      </c>
      <c r="G57" s="291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>
        <v>0</v>
      </c>
      <c r="E58" s="291">
        <v>0</v>
      </c>
      <c r="F58" s="290">
        <v>0</v>
      </c>
      <c r="G58" s="291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0</v>
      </c>
      <c r="E59" s="165">
        <v>0</v>
      </c>
      <c r="F59" s="261">
        <v>0</v>
      </c>
      <c r="G59" s="165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54">
        <v>0</v>
      </c>
      <c r="G60" s="149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54">
        <v>0</v>
      </c>
      <c r="G61" s="149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54">
        <v>0</v>
      </c>
      <c r="G62" s="149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0</v>
      </c>
      <c r="E63" s="149">
        <v>0</v>
      </c>
      <c r="F63" s="154">
        <v>0</v>
      </c>
      <c r="G63" s="149">
        <v>0</v>
      </c>
    </row>
    <row r="64" spans="1:7" s="63" customFormat="1">
      <c r="A64" s="112">
        <v>389</v>
      </c>
      <c r="B64" s="180"/>
      <c r="C64" s="109" t="s">
        <v>7</v>
      </c>
      <c r="D64" s="250">
        <v>0</v>
      </c>
      <c r="E64" s="143">
        <v>0</v>
      </c>
      <c r="F64" s="250">
        <v>0</v>
      </c>
      <c r="G64" s="143">
        <v>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52">
        <v>0</v>
      </c>
      <c r="G65" s="141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60">
        <v>0</v>
      </c>
      <c r="G66" s="165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52">
        <v>0</v>
      </c>
      <c r="G67" s="141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52">
        <v>0</v>
      </c>
      <c r="G68" s="141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52">
        <v>0</v>
      </c>
      <c r="G69" s="141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>
        <v>0</v>
      </c>
      <c r="F70" s="152">
        <v>0</v>
      </c>
      <c r="G70" s="141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>
        <v>0</v>
      </c>
      <c r="F71" s="152">
        <v>0</v>
      </c>
      <c r="G71" s="141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>
        <v>0</v>
      </c>
      <c r="F72" s="152">
        <v>0</v>
      </c>
      <c r="G72" s="141">
        <v>0</v>
      </c>
    </row>
    <row r="73" spans="1:7" s="63" customFormat="1">
      <c r="A73" s="110">
        <v>487</v>
      </c>
      <c r="B73" s="108"/>
      <c r="C73" s="109" t="s">
        <v>64</v>
      </c>
      <c r="D73" s="142">
        <v>0</v>
      </c>
      <c r="E73" s="143">
        <v>0</v>
      </c>
      <c r="F73" s="142">
        <v>0</v>
      </c>
      <c r="G73" s="143">
        <v>0</v>
      </c>
    </row>
    <row r="74" spans="1:7" s="63" customFormat="1">
      <c r="A74" s="110">
        <v>489</v>
      </c>
      <c r="B74" s="182"/>
      <c r="C74" s="133" t="s">
        <v>18</v>
      </c>
      <c r="D74" s="140">
        <v>5000</v>
      </c>
      <c r="E74" s="141">
        <v>10000</v>
      </c>
      <c r="F74" s="140">
        <v>3000</v>
      </c>
      <c r="G74" s="141">
        <v>11000</v>
      </c>
    </row>
    <row r="75" spans="1:7" s="63" customFormat="1">
      <c r="A75" s="181" t="s">
        <v>381</v>
      </c>
      <c r="B75" s="182"/>
      <c r="C75" s="133" t="s">
        <v>382</v>
      </c>
      <c r="D75" s="152"/>
      <c r="E75" s="141"/>
      <c r="F75" s="152">
        <v>0</v>
      </c>
      <c r="G75" s="141">
        <v>0</v>
      </c>
    </row>
    <row r="76" spans="1:7">
      <c r="A76" s="7"/>
      <c r="B76" s="7"/>
      <c r="C76" s="8" t="s">
        <v>22</v>
      </c>
      <c r="D76" s="15">
        <f t="shared" ref="D76:E76" si="10">SUM(D65:D74)-SUM(D57:D64)</f>
        <v>5000</v>
      </c>
      <c r="E76" s="15">
        <f t="shared" si="10"/>
        <v>10000</v>
      </c>
      <c r="F76" s="15">
        <f t="shared" ref="F76:G76" si="11">SUM(F65:F74)-SUM(F57:F64)</f>
        <v>3000</v>
      </c>
      <c r="G76" s="15">
        <f t="shared" si="11"/>
        <v>11000</v>
      </c>
    </row>
    <row r="77" spans="1:7">
      <c r="A77" s="9"/>
      <c r="B77" s="9"/>
      <c r="C77" s="8" t="s">
        <v>23</v>
      </c>
      <c r="D77" s="15">
        <f t="shared" ref="D77:E77" si="12">D56+D76</f>
        <v>-2194</v>
      </c>
      <c r="E77" s="15">
        <f t="shared" si="12"/>
        <v>-1965</v>
      </c>
      <c r="F77" s="15">
        <f t="shared" ref="F77:G77" si="13">F56+F76</f>
        <v>-2078</v>
      </c>
      <c r="G77" s="15">
        <f t="shared" si="13"/>
        <v>-2064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282249</v>
      </c>
      <c r="E78" s="37">
        <f t="shared" si="14"/>
        <v>291634</v>
      </c>
      <c r="F78" s="37">
        <f t="shared" ref="F78:G78" si="15">F20+F21+SUM(F38:F43)+SUM(F57:F64)</f>
        <v>294009</v>
      </c>
      <c r="G78" s="37">
        <f t="shared" si="15"/>
        <v>301023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280055</v>
      </c>
      <c r="E79" s="37">
        <f t="shared" si="16"/>
        <v>289669</v>
      </c>
      <c r="F79" s="37">
        <f t="shared" ref="F79:G79" si="17">F35+F36+SUM(F44:F53)+SUM(F65:F74)</f>
        <v>291931</v>
      </c>
      <c r="G79" s="37">
        <f t="shared" si="17"/>
        <v>298959</v>
      </c>
    </row>
    <row r="80" spans="1:7">
      <c r="C80" s="11"/>
      <c r="D80" s="86"/>
      <c r="E80" s="86"/>
      <c r="F80" s="86"/>
      <c r="G80" s="86"/>
    </row>
    <row r="81" spans="1:7">
      <c r="A81" s="801" t="s">
        <v>25</v>
      </c>
      <c r="B81" s="799"/>
      <c r="C81" s="799"/>
      <c r="D81" s="87"/>
      <c r="E81" s="88"/>
      <c r="F81" s="87"/>
      <c r="G81" s="88"/>
    </row>
    <row r="82" spans="1:7" s="62" customFormat="1">
      <c r="A82" s="186">
        <v>50</v>
      </c>
      <c r="B82" s="187"/>
      <c r="C82" s="187" t="s">
        <v>252</v>
      </c>
      <c r="D82" s="152">
        <v>10313</v>
      </c>
      <c r="E82" s="141">
        <v>21035</v>
      </c>
      <c r="F82" s="152">
        <v>23615</v>
      </c>
      <c r="G82" s="141">
        <v>24430</v>
      </c>
    </row>
    <row r="83" spans="1:7" s="62" customFormat="1">
      <c r="A83" s="186">
        <v>51</v>
      </c>
      <c r="B83" s="187"/>
      <c r="C83" s="187" t="s">
        <v>253</v>
      </c>
      <c r="D83" s="152">
        <v>33453</v>
      </c>
      <c r="E83" s="141">
        <v>11707</v>
      </c>
      <c r="F83" s="152">
        <v>11651</v>
      </c>
      <c r="G83" s="141">
        <v>6257</v>
      </c>
    </row>
    <row r="84" spans="1:7" s="62" customFormat="1">
      <c r="A84" s="186">
        <v>52</v>
      </c>
      <c r="B84" s="187"/>
      <c r="C84" s="187" t="s">
        <v>254</v>
      </c>
      <c r="D84" s="152">
        <v>667</v>
      </c>
      <c r="E84" s="141">
        <v>795</v>
      </c>
      <c r="F84" s="152">
        <v>1114</v>
      </c>
      <c r="G84" s="141">
        <v>719</v>
      </c>
    </row>
    <row r="85" spans="1:7" s="62" customFormat="1">
      <c r="A85" s="188">
        <v>54</v>
      </c>
      <c r="B85" s="189"/>
      <c r="C85" s="189" t="s">
        <v>89</v>
      </c>
      <c r="D85" s="152">
        <v>1086</v>
      </c>
      <c r="E85" s="141">
        <v>1119</v>
      </c>
      <c r="F85" s="152">
        <v>508</v>
      </c>
      <c r="G85" s="141">
        <v>738</v>
      </c>
    </row>
    <row r="86" spans="1:7" s="62" customFormat="1">
      <c r="A86" s="188">
        <v>55</v>
      </c>
      <c r="B86" s="189"/>
      <c r="C86" s="189" t="s">
        <v>181</v>
      </c>
      <c r="D86" s="152">
        <v>92</v>
      </c>
      <c r="E86" s="141">
        <v>0</v>
      </c>
      <c r="F86" s="152">
        <v>40</v>
      </c>
      <c r="G86" s="141">
        <v>0</v>
      </c>
    </row>
    <row r="87" spans="1:7" s="62" customFormat="1">
      <c r="A87" s="188">
        <v>56</v>
      </c>
      <c r="B87" s="189"/>
      <c r="C87" s="189" t="s">
        <v>255</v>
      </c>
      <c r="D87" s="152">
        <v>12771</v>
      </c>
      <c r="E87" s="141">
        <v>10703</v>
      </c>
      <c r="F87" s="152">
        <v>10384</v>
      </c>
      <c r="G87" s="141">
        <v>9583</v>
      </c>
    </row>
    <row r="88" spans="1:7" s="62" customFormat="1">
      <c r="A88" s="186">
        <v>57</v>
      </c>
      <c r="B88" s="187"/>
      <c r="C88" s="187" t="s">
        <v>150</v>
      </c>
      <c r="D88" s="152">
        <v>14516</v>
      </c>
      <c r="E88" s="141">
        <v>14477</v>
      </c>
      <c r="F88" s="152">
        <v>10787</v>
      </c>
      <c r="G88" s="141">
        <v>14313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52">
        <v>0</v>
      </c>
      <c r="G89" s="141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52">
        <v>0</v>
      </c>
      <c r="G90" s="141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52">
        <v>0</v>
      </c>
      <c r="G91" s="141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52">
        <v>0</v>
      </c>
      <c r="G92" s="141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52">
        <v>0</v>
      </c>
      <c r="G93" s="141">
        <v>0</v>
      </c>
    </row>
    <row r="94" spans="1:7" s="62" customFormat="1">
      <c r="A94" s="190">
        <v>589</v>
      </c>
      <c r="B94" s="191"/>
      <c r="C94" s="191" t="s">
        <v>261</v>
      </c>
      <c r="D94" s="273">
        <v>0</v>
      </c>
      <c r="E94" s="147">
        <v>0</v>
      </c>
      <c r="F94" s="273">
        <v>0</v>
      </c>
      <c r="G94" s="147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72898</v>
      </c>
      <c r="E95" s="33">
        <f t="shared" si="18"/>
        <v>59836</v>
      </c>
      <c r="F95" s="33">
        <f t="shared" ref="F95:G95" si="19">SUM(F82:F94)</f>
        <v>58099</v>
      </c>
      <c r="G95" s="33">
        <f t="shared" si="19"/>
        <v>56040</v>
      </c>
    </row>
    <row r="96" spans="1:7" s="62" customFormat="1">
      <c r="A96" s="186">
        <v>60</v>
      </c>
      <c r="B96" s="187"/>
      <c r="C96" s="187" t="s">
        <v>262</v>
      </c>
      <c r="D96" s="152"/>
      <c r="E96" s="141"/>
      <c r="F96" s="152">
        <v>0</v>
      </c>
      <c r="G96" s="141">
        <v>0</v>
      </c>
    </row>
    <row r="97" spans="1:7" s="62" customFormat="1">
      <c r="A97" s="186">
        <v>61</v>
      </c>
      <c r="B97" s="187"/>
      <c r="C97" s="187" t="s">
        <v>263</v>
      </c>
      <c r="D97" s="152">
        <v>32537</v>
      </c>
      <c r="E97" s="141">
        <v>11506</v>
      </c>
      <c r="F97" s="152">
        <v>11566</v>
      </c>
      <c r="G97" s="141">
        <v>9975</v>
      </c>
    </row>
    <row r="98" spans="1:7" s="62" customFormat="1">
      <c r="A98" s="186">
        <v>62</v>
      </c>
      <c r="B98" s="187"/>
      <c r="C98" s="187" t="s">
        <v>264</v>
      </c>
      <c r="D98" s="152"/>
      <c r="E98" s="141"/>
      <c r="F98" s="152">
        <v>0</v>
      </c>
      <c r="G98" s="141">
        <v>0</v>
      </c>
    </row>
    <row r="99" spans="1:7" s="62" customFormat="1">
      <c r="A99" s="186">
        <v>63</v>
      </c>
      <c r="B99" s="187"/>
      <c r="C99" s="187" t="s">
        <v>265</v>
      </c>
      <c r="D99" s="152">
        <v>1445</v>
      </c>
      <c r="E99" s="141">
        <v>755</v>
      </c>
      <c r="F99" s="152">
        <v>2173</v>
      </c>
      <c r="G99" s="141">
        <v>184</v>
      </c>
    </row>
    <row r="100" spans="1:7" s="62" customFormat="1">
      <c r="A100" s="188">
        <v>64</v>
      </c>
      <c r="B100" s="189"/>
      <c r="C100" s="189" t="s">
        <v>185</v>
      </c>
      <c r="D100" s="152">
        <v>967</v>
      </c>
      <c r="E100" s="141">
        <v>966</v>
      </c>
      <c r="F100" s="152">
        <v>933</v>
      </c>
      <c r="G100" s="141">
        <v>1033</v>
      </c>
    </row>
    <row r="101" spans="1:7" s="62" customFormat="1">
      <c r="A101" s="188">
        <v>65</v>
      </c>
      <c r="B101" s="189"/>
      <c r="C101" s="189" t="s">
        <v>186</v>
      </c>
      <c r="D101" s="152"/>
      <c r="E101" s="141"/>
      <c r="F101" s="152">
        <v>0</v>
      </c>
      <c r="G101" s="141">
        <v>0</v>
      </c>
    </row>
    <row r="102" spans="1:7" s="62" customFormat="1">
      <c r="A102" s="188">
        <v>66</v>
      </c>
      <c r="B102" s="189"/>
      <c r="C102" s="189" t="s">
        <v>266</v>
      </c>
      <c r="D102" s="152"/>
      <c r="E102" s="141"/>
      <c r="F102" s="152">
        <v>0</v>
      </c>
      <c r="G102" s="141">
        <v>0</v>
      </c>
    </row>
    <row r="103" spans="1:7" s="62" customFormat="1">
      <c r="A103" s="186">
        <v>67</v>
      </c>
      <c r="B103" s="187"/>
      <c r="C103" s="187" t="s">
        <v>150</v>
      </c>
      <c r="D103" s="140">
        <v>14516</v>
      </c>
      <c r="E103" s="138">
        <v>14477</v>
      </c>
      <c r="F103" s="140">
        <v>10787</v>
      </c>
      <c r="G103" s="138">
        <v>14313</v>
      </c>
    </row>
    <row r="104" spans="1:7" s="62" customFormat="1" ht="28">
      <c r="A104" s="192" t="s">
        <v>268</v>
      </c>
      <c r="B104" s="187"/>
      <c r="C104" s="193" t="s">
        <v>267</v>
      </c>
      <c r="D104" s="140">
        <v>0</v>
      </c>
      <c r="E104" s="138">
        <v>0</v>
      </c>
      <c r="F104" s="140">
        <v>0</v>
      </c>
      <c r="G104" s="138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46">
        <v>2110</v>
      </c>
      <c r="E105" s="151">
        <v>3475</v>
      </c>
      <c r="F105" s="146">
        <v>3969</v>
      </c>
      <c r="G105" s="151">
        <v>1085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51575</v>
      </c>
      <c r="E106" s="33">
        <f t="shared" si="20"/>
        <v>31179</v>
      </c>
      <c r="F106" s="33">
        <f t="shared" ref="F106:G106" si="21">SUM(F96:F105)</f>
        <v>29428</v>
      </c>
      <c r="G106" s="33">
        <f t="shared" si="21"/>
        <v>26590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21323</v>
      </c>
      <c r="E107" s="33">
        <f t="shared" si="22"/>
        <v>28657</v>
      </c>
      <c r="F107" s="33">
        <f t="shared" ref="F107:G107" si="23">(F95-F88)-(F106-F103)</f>
        <v>28671</v>
      </c>
      <c r="G107" s="33">
        <f t="shared" si="23"/>
        <v>29450</v>
      </c>
    </row>
    <row r="108" spans="1:7">
      <c r="A108" s="30" t="s">
        <v>407</v>
      </c>
      <c r="B108" s="30"/>
      <c r="C108" s="49" t="s">
        <v>151</v>
      </c>
      <c r="D108" s="33">
        <f t="shared" ref="D108:E108" si="24">D107-D85-D86+D100+D101</f>
        <v>21112</v>
      </c>
      <c r="E108" s="33">
        <f t="shared" si="24"/>
        <v>28504</v>
      </c>
      <c r="F108" s="33">
        <f t="shared" ref="F108:G108" si="25">F107-F85-F86+F100+F101</f>
        <v>29056</v>
      </c>
      <c r="G108" s="33">
        <f t="shared" si="25"/>
        <v>29745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187284</v>
      </c>
      <c r="E111" s="337">
        <f t="shared" si="26"/>
        <v>0</v>
      </c>
      <c r="F111" s="336">
        <f t="shared" ref="F111:G111" si="27">F112+F117</f>
        <v>174935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116313</v>
      </c>
      <c r="E112" s="337">
        <f t="shared" si="28"/>
        <v>0</v>
      </c>
      <c r="F112" s="336">
        <f t="shared" ref="F112:G112" si="29">F113+F114+F115+F116</f>
        <v>107752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84513</v>
      </c>
      <c r="E113" s="113"/>
      <c r="F113" s="105">
        <v>79469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26500</v>
      </c>
      <c r="E114" s="271"/>
      <c r="F114" s="270">
        <v>22850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5036</v>
      </c>
      <c r="E115" s="113"/>
      <c r="F115" s="105">
        <v>5196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264</v>
      </c>
      <c r="E116" s="113"/>
      <c r="F116" s="105">
        <v>237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70971</v>
      </c>
      <c r="E117" s="337">
        <f t="shared" si="30"/>
        <v>0</v>
      </c>
      <c r="F117" s="336">
        <f t="shared" ref="F117:G117" si="31">F118+F119+F120</f>
        <v>67183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70653</v>
      </c>
      <c r="E118" s="113"/>
      <c r="F118" s="105">
        <v>66865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318</v>
      </c>
      <c r="E119" s="113"/>
      <c r="F119" s="105">
        <v>318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112856</v>
      </c>
      <c r="E121" s="336">
        <f t="shared" si="32"/>
        <v>0</v>
      </c>
      <c r="F121" s="336">
        <f t="shared" ref="F121:G121" si="33">SUM(F122:F130)</f>
        <v>127285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53928</v>
      </c>
      <c r="E122" s="113"/>
      <c r="F122" s="105">
        <v>66533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7733</v>
      </c>
      <c r="E123" s="113"/>
      <c r="F123" s="105">
        <v>7308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22165</v>
      </c>
      <c r="E124" s="210"/>
      <c r="F124" s="105">
        <v>22165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29030</v>
      </c>
      <c r="E125" s="210"/>
      <c r="F125" s="105">
        <v>31279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0</v>
      </c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>
        <v>0</v>
      </c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300140</v>
      </c>
      <c r="E131" s="18">
        <f>E111+E121</f>
        <v>0</v>
      </c>
      <c r="F131" s="18">
        <f>F111+F121</f>
        <v>302220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104693</v>
      </c>
      <c r="E133" s="339">
        <f t="shared" si="34"/>
        <v>0</v>
      </c>
      <c r="F133" s="338">
        <f t="shared" ref="F133:G133" si="35">F134+F140</f>
        <v>111912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58966</v>
      </c>
      <c r="E134" s="337">
        <f t="shared" si="36"/>
        <v>0</v>
      </c>
      <c r="F134" s="336">
        <f t="shared" ref="F134:G134" si="37">F135+F136+F138+F139</f>
        <v>66711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42786</v>
      </c>
      <c r="E135" s="113"/>
      <c r="F135" s="105">
        <v>39576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5770</v>
      </c>
      <c r="E136" s="113"/>
      <c r="F136" s="105">
        <v>14612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0</v>
      </c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9398</v>
      </c>
      <c r="E138" s="210"/>
      <c r="F138" s="105">
        <v>10732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1012</v>
      </c>
      <c r="E139" s="210"/>
      <c r="F139" s="105">
        <v>1791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45727</v>
      </c>
      <c r="E140" s="337">
        <f t="shared" si="38"/>
        <v>0</v>
      </c>
      <c r="F140" s="336">
        <f t="shared" ref="F140:G140" si="39">F141+F143+F144</f>
        <v>45201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0</v>
      </c>
      <c r="E141" s="210"/>
      <c r="F141" s="105">
        <v>0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4239</v>
      </c>
      <c r="E143" s="210"/>
      <c r="F143" s="105">
        <v>4153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41488</v>
      </c>
      <c r="E144" s="276"/>
      <c r="F144" s="117">
        <v>41048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195447</v>
      </c>
      <c r="E145" s="210"/>
      <c r="F145" s="209">
        <v>190308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151886</v>
      </c>
      <c r="E146" s="174"/>
      <c r="F146" s="169">
        <v>149807</v>
      </c>
      <c r="G146" s="174"/>
    </row>
    <row r="147" spans="1:7">
      <c r="A147" s="13">
        <v>2</v>
      </c>
      <c r="B147" s="14"/>
      <c r="C147" s="13" t="s">
        <v>34</v>
      </c>
      <c r="D147" s="18">
        <f t="shared" ref="D147:E147" si="40">D133+D145</f>
        <v>300140</v>
      </c>
      <c r="E147" s="18">
        <f t="shared" si="40"/>
        <v>0</v>
      </c>
      <c r="F147" s="18">
        <f t="shared" ref="F147:G147" si="41">F133+F145</f>
        <v>302220</v>
      </c>
      <c r="G147" s="18">
        <f t="shared" si="41"/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42">D77+SUM(D8:D12)-D30-D31+D16-D33+D59+D63-D73+D64-D74-D54+D20-D35</f>
        <v>5749</v>
      </c>
      <c r="E150" s="55">
        <f t="shared" si="42"/>
        <v>1996</v>
      </c>
      <c r="F150" s="55">
        <f t="shared" ref="F150:G150" si="43">F77+SUM(F8:F12)-F30-F31+F16-F33+F59+F63-F73+F64-F74-F54+F20-F35</f>
        <v>9478</v>
      </c>
      <c r="G150" s="55">
        <f t="shared" si="43"/>
        <v>1771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4">IF(D177=0,0,D150/D177)</f>
        <v>2.6849430226041471E-2</v>
      </c>
      <c r="E151" s="258">
        <f t="shared" si="44"/>
        <v>9.1378552593026664E-3</v>
      </c>
      <c r="F151" s="258">
        <f t="shared" ref="F151:G151" si="45">IF(F177=0,0,F150/F177)</f>
        <v>4.1544483455406962E-2</v>
      </c>
      <c r="G151" s="258">
        <f t="shared" si="45"/>
        <v>7.8131893341803864E-3</v>
      </c>
    </row>
    <row r="152" spans="1:7" s="91" customFormat="1" ht="28">
      <c r="A152" s="57" t="s">
        <v>404</v>
      </c>
      <c r="B152" s="310"/>
      <c r="C152" s="310" t="s">
        <v>161</v>
      </c>
      <c r="D152" s="244">
        <f t="shared" ref="D152:E152" si="46">IF(D107=0,0,D150/D107)</f>
        <v>0.26961496975097315</v>
      </c>
      <c r="E152" s="244">
        <f t="shared" si="46"/>
        <v>6.9651394074746131E-2</v>
      </c>
      <c r="F152" s="244">
        <f t="shared" ref="F152:G152" si="47">IF(F107=0,0,F150/F107)</f>
        <v>0.33057793589341145</v>
      </c>
      <c r="G152" s="244">
        <f t="shared" si="47"/>
        <v>6.0135823429541595E-2</v>
      </c>
    </row>
    <row r="153" spans="1:7" s="251" customFormat="1" ht="28">
      <c r="A153" s="60" t="s">
        <v>404</v>
      </c>
      <c r="B153" s="311"/>
      <c r="C153" s="311" t="s">
        <v>162</v>
      </c>
      <c r="D153" s="322">
        <f t="shared" ref="D153:E153" si="48">IF(0=D108,0,D150/D108)</f>
        <v>0.27230958696475938</v>
      </c>
      <c r="E153" s="322">
        <f t="shared" si="48"/>
        <v>7.0025259612685936E-2</v>
      </c>
      <c r="F153" s="322">
        <f t="shared" ref="F153:G153" si="49">IF(0=F108,0,F150/F108)</f>
        <v>0.32619768722466963</v>
      </c>
      <c r="G153" s="322">
        <f t="shared" si="49"/>
        <v>5.953941838964532E-2</v>
      </c>
    </row>
    <row r="154" spans="1:7" s="251" customFormat="1" ht="28">
      <c r="A154" s="58" t="s">
        <v>412</v>
      </c>
      <c r="B154" s="309"/>
      <c r="C154" s="309" t="s">
        <v>163</v>
      </c>
      <c r="D154" s="59">
        <f t="shared" ref="D154:E154" si="50">D150-D107</f>
        <v>-15574</v>
      </c>
      <c r="E154" s="59">
        <f t="shared" si="50"/>
        <v>-26661</v>
      </c>
      <c r="F154" s="59">
        <f t="shared" ref="F154:G154" si="51">F150-F107</f>
        <v>-19193</v>
      </c>
      <c r="G154" s="59">
        <f t="shared" si="51"/>
        <v>-27679</v>
      </c>
    </row>
    <row r="155" spans="1:7" ht="28">
      <c r="A155" s="329" t="s">
        <v>413</v>
      </c>
      <c r="B155" s="321"/>
      <c r="C155" s="321" t="s">
        <v>164</v>
      </c>
      <c r="D155" s="56">
        <f t="shared" ref="D155:E155" si="52">D150-D108</f>
        <v>-15363</v>
      </c>
      <c r="E155" s="56">
        <f t="shared" si="52"/>
        <v>-26508</v>
      </c>
      <c r="F155" s="56">
        <f t="shared" ref="F155:G155" si="53">F150-F108</f>
        <v>-19578</v>
      </c>
      <c r="G155" s="56">
        <f t="shared" si="53"/>
        <v>-27974</v>
      </c>
    </row>
    <row r="156" spans="1:7">
      <c r="A156" s="325" t="s">
        <v>391</v>
      </c>
      <c r="B156" s="307"/>
      <c r="C156" s="307" t="s">
        <v>35</v>
      </c>
      <c r="D156" s="47">
        <f t="shared" ref="D156:E156" si="54">D135+D136-D137+D141-D142</f>
        <v>48556</v>
      </c>
      <c r="E156" s="47">
        <f t="shared" si="54"/>
        <v>0</v>
      </c>
      <c r="F156" s="47">
        <f t="shared" ref="F156:G156" si="55">F135+F136-F137+F141-F142</f>
        <v>54188</v>
      </c>
      <c r="G156" s="47">
        <f t="shared" si="55"/>
        <v>0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6">IF(D177=0,0,D156/D177)</f>
        <v>0.22677003549411545</v>
      </c>
      <c r="E157" s="241">
        <f t="shared" si="56"/>
        <v>0</v>
      </c>
      <c r="F157" s="241">
        <f t="shared" ref="F157:G157" si="57">IF(F177=0,0,F156/F177)</f>
        <v>0.23751977943464786</v>
      </c>
      <c r="G157" s="241">
        <f t="shared" si="57"/>
        <v>0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8">D133-D142-D111</f>
        <v>-82591</v>
      </c>
      <c r="E158" s="47">
        <f t="shared" si="58"/>
        <v>0</v>
      </c>
      <c r="F158" s="47">
        <f t="shared" ref="F158:G158" si="59">F133-F142-F111</f>
        <v>-63023</v>
      </c>
      <c r="G158" s="47">
        <f t="shared" si="59"/>
        <v>0</v>
      </c>
    </row>
    <row r="159" spans="1:7">
      <c r="A159" s="326" t="s">
        <v>395</v>
      </c>
      <c r="B159" s="308"/>
      <c r="C159" s="308" t="s">
        <v>394</v>
      </c>
      <c r="D159" s="40">
        <f t="shared" ref="D159:E159" si="60">D121-D123-D124-D142-D145</f>
        <v>-112489</v>
      </c>
      <c r="E159" s="40">
        <f t="shared" si="60"/>
        <v>0</v>
      </c>
      <c r="F159" s="40">
        <f t="shared" ref="F159:G159" si="61">F121-F123-F124-F142-F145</f>
        <v>-92496</v>
      </c>
      <c r="G159" s="40">
        <f t="shared" si="61"/>
        <v>0</v>
      </c>
    </row>
    <row r="160" spans="1:7">
      <c r="A160" s="326" t="s">
        <v>400</v>
      </c>
      <c r="B160" s="308"/>
      <c r="C160" s="308" t="s">
        <v>115</v>
      </c>
      <c r="D160" s="240">
        <f t="shared" ref="D160:E160" si="62">IF(D175=0,"-",1000*D158/D175)</f>
        <v>-2275.2341597796144</v>
      </c>
      <c r="E160" s="240">
        <f t="shared" si="62"/>
        <v>0</v>
      </c>
      <c r="F160" s="240">
        <f t="shared" ref="F160:G160" si="63">IF(F175=0,"-",1000*F158/F175)</f>
        <v>-1715.4717186564321</v>
      </c>
      <c r="G160" s="240">
        <f t="shared" si="63"/>
        <v>0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4">IF(D175=0,0,1000*(D159/D175))</f>
        <v>-3098.8705234159779</v>
      </c>
      <c r="E161" s="40">
        <f t="shared" si="64"/>
        <v>0</v>
      </c>
      <c r="F161" s="40">
        <f t="shared" ref="F161:G161" si="65">IF(F175=0,0,1000*(F159/F175))</f>
        <v>-2517.7200718601994</v>
      </c>
      <c r="G161" s="40">
        <f t="shared" si="65"/>
        <v>0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6">IF((D22+D23+D65+D66)=0,0,D158/(D22+D23+D65+D66))</f>
        <v>-0.99035913424066191</v>
      </c>
      <c r="E162" s="241">
        <f t="shared" si="66"/>
        <v>0</v>
      </c>
      <c r="F162" s="241">
        <f t="shared" ref="F162:G162" si="67">IF((F22+F23+F65+F66)=0,0,F158/(F22+F23+F65+F66))</f>
        <v>-0.67970578401872284</v>
      </c>
      <c r="G162" s="241">
        <f t="shared" si="67"/>
        <v>0</v>
      </c>
    </row>
    <row r="163" spans="1:7">
      <c r="A163" s="326" t="s">
        <v>409</v>
      </c>
      <c r="B163" s="308"/>
      <c r="C163" s="308" t="s">
        <v>36</v>
      </c>
      <c r="D163" s="55">
        <f t="shared" ref="D163:E163" si="68">D145</f>
        <v>195447</v>
      </c>
      <c r="E163" s="55">
        <f t="shared" si="68"/>
        <v>0</v>
      </c>
      <c r="F163" s="55">
        <f t="shared" ref="F163:G163" si="69">F145</f>
        <v>190308</v>
      </c>
      <c r="G163" s="55">
        <f t="shared" si="69"/>
        <v>0</v>
      </c>
    </row>
    <row r="164" spans="1:7" ht="28">
      <c r="A164" s="57" t="s">
        <v>408</v>
      </c>
      <c r="B164" s="319"/>
      <c r="C164" s="319" t="s">
        <v>117</v>
      </c>
      <c r="D164" s="245">
        <f t="shared" ref="D164:E164" si="70">IF(D178=0,0,D146/D178)</f>
        <v>0.68629187489268639</v>
      </c>
      <c r="E164" s="245">
        <f t="shared" si="70"/>
        <v>0</v>
      </c>
      <c r="F164" s="245">
        <f t="shared" ref="F164:G164" si="71">IF(F178=0,0,F146/F178)</f>
        <v>0.64234474892697424</v>
      </c>
      <c r="G164" s="245">
        <f t="shared" si="71"/>
        <v>0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72">IF(D177=0,0,D180/D177)</f>
        <v>5.1961516906407622E-2</v>
      </c>
      <c r="E165" s="259">
        <f t="shared" si="72"/>
        <v>5.8398036917667741E-2</v>
      </c>
      <c r="F165" s="259">
        <f t="shared" ref="F165:G165" si="73">IF(F177=0,0,F180/F177)</f>
        <v>6.0085648787372721E-2</v>
      </c>
      <c r="G165" s="259">
        <f t="shared" si="73"/>
        <v>6.1852577337780365E-2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74">D55</f>
        <v>16996</v>
      </c>
      <c r="E166" s="55">
        <f t="shared" si="74"/>
        <v>17410</v>
      </c>
      <c r="F166" s="55">
        <f t="shared" ref="F166:G166" si="75">F55</f>
        <v>18795</v>
      </c>
      <c r="G166" s="55">
        <f t="shared" si="75"/>
        <v>19626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6">IF(0=D111,0,(D44+D45+D46+D47+D48)/D111)</f>
        <v>1.370645650455992E-2</v>
      </c>
      <c r="E167" s="241">
        <f t="shared" si="76"/>
        <v>0</v>
      </c>
      <c r="F167" s="241">
        <f t="shared" ref="F167:G167" si="77">IF(0=F111,0,(F44+F45+F46+F47+F48)/F111)</f>
        <v>1.1941578300511619E-2</v>
      </c>
      <c r="G167" s="241">
        <f t="shared" si="77"/>
        <v>0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8">D38-D44</f>
        <v>-2016</v>
      </c>
      <c r="E168" s="55">
        <f t="shared" si="78"/>
        <v>-1574</v>
      </c>
      <c r="F168" s="55">
        <f t="shared" ref="F168:G168" si="79">F38-F44</f>
        <v>-1384</v>
      </c>
      <c r="G168" s="55">
        <f t="shared" si="79"/>
        <v>-1152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80">IF(D177=0,0,D168/D177)</f>
        <v>-9.4152811507565853E-3</v>
      </c>
      <c r="E169" s="258">
        <f t="shared" si="80"/>
        <v>-7.2059038968649283E-3</v>
      </c>
      <c r="F169" s="258">
        <f t="shared" ref="F169:G169" si="81">IF(F177=0,0,F168/F177)</f>
        <v>-6.066423834383123E-3</v>
      </c>
      <c r="G169" s="258">
        <f t="shared" si="81"/>
        <v>-5.082323045158558E-3</v>
      </c>
    </row>
    <row r="170" spans="1:7">
      <c r="A170" s="326" t="s">
        <v>366</v>
      </c>
      <c r="B170" s="308"/>
      <c r="C170" s="308" t="s">
        <v>364</v>
      </c>
      <c r="D170" s="55">
        <f t="shared" ref="D170:E170" si="82">SUM(D82:D87)+SUM(D89:D94)</f>
        <v>58382</v>
      </c>
      <c r="E170" s="55">
        <f t="shared" si="82"/>
        <v>45359</v>
      </c>
      <c r="F170" s="55">
        <f t="shared" ref="F170:G170" si="83">SUM(F82:F87)+SUM(F89:F94)</f>
        <v>47312</v>
      </c>
      <c r="G170" s="55">
        <f t="shared" si="83"/>
        <v>41727</v>
      </c>
    </row>
    <row r="171" spans="1:7">
      <c r="A171" s="326" t="s">
        <v>367</v>
      </c>
      <c r="B171" s="308"/>
      <c r="C171" s="308" t="s">
        <v>365</v>
      </c>
      <c r="D171" s="40">
        <f t="shared" ref="D171:E171" si="84">SUM(D96:D102)+SUM(D104:D105)</f>
        <v>37059</v>
      </c>
      <c r="E171" s="40">
        <f t="shared" si="84"/>
        <v>16702</v>
      </c>
      <c r="F171" s="40">
        <f t="shared" ref="F171:G171" si="85">SUM(F96:F102)+SUM(F104:F105)</f>
        <v>18641</v>
      </c>
      <c r="G171" s="40">
        <f t="shared" si="85"/>
        <v>12277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6">IF(D184=0,0,D170/D184)</f>
        <v>0.21936904439835272</v>
      </c>
      <c r="E172" s="259">
        <f t="shared" si="86"/>
        <v>0.17353993304638929</v>
      </c>
      <c r="F172" s="259">
        <f t="shared" ref="F172:G172" si="87">IF(F184=0,0,F170/F184)</f>
        <v>0.17840255205544536</v>
      </c>
      <c r="G172" s="259">
        <f t="shared" si="87"/>
        <v>0.1567099437035479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188</v>
      </c>
      <c r="D175" s="334">
        <v>36300</v>
      </c>
      <c r="E175" s="341">
        <v>36600</v>
      </c>
      <c r="F175" s="341">
        <v>36738</v>
      </c>
      <c r="G175" s="341">
        <v>36738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8">SUM(D22:D32)+SUM(D44:D53)+SUM(D65:D72)+D75</f>
        <v>214120</v>
      </c>
      <c r="E177" s="39">
        <f t="shared" si="88"/>
        <v>218432</v>
      </c>
      <c r="F177" s="39">
        <f t="shared" ref="F177:G177" si="89">SUM(F22:F32)+SUM(F44:F53)+SUM(F65:F72)+F75</f>
        <v>228141</v>
      </c>
      <c r="G177" s="39">
        <f t="shared" si="89"/>
        <v>226668</v>
      </c>
    </row>
    <row r="178" spans="1:7">
      <c r="A178" s="236" t="s">
        <v>385</v>
      </c>
      <c r="B178" s="23"/>
      <c r="C178" s="23" t="s">
        <v>100</v>
      </c>
      <c r="D178" s="39">
        <f t="shared" ref="D178:E178" si="90">D78-D17-D20-D59-D63-D64</f>
        <v>221314</v>
      </c>
      <c r="E178" s="39">
        <f t="shared" si="90"/>
        <v>230397</v>
      </c>
      <c r="F178" s="39">
        <f t="shared" ref="F178:G178" si="91">F78-F17-F20-F59-F63-F64</f>
        <v>233219</v>
      </c>
      <c r="G178" s="39">
        <f t="shared" si="91"/>
        <v>239732</v>
      </c>
    </row>
    <row r="179" spans="1:7">
      <c r="A179" s="236"/>
      <c r="B179" s="23"/>
      <c r="C179" s="23" t="s">
        <v>388</v>
      </c>
      <c r="D179" s="39">
        <f t="shared" ref="D179:E179" si="92">D178+D170</f>
        <v>279696</v>
      </c>
      <c r="E179" s="39">
        <f t="shared" si="92"/>
        <v>275756</v>
      </c>
      <c r="F179" s="39">
        <f t="shared" ref="F179:G179" si="93">F178+F170</f>
        <v>280531</v>
      </c>
      <c r="G179" s="39">
        <f t="shared" si="93"/>
        <v>281459</v>
      </c>
    </row>
    <row r="180" spans="1:7">
      <c r="A180" s="236" t="s">
        <v>389</v>
      </c>
      <c r="B180" s="23"/>
      <c r="C180" s="23" t="s">
        <v>390</v>
      </c>
      <c r="D180" s="39">
        <f t="shared" ref="D180:E180" si="94">D38-D44+D8+D9+D10+D16-D33</f>
        <v>11126</v>
      </c>
      <c r="E180" s="39">
        <f t="shared" si="94"/>
        <v>12756</v>
      </c>
      <c r="F180" s="39">
        <f t="shared" ref="F180:G180" si="95">F38-F44+F8+F9+F10+F16-F33</f>
        <v>13708</v>
      </c>
      <c r="G180" s="39">
        <f t="shared" si="95"/>
        <v>14020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6">D22+D23+D24+D25+D26+D29+SUM(D44:D47)+SUM(D49:D53)-D54+D32-D33+SUM(D65:D70)+D72</f>
        <v>212327</v>
      </c>
      <c r="E181" s="73">
        <f t="shared" si="96"/>
        <v>216837</v>
      </c>
      <c r="F181" s="73">
        <f t="shared" ref="F181:G181" si="97">F22+F23+F24+F25+F26+F29+SUM(F44:F47)+SUM(F49:F53)-F54+F32-F33+SUM(F65:F70)+F72</f>
        <v>226344</v>
      </c>
      <c r="G181" s="73">
        <f t="shared" si="97"/>
        <v>225124</v>
      </c>
    </row>
    <row r="182" spans="1:7">
      <c r="A182" s="237" t="s">
        <v>375</v>
      </c>
      <c r="B182" s="71"/>
      <c r="C182" s="71" t="s">
        <v>170</v>
      </c>
      <c r="D182" s="73">
        <f t="shared" ref="D182:E182" si="98">D181+D171</f>
        <v>249386</v>
      </c>
      <c r="E182" s="73">
        <f t="shared" si="98"/>
        <v>233539</v>
      </c>
      <c r="F182" s="73">
        <f t="shared" ref="F182:G182" si="99">F181+F171</f>
        <v>244985</v>
      </c>
      <c r="G182" s="73">
        <f t="shared" si="99"/>
        <v>237401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207754</v>
      </c>
      <c r="E183" s="73">
        <f t="shared" ref="E183:G183" si="100">E4+E5-E7+E38+E39+E40+E41+E43+E13-E16+E57+E58+E60+E62</f>
        <v>216016</v>
      </c>
      <c r="F183" s="73">
        <f t="shared" si="100"/>
        <v>217886</v>
      </c>
      <c r="G183" s="73">
        <f t="shared" si="100"/>
        <v>224542</v>
      </c>
    </row>
    <row r="184" spans="1:7">
      <c r="A184" s="237" t="s">
        <v>373</v>
      </c>
      <c r="B184" s="71"/>
      <c r="C184" s="71" t="s">
        <v>171</v>
      </c>
      <c r="D184" s="73">
        <f t="shared" ref="D184:E184" si="101">D183+D170</f>
        <v>266136</v>
      </c>
      <c r="E184" s="73">
        <f t="shared" si="101"/>
        <v>261375</v>
      </c>
      <c r="F184" s="73">
        <f t="shared" ref="F184:G184" si="102">F183+F170</f>
        <v>265198</v>
      </c>
      <c r="G184" s="73">
        <f t="shared" si="102"/>
        <v>266269</v>
      </c>
    </row>
    <row r="185" spans="1:7">
      <c r="A185" s="237"/>
      <c r="B185" s="71"/>
      <c r="C185" s="71" t="s">
        <v>405</v>
      </c>
      <c r="D185" s="73">
        <f t="shared" ref="D185:E186" si="103">D181-D183</f>
        <v>4573</v>
      </c>
      <c r="E185" s="73">
        <f t="shared" si="103"/>
        <v>821</v>
      </c>
      <c r="F185" s="73">
        <f t="shared" ref="F185:G185" si="104">F181-F183</f>
        <v>8458</v>
      </c>
      <c r="G185" s="73">
        <f t="shared" si="104"/>
        <v>582</v>
      </c>
    </row>
    <row r="186" spans="1:7">
      <c r="A186" s="237"/>
      <c r="B186" s="71"/>
      <c r="C186" s="71" t="s">
        <v>406</v>
      </c>
      <c r="D186" s="73">
        <f t="shared" si="103"/>
        <v>-16750</v>
      </c>
      <c r="E186" s="73">
        <f t="shared" si="103"/>
        <v>-27836</v>
      </c>
      <c r="F186" s="73">
        <f t="shared" ref="F186:G186" si="105">F182-F184</f>
        <v>-20213</v>
      </c>
      <c r="G186" s="73">
        <f t="shared" si="105"/>
        <v>-28868</v>
      </c>
    </row>
  </sheetData>
  <sheetProtection selectLockedCells="1" sort="0" autoFilter="0" pivotTables="0"/>
  <mergeCells count="2">
    <mergeCell ref="A3:C3"/>
    <mergeCell ref="A81:C81"/>
  </mergeCells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X186"/>
  <sheetViews>
    <sheetView view="pageLayout" topLeftCell="A159" zoomScaleNormal="115" workbookViewId="0">
      <selection activeCell="H183" sqref="H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50" s="2" customFormat="1" ht="18" customHeight="1">
      <c r="A1" s="43" t="s">
        <v>3</v>
      </c>
      <c r="B1" s="44" t="s">
        <v>168</v>
      </c>
      <c r="C1" s="44" t="s">
        <v>136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 spans="1:50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50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50" s="62" customFormat="1" ht="12.75" customHeight="1">
      <c r="A4" s="148">
        <v>30</v>
      </c>
      <c r="B4" s="96"/>
      <c r="C4" s="97" t="s">
        <v>1</v>
      </c>
      <c r="D4" s="99">
        <v>72286.7</v>
      </c>
      <c r="E4" s="100">
        <v>74993.3</v>
      </c>
      <c r="F4" s="99">
        <v>73546.8</v>
      </c>
      <c r="G4" s="100">
        <v>76049.899999999994</v>
      </c>
    </row>
    <row r="5" spans="1:50" s="62" customFormat="1" ht="12.75" customHeight="1">
      <c r="A5" s="101">
        <v>31</v>
      </c>
      <c r="B5" s="102"/>
      <c r="C5" s="103" t="s">
        <v>4</v>
      </c>
      <c r="D5" s="105">
        <v>26851.8</v>
      </c>
      <c r="E5" s="106">
        <v>26646.400000000001</v>
      </c>
      <c r="F5" s="105">
        <v>27286.1</v>
      </c>
      <c r="G5" s="106">
        <v>30373.599999999999</v>
      </c>
    </row>
    <row r="6" spans="1:50" s="62" customFormat="1" ht="12.75" customHeight="1">
      <c r="A6" s="107" t="s">
        <v>229</v>
      </c>
      <c r="B6" s="108"/>
      <c r="C6" s="109" t="s">
        <v>230</v>
      </c>
      <c r="D6" s="150">
        <v>5428.9</v>
      </c>
      <c r="E6" s="155">
        <v>4647.2</v>
      </c>
      <c r="F6" s="150">
        <v>5420.4</v>
      </c>
      <c r="G6" s="155">
        <v>5984.2</v>
      </c>
    </row>
    <row r="7" spans="1:50" s="62" customFormat="1" ht="12.75" customHeight="1">
      <c r="A7" s="107" t="s">
        <v>371</v>
      </c>
      <c r="B7" s="108"/>
      <c r="C7" s="109" t="s">
        <v>372</v>
      </c>
      <c r="D7" s="150">
        <v>452.6</v>
      </c>
      <c r="E7" s="155">
        <v>750</v>
      </c>
      <c r="F7" s="150">
        <v>410.7</v>
      </c>
      <c r="G7" s="155">
        <v>403</v>
      </c>
    </row>
    <row r="8" spans="1:50" s="62" customFormat="1" ht="12.75" customHeight="1">
      <c r="A8" s="145">
        <v>330</v>
      </c>
      <c r="B8" s="102"/>
      <c r="C8" s="103" t="s">
        <v>231</v>
      </c>
      <c r="D8" s="105">
        <v>8712.6</v>
      </c>
      <c r="E8" s="113">
        <v>7898</v>
      </c>
      <c r="F8" s="105">
        <v>7465.9</v>
      </c>
      <c r="G8" s="113">
        <v>6946</v>
      </c>
    </row>
    <row r="9" spans="1:50" s="62" customFormat="1" ht="12.75" customHeight="1">
      <c r="A9" s="145">
        <v>332</v>
      </c>
      <c r="B9" s="102"/>
      <c r="C9" s="103" t="s">
        <v>232</v>
      </c>
      <c r="D9" s="105">
        <v>574.29999999999995</v>
      </c>
      <c r="E9" s="113">
        <v>673</v>
      </c>
      <c r="F9" s="105">
        <v>631.4</v>
      </c>
      <c r="G9" s="113">
        <v>824</v>
      </c>
    </row>
    <row r="10" spans="1:50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50" s="62" customFormat="1" ht="12.75" customHeight="1">
      <c r="A11" s="101">
        <v>350</v>
      </c>
      <c r="B11" s="102"/>
      <c r="C11" s="103" t="s">
        <v>234</v>
      </c>
      <c r="D11" s="105">
        <v>228.7</v>
      </c>
      <c r="E11" s="113">
        <v>0.3</v>
      </c>
      <c r="F11" s="105">
        <v>17.7</v>
      </c>
      <c r="G11" s="113">
        <v>0</v>
      </c>
    </row>
    <row r="12" spans="1:50" s="63" customFormat="1" ht="14">
      <c r="A12" s="114">
        <v>351</v>
      </c>
      <c r="B12" s="115"/>
      <c r="C12" s="116" t="s">
        <v>272</v>
      </c>
      <c r="D12" s="119">
        <v>1090.7</v>
      </c>
      <c r="E12" s="296">
        <v>189.1</v>
      </c>
      <c r="F12" s="119">
        <v>826.3</v>
      </c>
      <c r="G12" s="296">
        <v>171.5</v>
      </c>
    </row>
    <row r="13" spans="1:50" s="62" customFormat="1" ht="12.75" customHeight="1">
      <c r="A13" s="101">
        <v>36</v>
      </c>
      <c r="B13" s="102"/>
      <c r="C13" s="103" t="s">
        <v>5</v>
      </c>
      <c r="D13" s="105">
        <v>191174.5</v>
      </c>
      <c r="E13" s="113">
        <v>194069.2</v>
      </c>
      <c r="F13" s="105">
        <v>203551.1</v>
      </c>
      <c r="G13" s="113">
        <v>199700.9</v>
      </c>
    </row>
    <row r="14" spans="1:50" s="95" customFormat="1" ht="14">
      <c r="A14" s="121" t="s">
        <v>173</v>
      </c>
      <c r="B14" s="111"/>
      <c r="C14" s="122" t="s">
        <v>174</v>
      </c>
      <c r="D14" s="270">
        <v>23434.400000000001</v>
      </c>
      <c r="E14" s="271">
        <v>26338</v>
      </c>
      <c r="F14" s="270">
        <v>24114.400000000001</v>
      </c>
      <c r="G14" s="271">
        <v>24802</v>
      </c>
    </row>
    <row r="15" spans="1:50" s="95" customFormat="1" ht="14">
      <c r="A15" s="121" t="s">
        <v>175</v>
      </c>
      <c r="B15" s="111"/>
      <c r="C15" s="122" t="s">
        <v>176</v>
      </c>
      <c r="D15" s="270">
        <v>6944.8</v>
      </c>
      <c r="E15" s="271">
        <v>7224</v>
      </c>
      <c r="F15" s="270">
        <v>7274.8</v>
      </c>
      <c r="G15" s="271">
        <v>7922.7</v>
      </c>
    </row>
    <row r="16" spans="1:50" s="64" customFormat="1" ht="26.25" customHeight="1">
      <c r="A16" s="121" t="s">
        <v>146</v>
      </c>
      <c r="B16" s="123"/>
      <c r="C16" s="122" t="s">
        <v>148</v>
      </c>
      <c r="D16" s="125">
        <v>8947.5</v>
      </c>
      <c r="E16" s="127">
        <v>10313</v>
      </c>
      <c r="F16" s="125">
        <v>9729.5</v>
      </c>
      <c r="G16" s="127">
        <v>10595</v>
      </c>
    </row>
    <row r="17" spans="1:7" s="65" customFormat="1">
      <c r="A17" s="101">
        <v>37</v>
      </c>
      <c r="B17" s="102"/>
      <c r="C17" s="103" t="s">
        <v>6</v>
      </c>
      <c r="D17" s="104">
        <v>22093.4</v>
      </c>
      <c r="E17" s="157">
        <v>22255.7</v>
      </c>
      <c r="F17" s="104">
        <v>22307.5</v>
      </c>
      <c r="G17" s="157">
        <v>22219.5</v>
      </c>
    </row>
    <row r="18" spans="1:7" s="65" customFormat="1">
      <c r="A18" s="112" t="s">
        <v>196</v>
      </c>
      <c r="B18" s="108"/>
      <c r="C18" s="109" t="s">
        <v>197</v>
      </c>
      <c r="D18" s="104">
        <v>0</v>
      </c>
      <c r="E18" s="157">
        <v>0</v>
      </c>
      <c r="F18" s="104">
        <v>0</v>
      </c>
      <c r="G18" s="157">
        <v>0</v>
      </c>
    </row>
    <row r="19" spans="1:7" s="65" customFormat="1">
      <c r="A19" s="112" t="s">
        <v>198</v>
      </c>
      <c r="B19" s="108"/>
      <c r="C19" s="109" t="s">
        <v>199</v>
      </c>
      <c r="D19" s="104">
        <v>0</v>
      </c>
      <c r="E19" s="157">
        <v>0</v>
      </c>
      <c r="F19" s="104">
        <v>0</v>
      </c>
      <c r="G19" s="157">
        <v>0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28857.8</v>
      </c>
      <c r="E20" s="159">
        <v>28686.1</v>
      </c>
      <c r="F20" s="134">
        <v>27201.8</v>
      </c>
      <c r="G20" s="159">
        <v>30954.7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323012.7</v>
      </c>
      <c r="E21" s="15">
        <f t="shared" si="0"/>
        <v>326725.00000000006</v>
      </c>
      <c r="F21" s="15">
        <f t="shared" ref="F21:G21" si="1">F4+F5+SUM(F8:F13)+F17</f>
        <v>335632.8</v>
      </c>
      <c r="G21" s="15">
        <f t="shared" si="1"/>
        <v>336285.4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138090</v>
      </c>
      <c r="E22" s="141">
        <v>145200</v>
      </c>
      <c r="F22" s="152">
        <f>130279.9+13477.2</f>
        <v>143757.1</v>
      </c>
      <c r="G22" s="141">
        <f>139200+11650</f>
        <v>150850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26596.2</v>
      </c>
      <c r="E23" s="141">
        <v>26140</v>
      </c>
      <c r="F23" s="152">
        <f>20308.2+11053.8</f>
        <v>31362</v>
      </c>
      <c r="G23" s="141">
        <f>16000+10900</f>
        <v>26900</v>
      </c>
    </row>
    <row r="24" spans="1:7" s="67" customFormat="1" ht="12.75" customHeight="1">
      <c r="A24" s="101">
        <v>41</v>
      </c>
      <c r="B24" s="102"/>
      <c r="C24" s="103" t="s">
        <v>9</v>
      </c>
      <c r="D24" s="152">
        <v>11968.8</v>
      </c>
      <c r="E24" s="141">
        <v>12181</v>
      </c>
      <c r="F24" s="152">
        <v>12102.9</v>
      </c>
      <c r="G24" s="141">
        <v>11960.6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20958.099999999999</v>
      </c>
      <c r="E25" s="141">
        <v>20566.5</v>
      </c>
      <c r="F25" s="152">
        <v>18035.900000000001</v>
      </c>
      <c r="G25" s="141">
        <v>20655.599999999999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65.099999999999994</v>
      </c>
      <c r="E26" s="144">
        <v>2</v>
      </c>
      <c r="F26" s="268">
        <v>0.7</v>
      </c>
      <c r="G26" s="144">
        <v>6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4.2</v>
      </c>
      <c r="E27" s="144">
        <v>40</v>
      </c>
      <c r="F27" s="268">
        <v>47.1</v>
      </c>
      <c r="G27" s="144">
        <v>52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0</v>
      </c>
      <c r="E28" s="144"/>
      <c r="F28" s="268">
        <v>0</v>
      </c>
      <c r="G28" s="144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0</v>
      </c>
      <c r="E29" s="144"/>
      <c r="F29" s="268">
        <v>0</v>
      </c>
      <c r="G29" s="144">
        <v>0</v>
      </c>
    </row>
    <row r="30" spans="1:7" s="62" customFormat="1" ht="14">
      <c r="A30" s="264">
        <v>450</v>
      </c>
      <c r="B30" s="297"/>
      <c r="C30" s="298" t="s">
        <v>271</v>
      </c>
      <c r="D30" s="299">
        <v>57</v>
      </c>
      <c r="E30" s="301">
        <v>168.9</v>
      </c>
      <c r="F30" s="299">
        <v>180.6</v>
      </c>
      <c r="G30" s="301">
        <v>152.69999999999999</v>
      </c>
    </row>
    <row r="31" spans="1:7" s="63" customFormat="1" ht="14">
      <c r="A31" s="264">
        <v>451</v>
      </c>
      <c r="B31" s="297"/>
      <c r="C31" s="298" t="s">
        <v>14</v>
      </c>
      <c r="D31" s="302">
        <v>195.15</v>
      </c>
      <c r="E31" s="303">
        <v>77.8</v>
      </c>
      <c r="F31" s="302">
        <v>169.6</v>
      </c>
      <c r="G31" s="303">
        <v>229.2</v>
      </c>
    </row>
    <row r="32" spans="1:7" s="69" customFormat="1" ht="12.75" customHeight="1">
      <c r="A32" s="101">
        <v>46</v>
      </c>
      <c r="B32" s="102"/>
      <c r="C32" s="103" t="s">
        <v>15</v>
      </c>
      <c r="D32" s="152">
        <v>83435.3</v>
      </c>
      <c r="E32" s="141">
        <v>81318.3</v>
      </c>
      <c r="F32" s="152">
        <v>86381.6</v>
      </c>
      <c r="G32" s="141">
        <v>84568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0</v>
      </c>
      <c r="E33" s="143">
        <v>0</v>
      </c>
      <c r="F33" s="152">
        <v>0</v>
      </c>
      <c r="G33" s="143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22093.4</v>
      </c>
      <c r="E34" s="141">
        <v>22255.7</v>
      </c>
      <c r="F34" s="152">
        <v>22307.5</v>
      </c>
      <c r="G34" s="157">
        <v>22219.5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28857.8</v>
      </c>
      <c r="E35" s="147">
        <v>28686.1</v>
      </c>
      <c r="F35" s="146">
        <v>27201.8</v>
      </c>
      <c r="G35" s="159">
        <v>30954.7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303463.25000000006</v>
      </c>
      <c r="E36" s="15">
        <f t="shared" si="2"/>
        <v>307950.2</v>
      </c>
      <c r="F36" s="15">
        <f t="shared" ref="F36:G36" si="3">F22+F23+F24+F25+F26+F27+F28+F29+F30+F31+F32+F34</f>
        <v>314345</v>
      </c>
      <c r="G36" s="15">
        <f t="shared" si="3"/>
        <v>317593.60000000003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-19549.449999999953</v>
      </c>
      <c r="E37" s="16">
        <f t="shared" si="4"/>
        <v>-18774.800000000047</v>
      </c>
      <c r="F37" s="16">
        <f t="shared" ref="F37:G37" si="5">F36-F21</f>
        <v>-21287.799999999988</v>
      </c>
      <c r="G37" s="16">
        <f t="shared" si="5"/>
        <v>-18691.799999999988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3222</v>
      </c>
      <c r="E38" s="141">
        <v>3046.5</v>
      </c>
      <c r="F38" s="140">
        <v>2842.7</v>
      </c>
      <c r="G38" s="141">
        <v>2815.2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0.3</v>
      </c>
      <c r="E39" s="141">
        <v>10</v>
      </c>
      <c r="F39" s="152">
        <v>0</v>
      </c>
      <c r="G39" s="141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66.7</v>
      </c>
      <c r="E40" s="141">
        <v>0</v>
      </c>
      <c r="F40" s="152">
        <v>0</v>
      </c>
      <c r="G40" s="141">
        <v>0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12.1</v>
      </c>
      <c r="E41" s="141">
        <v>14</v>
      </c>
      <c r="F41" s="152">
        <v>23.3</v>
      </c>
      <c r="G41" s="141">
        <v>14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0</v>
      </c>
      <c r="E42" s="141">
        <v>0</v>
      </c>
      <c r="F42" s="152">
        <v>0</v>
      </c>
      <c r="G42" s="141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0</v>
      </c>
      <c r="E43" s="141">
        <v>0</v>
      </c>
      <c r="F43" s="152">
        <v>0</v>
      </c>
      <c r="G43" s="141">
        <v>0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2377.9</v>
      </c>
      <c r="E44" s="141">
        <v>2400.8000000000002</v>
      </c>
      <c r="F44" s="140">
        <v>1943.3</v>
      </c>
      <c r="G44" s="141">
        <v>1985.7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0</v>
      </c>
      <c r="E45" s="141">
        <v>0</v>
      </c>
      <c r="F45" s="140">
        <v>0</v>
      </c>
      <c r="G45" s="141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3.7</v>
      </c>
      <c r="E46" s="141">
        <v>3.5</v>
      </c>
      <c r="F46" s="140">
        <v>3.7</v>
      </c>
      <c r="G46" s="141">
        <v>3.5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161.5</v>
      </c>
      <c r="E47" s="141">
        <v>150</v>
      </c>
      <c r="F47" s="140">
        <v>174.1</v>
      </c>
      <c r="G47" s="141">
        <v>170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-1</v>
      </c>
      <c r="E48" s="141">
        <v>0</v>
      </c>
      <c r="F48" s="140">
        <v>566</v>
      </c>
      <c r="G48" s="141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38.5</v>
      </c>
      <c r="E49" s="141">
        <v>90</v>
      </c>
      <c r="F49" s="140">
        <v>38.5</v>
      </c>
      <c r="G49" s="141">
        <v>40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12989.5</v>
      </c>
      <c r="E50" s="141">
        <v>12897.5</v>
      </c>
      <c r="F50" s="140">
        <v>13315.5</v>
      </c>
      <c r="G50" s="141">
        <v>14547.5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2047.5</v>
      </c>
      <c r="E51" s="141">
        <v>1971.3</v>
      </c>
      <c r="F51" s="140">
        <v>2185.6999999999998</v>
      </c>
      <c r="G51" s="141">
        <v>2066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40">
        <v>0</v>
      </c>
      <c r="G52" s="141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40">
        <v>0</v>
      </c>
      <c r="G53" s="141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70">
        <v>0</v>
      </c>
      <c r="G54" s="171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14316.499999999998</v>
      </c>
      <c r="E55" s="15">
        <f t="shared" si="6"/>
        <v>14442.599999999999</v>
      </c>
      <c r="F55" s="15">
        <f t="shared" ref="F55:G55" si="7">SUM(F44:F53)-SUM(F38:F43)</f>
        <v>15360.8</v>
      </c>
      <c r="G55" s="15">
        <f t="shared" si="7"/>
        <v>15983.5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-5232.9499999999553</v>
      </c>
      <c r="E56" s="15">
        <f t="shared" si="8"/>
        <v>-4332.200000000048</v>
      </c>
      <c r="F56" s="15">
        <f t="shared" ref="F56:G56" si="9">F55+F37</f>
        <v>-5926.9999999999891</v>
      </c>
      <c r="G56" s="15">
        <f t="shared" si="9"/>
        <v>-2708.2999999999884</v>
      </c>
    </row>
    <row r="57" spans="1:7" s="62" customFormat="1" ht="15.75" customHeight="1">
      <c r="A57" s="285">
        <v>380</v>
      </c>
      <c r="B57" s="286"/>
      <c r="C57" s="287" t="s">
        <v>484</v>
      </c>
      <c r="D57" s="290">
        <v>0</v>
      </c>
      <c r="E57" s="291">
        <v>-600</v>
      </c>
      <c r="F57" s="290">
        <v>0</v>
      </c>
      <c r="G57" s="291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>
        <v>0</v>
      </c>
      <c r="E58" s="291"/>
      <c r="F58" s="290">
        <v>0</v>
      </c>
      <c r="G58" s="291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1449.6</v>
      </c>
      <c r="E59" s="165">
        <v>-2969</v>
      </c>
      <c r="F59" s="261">
        <v>0</v>
      </c>
      <c r="G59" s="165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54">
        <v>0</v>
      </c>
      <c r="G60" s="149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54">
        <v>0</v>
      </c>
      <c r="G61" s="149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54">
        <v>0</v>
      </c>
      <c r="G62" s="149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-1268.4000000000001</v>
      </c>
      <c r="E63" s="149">
        <v>4385</v>
      </c>
      <c r="F63" s="154">
        <v>0</v>
      </c>
      <c r="G63" s="149">
        <v>0</v>
      </c>
    </row>
    <row r="64" spans="1:7" s="63" customFormat="1">
      <c r="A64" s="145">
        <v>389</v>
      </c>
      <c r="B64" s="294"/>
      <c r="C64" s="103" t="s">
        <v>7</v>
      </c>
      <c r="D64" s="152">
        <v>0</v>
      </c>
      <c r="E64" s="141">
        <v>0</v>
      </c>
      <c r="F64" s="152">
        <v>0</v>
      </c>
      <c r="G64" s="141">
        <v>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52">
        <v>0</v>
      </c>
      <c r="G65" s="141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60">
        <v>0</v>
      </c>
      <c r="G66" s="165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52">
        <v>0</v>
      </c>
      <c r="G67" s="141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52">
        <v>0</v>
      </c>
      <c r="G68" s="141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52">
        <v>0</v>
      </c>
      <c r="G69" s="141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/>
      <c r="F70" s="152">
        <v>0</v>
      </c>
      <c r="G70" s="141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/>
      <c r="F71" s="152">
        <v>0</v>
      </c>
      <c r="G71" s="141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/>
      <c r="F72" s="152">
        <v>0</v>
      </c>
      <c r="G72" s="141">
        <v>0</v>
      </c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40">
        <v>0</v>
      </c>
      <c r="G73" s="141">
        <v>0</v>
      </c>
    </row>
    <row r="74" spans="1:7" s="63" customFormat="1">
      <c r="A74" s="110">
        <v>489</v>
      </c>
      <c r="B74" s="182"/>
      <c r="C74" s="133" t="s">
        <v>18</v>
      </c>
      <c r="D74" s="140">
        <v>5577</v>
      </c>
      <c r="E74" s="141">
        <v>4748</v>
      </c>
      <c r="F74" s="140">
        <v>4748</v>
      </c>
      <c r="G74" s="141">
        <v>800</v>
      </c>
    </row>
    <row r="75" spans="1:7" s="63" customFormat="1">
      <c r="A75" s="181" t="s">
        <v>381</v>
      </c>
      <c r="B75" s="182"/>
      <c r="C75" s="167" t="s">
        <v>382</v>
      </c>
      <c r="D75" s="152">
        <v>0</v>
      </c>
      <c r="E75" s="141"/>
      <c r="F75" s="152">
        <v>0</v>
      </c>
      <c r="G75" s="141"/>
    </row>
    <row r="76" spans="1:7">
      <c r="A76" s="7"/>
      <c r="B76" s="7"/>
      <c r="C76" s="8" t="s">
        <v>22</v>
      </c>
      <c r="D76" s="15">
        <f t="shared" ref="D76:E76" si="10">SUM(D65:D74)-SUM(D57:D64)</f>
        <v>5395.8</v>
      </c>
      <c r="E76" s="15">
        <f t="shared" si="10"/>
        <v>3932</v>
      </c>
      <c r="F76" s="15">
        <f t="shared" ref="F76:G76" si="11">SUM(F65:F74)-SUM(F57:F64)</f>
        <v>4748</v>
      </c>
      <c r="G76" s="15">
        <f t="shared" si="11"/>
        <v>800</v>
      </c>
    </row>
    <row r="77" spans="1:7">
      <c r="A77" s="9"/>
      <c r="B77" s="9"/>
      <c r="C77" s="8" t="s">
        <v>23</v>
      </c>
      <c r="D77" s="15">
        <f t="shared" ref="D77:E77" si="12">D56+D76</f>
        <v>162.85000000004493</v>
      </c>
      <c r="E77" s="15">
        <f t="shared" si="12"/>
        <v>-400.20000000004802</v>
      </c>
      <c r="F77" s="15">
        <f t="shared" ref="F77:G77" si="13">F56+F76</f>
        <v>-1178.9999999999891</v>
      </c>
      <c r="G77" s="15">
        <f t="shared" si="13"/>
        <v>-1908.2999999999884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355352.8</v>
      </c>
      <c r="E78" s="37">
        <f t="shared" si="14"/>
        <v>359297.60000000003</v>
      </c>
      <c r="F78" s="37">
        <f t="shared" ref="F78:G78" si="15">F20+F21+SUM(F38:F43)+SUM(F57:F64)</f>
        <v>365700.6</v>
      </c>
      <c r="G78" s="37">
        <f t="shared" si="15"/>
        <v>370069.30000000005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355515.65</v>
      </c>
      <c r="E79" s="37">
        <f t="shared" si="16"/>
        <v>358897.39999999997</v>
      </c>
      <c r="F79" s="37">
        <f t="shared" ref="F79:G79" si="17">F35+F36+SUM(F44:F53)+SUM(F65:F74)</f>
        <v>364521.6</v>
      </c>
      <c r="G79" s="37">
        <f t="shared" si="17"/>
        <v>368161.00000000006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>
        <v>20542</v>
      </c>
      <c r="E82" s="141">
        <v>14145</v>
      </c>
      <c r="F82" s="152">
        <v>11933.5</v>
      </c>
      <c r="G82" s="141">
        <v>10419</v>
      </c>
    </row>
    <row r="83" spans="1:7" s="62" customFormat="1">
      <c r="A83" s="186">
        <v>51</v>
      </c>
      <c r="B83" s="187"/>
      <c r="C83" s="187" t="s">
        <v>253</v>
      </c>
      <c r="D83" s="152">
        <v>33.700000000000003</v>
      </c>
      <c r="E83" s="141">
        <v>0</v>
      </c>
      <c r="F83" s="152">
        <v>0</v>
      </c>
      <c r="G83" s="141">
        <v>0</v>
      </c>
    </row>
    <row r="84" spans="1:7" s="62" customFormat="1">
      <c r="A84" s="186">
        <v>52</v>
      </c>
      <c r="B84" s="187"/>
      <c r="C84" s="187" t="s">
        <v>254</v>
      </c>
      <c r="D84" s="152">
        <v>1454.6</v>
      </c>
      <c r="E84" s="141">
        <v>1320</v>
      </c>
      <c r="F84" s="152">
        <v>964.1</v>
      </c>
      <c r="G84" s="141">
        <v>1222</v>
      </c>
    </row>
    <row r="85" spans="1:7" s="62" customFormat="1">
      <c r="A85" s="188">
        <v>54</v>
      </c>
      <c r="B85" s="189"/>
      <c r="C85" s="189" t="s">
        <v>89</v>
      </c>
      <c r="D85" s="152">
        <v>1610.9</v>
      </c>
      <c r="E85" s="141">
        <v>1768</v>
      </c>
      <c r="F85" s="152">
        <v>2358.9</v>
      </c>
      <c r="G85" s="141">
        <v>2575</v>
      </c>
    </row>
    <row r="86" spans="1:7" s="62" customFormat="1">
      <c r="A86" s="186">
        <v>55</v>
      </c>
      <c r="B86" s="187"/>
      <c r="C86" s="187" t="s">
        <v>181</v>
      </c>
      <c r="D86" s="152">
        <v>0</v>
      </c>
      <c r="E86" s="141">
        <v>0</v>
      </c>
      <c r="F86" s="152">
        <v>0</v>
      </c>
      <c r="G86" s="141">
        <v>0</v>
      </c>
    </row>
    <row r="87" spans="1:7" s="62" customFormat="1">
      <c r="A87" s="186">
        <v>56</v>
      </c>
      <c r="B87" s="187"/>
      <c r="C87" s="187" t="s">
        <v>255</v>
      </c>
      <c r="D87" s="152">
        <v>9709.7999999999993</v>
      </c>
      <c r="E87" s="141">
        <v>20636</v>
      </c>
      <c r="F87" s="152">
        <v>10652.6</v>
      </c>
      <c r="G87" s="141">
        <v>18278</v>
      </c>
    </row>
    <row r="88" spans="1:7" s="62" customFormat="1">
      <c r="A88" s="186">
        <v>57</v>
      </c>
      <c r="B88" s="187"/>
      <c r="C88" s="187" t="s">
        <v>150</v>
      </c>
      <c r="D88" s="152">
        <v>762</v>
      </c>
      <c r="E88" s="141">
        <v>1280</v>
      </c>
      <c r="F88" s="152">
        <v>929.2</v>
      </c>
      <c r="G88" s="141">
        <v>2630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52">
        <v>0</v>
      </c>
      <c r="G89" s="141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52">
        <v>0</v>
      </c>
      <c r="G90" s="141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52">
        <v>0</v>
      </c>
      <c r="G91" s="141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52">
        <v>0</v>
      </c>
      <c r="G92" s="141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52">
        <v>0</v>
      </c>
      <c r="G93" s="141">
        <v>0</v>
      </c>
    </row>
    <row r="94" spans="1:7" s="62" customFormat="1">
      <c r="A94" s="190">
        <v>589</v>
      </c>
      <c r="B94" s="191"/>
      <c r="C94" s="191" t="s">
        <v>261</v>
      </c>
      <c r="D94" s="273">
        <v>0</v>
      </c>
      <c r="E94" s="147">
        <v>0</v>
      </c>
      <c r="F94" s="273">
        <v>0</v>
      </c>
      <c r="G94" s="147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34113</v>
      </c>
      <c r="E95" s="33">
        <f t="shared" si="18"/>
        <v>39149</v>
      </c>
      <c r="F95" s="33">
        <f t="shared" ref="F95:G95" si="19">SUM(F82:F94)</f>
        <v>26838.3</v>
      </c>
      <c r="G95" s="33">
        <f t="shared" si="19"/>
        <v>35124</v>
      </c>
    </row>
    <row r="96" spans="1:7" s="62" customFormat="1">
      <c r="A96" s="186">
        <v>60</v>
      </c>
      <c r="B96" s="187"/>
      <c r="C96" s="187" t="s">
        <v>262</v>
      </c>
      <c r="D96" s="152">
        <v>0</v>
      </c>
      <c r="E96" s="141"/>
      <c r="F96" s="152">
        <v>0</v>
      </c>
      <c r="G96" s="141">
        <v>0</v>
      </c>
    </row>
    <row r="97" spans="1:7" s="62" customFormat="1">
      <c r="A97" s="186">
        <v>61</v>
      </c>
      <c r="B97" s="187"/>
      <c r="C97" s="187" t="s">
        <v>263</v>
      </c>
      <c r="D97" s="152">
        <v>33.700000000000003</v>
      </c>
      <c r="E97" s="141">
        <v>0</v>
      </c>
      <c r="F97" s="152">
        <v>0</v>
      </c>
      <c r="G97" s="141">
        <v>0</v>
      </c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/>
      <c r="F98" s="152">
        <v>0</v>
      </c>
      <c r="G98" s="141">
        <v>0</v>
      </c>
    </row>
    <row r="99" spans="1:7" s="62" customFormat="1">
      <c r="A99" s="186">
        <v>63</v>
      </c>
      <c r="B99" s="187"/>
      <c r="C99" s="187" t="s">
        <v>265</v>
      </c>
      <c r="D99" s="152">
        <v>9577</v>
      </c>
      <c r="E99" s="141">
        <v>11899</v>
      </c>
      <c r="F99" s="152">
        <v>6042.9</v>
      </c>
      <c r="G99" s="141">
        <v>12388</v>
      </c>
    </row>
    <row r="100" spans="1:7" s="62" customFormat="1">
      <c r="A100" s="186">
        <v>64</v>
      </c>
      <c r="B100" s="187"/>
      <c r="C100" s="187" t="s">
        <v>185</v>
      </c>
      <c r="D100" s="152">
        <v>1416.1</v>
      </c>
      <c r="E100" s="141">
        <v>1244</v>
      </c>
      <c r="F100" s="152">
        <v>1314.4</v>
      </c>
      <c r="G100" s="141">
        <v>1508</v>
      </c>
    </row>
    <row r="101" spans="1:7" s="62" customFormat="1">
      <c r="A101" s="186">
        <v>65</v>
      </c>
      <c r="B101" s="187"/>
      <c r="C101" s="187" t="s">
        <v>186</v>
      </c>
      <c r="D101" s="152">
        <v>0</v>
      </c>
      <c r="E101" s="141">
        <v>0</v>
      </c>
      <c r="F101" s="152">
        <v>0</v>
      </c>
      <c r="G101" s="141">
        <v>0</v>
      </c>
    </row>
    <row r="102" spans="1:7" s="62" customFormat="1">
      <c r="A102" s="186">
        <v>66</v>
      </c>
      <c r="B102" s="187"/>
      <c r="C102" s="187" t="s">
        <v>266</v>
      </c>
      <c r="D102" s="152">
        <v>0</v>
      </c>
      <c r="E102" s="141"/>
      <c r="F102" s="152">
        <v>0</v>
      </c>
      <c r="G102" s="141">
        <v>0</v>
      </c>
    </row>
    <row r="103" spans="1:7" s="62" customFormat="1">
      <c r="A103" s="186">
        <v>67</v>
      </c>
      <c r="B103" s="187"/>
      <c r="C103" s="187" t="s">
        <v>150</v>
      </c>
      <c r="D103" s="140">
        <v>762</v>
      </c>
      <c r="E103" s="138">
        <v>1280</v>
      </c>
      <c r="F103" s="140">
        <v>929.2</v>
      </c>
      <c r="G103" s="138">
        <v>2630</v>
      </c>
    </row>
    <row r="104" spans="1:7" s="62" customFormat="1" ht="28">
      <c r="A104" s="192" t="s">
        <v>268</v>
      </c>
      <c r="B104" s="187"/>
      <c r="C104" s="193" t="s">
        <v>267</v>
      </c>
      <c r="D104" s="140">
        <v>0</v>
      </c>
      <c r="E104" s="138">
        <v>0</v>
      </c>
      <c r="F104" s="140">
        <v>0</v>
      </c>
      <c r="G104" s="138">
        <v>0</v>
      </c>
    </row>
    <row r="105" spans="1:7" s="62" customFormat="1" ht="42">
      <c r="A105" s="194" t="s">
        <v>269</v>
      </c>
      <c r="B105" s="191"/>
      <c r="C105" s="195" t="s">
        <v>270</v>
      </c>
      <c r="D105" s="146">
        <v>0</v>
      </c>
      <c r="E105" s="151">
        <v>0</v>
      </c>
      <c r="F105" s="146">
        <v>0</v>
      </c>
      <c r="G105" s="151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11788.800000000001</v>
      </c>
      <c r="E106" s="33">
        <f t="shared" si="20"/>
        <v>14423</v>
      </c>
      <c r="F106" s="33">
        <f t="shared" ref="F106:G106" si="21">SUM(F96:F105)</f>
        <v>8286.5</v>
      </c>
      <c r="G106" s="33">
        <f t="shared" si="21"/>
        <v>16526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22324.199999999997</v>
      </c>
      <c r="E107" s="33">
        <f t="shared" si="22"/>
        <v>24726</v>
      </c>
      <c r="F107" s="33">
        <f t="shared" ref="F107:G107" si="23">(F95-F88)-(F106-F103)</f>
        <v>18551.8</v>
      </c>
      <c r="G107" s="33">
        <f t="shared" si="23"/>
        <v>18598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ROUND(D107-D85-D86+D100+D101,0)</f>
        <v>22129</v>
      </c>
      <c r="E108" s="50">
        <f t="shared" si="24"/>
        <v>24202</v>
      </c>
      <c r="F108" s="50">
        <f t="shared" ref="F108:G108" si="25">ROUND(F107-F85-F86+F100+F101,0)</f>
        <v>17507</v>
      </c>
      <c r="G108" s="50">
        <f t="shared" si="25"/>
        <v>17531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239905</v>
      </c>
      <c r="E111" s="337">
        <f t="shared" si="26"/>
        <v>0</v>
      </c>
      <c r="F111" s="336">
        <f t="shared" ref="F111:G111" si="27">F112+F117</f>
        <v>222617.59999999998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167587</v>
      </c>
      <c r="E112" s="337">
        <f t="shared" si="28"/>
        <v>0</v>
      </c>
      <c r="F112" s="336">
        <f t="shared" ref="F112:G112" si="29">F113+F114+F115+F116</f>
        <v>177642.3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f>81166+65913</f>
        <v>147079</v>
      </c>
      <c r="E113" s="113"/>
      <c r="F113" s="105">
        <f>76920.3+62910.6</f>
        <v>139830.9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11000</v>
      </c>
      <c r="E114" s="271"/>
      <c r="F114" s="270">
        <v>27500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9383</v>
      </c>
      <c r="E115" s="113"/>
      <c r="F115" s="105">
        <v>10202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125</v>
      </c>
      <c r="E116" s="113"/>
      <c r="F116" s="105">
        <v>109.4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72318</v>
      </c>
      <c r="E117" s="337">
        <f t="shared" si="30"/>
        <v>0</v>
      </c>
      <c r="F117" s="336">
        <f t="shared" ref="F117:G117" si="31">F118+F119+F120</f>
        <v>44975.3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67925</v>
      </c>
      <c r="E118" s="113"/>
      <c r="F118" s="105">
        <v>40582.300000000003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4393</v>
      </c>
      <c r="E119" s="113"/>
      <c r="F119" s="105">
        <v>4393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146024</v>
      </c>
      <c r="E121" s="336">
        <f t="shared" si="32"/>
        <v>0</v>
      </c>
      <c r="F121" s="336">
        <f t="shared" ref="F121:G121" si="33">SUM(F122:F130)</f>
        <v>147034.50000000006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103154</v>
      </c>
      <c r="E122" s="113"/>
      <c r="F122" s="105">
        <f>102459.5+2483.1</f>
        <v>104942.6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23182</v>
      </c>
      <c r="E123" s="113"/>
      <c r="F123" s="105">
        <v>24211.8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118713</v>
      </c>
      <c r="E124" s="210"/>
      <c r="F124" s="105">
        <v>118712.5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100910</v>
      </c>
      <c r="E125" s="210"/>
      <c r="F125" s="105">
        <v>99102.7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-199935</v>
      </c>
      <c r="E126" s="276"/>
      <c r="F126" s="117">
        <f>-96563.5-2461.3</f>
        <v>-99024.8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/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/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0</v>
      </c>
      <c r="E129" s="210"/>
      <c r="F129" s="105">
        <v>-100910.3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>
        <v>0</v>
      </c>
      <c r="E130" s="277"/>
      <c r="F130" s="135"/>
      <c r="G130" s="277"/>
    </row>
    <row r="131" spans="1:7">
      <c r="A131" s="13">
        <v>1</v>
      </c>
      <c r="B131" s="14"/>
      <c r="C131" s="13" t="s">
        <v>29</v>
      </c>
      <c r="D131" s="18">
        <f>D111+D121</f>
        <v>385929</v>
      </c>
      <c r="E131" s="18">
        <f>E111+E121</f>
        <v>0</v>
      </c>
      <c r="F131" s="18">
        <f>F111+F121</f>
        <v>369652.10000000003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268300</v>
      </c>
      <c r="E133" s="339">
        <f t="shared" si="34"/>
        <v>0</v>
      </c>
      <c r="F133" s="338">
        <f t="shared" ref="F133:G133" si="35">F134+F140</f>
        <v>268793.3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109556</v>
      </c>
      <c r="E134" s="337">
        <f t="shared" si="36"/>
        <v>0</v>
      </c>
      <c r="F134" s="336">
        <f t="shared" ref="F134:G134" si="37">F135+F136+F138+F139</f>
        <v>127120.5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93617</v>
      </c>
      <c r="E135" s="113"/>
      <c r="F135" s="105">
        <v>97485.6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5000</v>
      </c>
      <c r="E136" s="113"/>
      <c r="F136" s="105">
        <v>17000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0</v>
      </c>
      <c r="E137" s="213"/>
      <c r="F137" s="150">
        <v>0</v>
      </c>
      <c r="G137" s="213"/>
    </row>
    <row r="138" spans="1:7" s="63" customFormat="1">
      <c r="A138" s="204">
        <v>204</v>
      </c>
      <c r="B138" s="205"/>
      <c r="C138" s="205" t="s">
        <v>282</v>
      </c>
      <c r="D138" s="150">
        <v>10209</v>
      </c>
      <c r="E138" s="213"/>
      <c r="F138" s="150">
        <v>11804.9</v>
      </c>
      <c r="G138" s="213"/>
    </row>
    <row r="139" spans="1:7" s="63" customFormat="1">
      <c r="A139" s="204">
        <v>205</v>
      </c>
      <c r="B139" s="205"/>
      <c r="C139" s="205" t="s">
        <v>296</v>
      </c>
      <c r="D139" s="150">
        <v>730</v>
      </c>
      <c r="E139" s="213"/>
      <c r="F139" s="150">
        <v>830</v>
      </c>
      <c r="G139" s="213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158744</v>
      </c>
      <c r="E140" s="337">
        <f t="shared" si="38"/>
        <v>0</v>
      </c>
      <c r="F140" s="336">
        <f t="shared" ref="F140:G140" si="39">F141+F143+F144</f>
        <v>141672.79999999999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144029</v>
      </c>
      <c r="E141" s="210"/>
      <c r="F141" s="105">
        <v>127220.5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13520</v>
      </c>
      <c r="E143" s="210"/>
      <c r="F143" s="105">
        <v>13420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1195</v>
      </c>
      <c r="E144" s="276"/>
      <c r="F144" s="117">
        <v>1032.3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117629</v>
      </c>
      <c r="E145" s="210"/>
      <c r="F145" s="209">
        <v>100859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58951</v>
      </c>
      <c r="E146" s="174"/>
      <c r="F146" s="169">
        <v>57772.1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385929</v>
      </c>
      <c r="E147" s="18">
        <f>E133+E145</f>
        <v>0</v>
      </c>
      <c r="F147" s="18">
        <f>F133+F145</f>
        <v>369652.3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46"/>
      <c r="C150" s="46" t="s">
        <v>153</v>
      </c>
      <c r="D150" s="55">
        <f t="shared" ref="D150:E150" si="40">D77+SUM(D8:D12)-D30-D31+D16-D33+D59+D63-D73+D64-D74-D54+D20-D35</f>
        <v>14068.700000000044</v>
      </c>
      <c r="E150" s="55">
        <f t="shared" si="40"/>
        <v>15094.499999999949</v>
      </c>
      <c r="F150" s="55">
        <f t="shared" ref="F150:G150" si="41">F77+SUM(F8:F12)-F30-F31+F16-F33+F59+F63-F73+F64-F74-F54+F20-F35</f>
        <v>12393.600000000009</v>
      </c>
      <c r="G150" s="55">
        <f t="shared" si="41"/>
        <v>15446.300000000014</v>
      </c>
    </row>
    <row r="151" spans="1:7">
      <c r="A151" s="38" t="s">
        <v>403</v>
      </c>
      <c r="B151" s="19"/>
      <c r="C151" s="19" t="s">
        <v>154</v>
      </c>
      <c r="D151" s="258">
        <f t="shared" ref="D151:E151" si="42">IF(D177=0,0,D150/D177)</f>
        <v>4.7054483390523726E-2</v>
      </c>
      <c r="E151" s="258">
        <f t="shared" si="42"/>
        <v>4.9782723124354236E-2</v>
      </c>
      <c r="F151" s="258">
        <f t="shared" ref="F151:G151" si="43">IF(F177=0,0,F150/F177)</f>
        <v>3.9945298250556087E-2</v>
      </c>
      <c r="G151" s="258">
        <f t="shared" si="43"/>
        <v>4.9162791052965976E-2</v>
      </c>
    </row>
    <row r="152" spans="1:7" s="91" customFormat="1" ht="28">
      <c r="A152" s="93" t="s">
        <v>404</v>
      </c>
      <c r="B152" s="92"/>
      <c r="C152" s="92" t="s">
        <v>161</v>
      </c>
      <c r="D152" s="243">
        <f t="shared" ref="D152:E152" si="44">IF(D107=0,0,D150/D107)</f>
        <v>0.6301995144282907</v>
      </c>
      <c r="E152" s="243">
        <f t="shared" si="44"/>
        <v>0.61047075952438523</v>
      </c>
      <c r="F152" s="243">
        <f t="shared" ref="F152:G152" si="45">IF(F107=0,0,F150/F107)</f>
        <v>0.66805377375780306</v>
      </c>
      <c r="G152" s="243">
        <f t="shared" si="45"/>
        <v>0.83053554145607134</v>
      </c>
    </row>
    <row r="153" spans="1:7" s="91" customFormat="1" ht="28">
      <c r="A153" s="90" t="s">
        <v>404</v>
      </c>
      <c r="B153" s="89"/>
      <c r="C153" s="89" t="s">
        <v>162</v>
      </c>
      <c r="D153" s="244">
        <f t="shared" ref="D153:E153" si="46">IF(0=D108,0,D150/D108)</f>
        <v>0.63575850693660108</v>
      </c>
      <c r="E153" s="244">
        <f t="shared" si="46"/>
        <v>0.62368812494834924</v>
      </c>
      <c r="F153" s="244">
        <f t="shared" ref="F153:G153" si="47">IF(0=F108,0,F150/F108)</f>
        <v>0.70792254526760778</v>
      </c>
      <c r="G153" s="244">
        <f t="shared" si="47"/>
        <v>0.88108493525754461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48">D150-D107</f>
        <v>-8255.4999999999527</v>
      </c>
      <c r="E154" s="56">
        <f t="shared" si="48"/>
        <v>-9631.5000000000509</v>
      </c>
      <c r="F154" s="56">
        <f t="shared" ref="F154:G154" si="49">F150-F107</f>
        <v>-6158.1999999999898</v>
      </c>
      <c r="G154" s="56">
        <f t="shared" si="49"/>
        <v>-3151.6999999999862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0">D150-D108</f>
        <v>-8060.2999999999556</v>
      </c>
      <c r="E155" s="59">
        <f t="shared" si="50"/>
        <v>-9107.5000000000509</v>
      </c>
      <c r="F155" s="59">
        <f t="shared" ref="F155:G155" si="51">F150-F108</f>
        <v>-5113.3999999999905</v>
      </c>
      <c r="G155" s="59">
        <f t="shared" si="51"/>
        <v>-2084.6999999999862</v>
      </c>
    </row>
    <row r="156" spans="1:7">
      <c r="A156" s="51" t="s">
        <v>391</v>
      </c>
      <c r="B156" s="46"/>
      <c r="C156" s="46" t="s">
        <v>35</v>
      </c>
      <c r="D156" s="47">
        <f t="shared" ref="D156:E156" si="52">D135+D136-D137+D141-D142</f>
        <v>242646</v>
      </c>
      <c r="E156" s="47">
        <f t="shared" si="52"/>
        <v>0</v>
      </c>
      <c r="F156" s="47">
        <f t="shared" ref="F156:G156" si="53">F135+F136-F137+F141-F142</f>
        <v>241706.1</v>
      </c>
      <c r="G156" s="47">
        <f t="shared" si="53"/>
        <v>0</v>
      </c>
    </row>
    <row r="157" spans="1:7">
      <c r="A157" s="233" t="s">
        <v>399</v>
      </c>
      <c r="B157" s="48"/>
      <c r="C157" s="48" t="s">
        <v>132</v>
      </c>
      <c r="D157" s="241">
        <f t="shared" ref="D157:E157" si="54">IF(D177=0,0,D156/D177)</f>
        <v>0.81155914738227308</v>
      </c>
      <c r="E157" s="241">
        <f t="shared" si="54"/>
        <v>0</v>
      </c>
      <c r="F157" s="241">
        <f t="shared" ref="F157:G157" si="55">IF(F177=0,0,F156/F177)</f>
        <v>0.77903290839455275</v>
      </c>
      <c r="G157" s="241">
        <f t="shared" si="55"/>
        <v>0</v>
      </c>
    </row>
    <row r="158" spans="1:7">
      <c r="A158" s="51" t="s">
        <v>392</v>
      </c>
      <c r="B158" s="46"/>
      <c r="C158" s="46" t="s">
        <v>393</v>
      </c>
      <c r="D158" s="47">
        <f t="shared" ref="D158:E158" si="56">D133-D142-D111</f>
        <v>28395</v>
      </c>
      <c r="E158" s="47">
        <f t="shared" si="56"/>
        <v>0</v>
      </c>
      <c r="F158" s="47">
        <f t="shared" ref="F158:G158" si="57">F133-F142-F111</f>
        <v>46175.700000000012</v>
      </c>
      <c r="G158" s="47">
        <f t="shared" si="57"/>
        <v>0</v>
      </c>
    </row>
    <row r="159" spans="1:7">
      <c r="A159" s="38" t="s">
        <v>395</v>
      </c>
      <c r="B159" s="19"/>
      <c r="C159" s="19" t="s">
        <v>394</v>
      </c>
      <c r="D159" s="40">
        <f t="shared" ref="D159:E159" si="58">D121-D123-D124-D142-D145</f>
        <v>-113500</v>
      </c>
      <c r="E159" s="40">
        <f t="shared" si="58"/>
        <v>0</v>
      </c>
      <c r="F159" s="40">
        <f t="shared" ref="F159:G159" si="59">F121-F123-F124-F142-F145</f>
        <v>-96748.799999999945</v>
      </c>
      <c r="G159" s="40">
        <f t="shared" si="59"/>
        <v>0</v>
      </c>
    </row>
    <row r="160" spans="1:7">
      <c r="A160" s="38" t="s">
        <v>400</v>
      </c>
      <c r="B160" s="19"/>
      <c r="C160" s="19" t="s">
        <v>115</v>
      </c>
      <c r="D160" s="240">
        <f t="shared" ref="D160:E160" si="60">IF(D175=0,"-",1000*D158/D175)</f>
        <v>683.36060839430115</v>
      </c>
      <c r="E160" s="240">
        <f t="shared" si="60"/>
        <v>0</v>
      </c>
      <c r="F160" s="240">
        <f t="shared" ref="F160:G160" si="61">IF(F175=0,"-",1000*F158/F175)</f>
        <v>1104.2063226361856</v>
      </c>
      <c r="G160" s="240">
        <f t="shared" si="61"/>
        <v>0</v>
      </c>
    </row>
    <row r="161" spans="1:7">
      <c r="A161" s="38" t="s">
        <v>400</v>
      </c>
      <c r="B161" s="19"/>
      <c r="C161" s="19" t="s">
        <v>139</v>
      </c>
      <c r="D161" s="40">
        <f t="shared" ref="D161:E161" si="62">IF(D175=0,0,1000*(D159/D175))</f>
        <v>-2731.5171351559493</v>
      </c>
      <c r="E161" s="40">
        <f t="shared" si="62"/>
        <v>0</v>
      </c>
      <c r="F161" s="40">
        <f t="shared" ref="F161:G161" si="63">IF(F175=0,0,1000*(F159/F175))</f>
        <v>-2313.5683198622592</v>
      </c>
      <c r="G161" s="40">
        <f t="shared" si="63"/>
        <v>0</v>
      </c>
    </row>
    <row r="162" spans="1:7">
      <c r="A162" s="233" t="s">
        <v>401</v>
      </c>
      <c r="B162" s="48"/>
      <c r="C162" s="48" t="s">
        <v>116</v>
      </c>
      <c r="D162" s="241">
        <f t="shared" ref="D162:E162" si="64">IF((D22+D23+D65+D66)=0,0,D158/(D22+D23+D65+D66))</f>
        <v>0.17241881833450526</v>
      </c>
      <c r="E162" s="241">
        <f t="shared" si="64"/>
        <v>0</v>
      </c>
      <c r="F162" s="241">
        <f t="shared" ref="F162:G162" si="65">IF((F22+F23+F65+F66)=0,0,F158/(F22+F23+F65+F66))</f>
        <v>0.2636816886336214</v>
      </c>
      <c r="G162" s="241">
        <f t="shared" si="65"/>
        <v>0</v>
      </c>
    </row>
    <row r="163" spans="1:7">
      <c r="A163" s="38" t="s">
        <v>409</v>
      </c>
      <c r="B163" s="19"/>
      <c r="C163" s="19" t="s">
        <v>36</v>
      </c>
      <c r="D163" s="55">
        <f t="shared" ref="D163:E163" si="66">D145</f>
        <v>117629</v>
      </c>
      <c r="E163" s="55">
        <f t="shared" si="66"/>
        <v>0</v>
      </c>
      <c r="F163" s="55">
        <f t="shared" ref="F163:G163" si="67">F145</f>
        <v>100859</v>
      </c>
      <c r="G163" s="55">
        <f t="shared" si="67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0.19377727463378522</v>
      </c>
      <c r="E164" s="245">
        <f>IF(E178=0,0,E146/E178)</f>
        <v>0</v>
      </c>
      <c r="F164" s="245">
        <f>IF(F178=0,0,F146/F178)</f>
        <v>0.18271249082438384</v>
      </c>
      <c r="G164" s="245">
        <f>IF(G178=0,0,G146/G178)</f>
        <v>0</v>
      </c>
    </row>
    <row r="165" spans="1:7">
      <c r="A165" s="234" t="s">
        <v>493</v>
      </c>
      <c r="B165" s="34"/>
      <c r="C165" s="34" t="s">
        <v>118</v>
      </c>
      <c r="D165" s="259">
        <f t="shared" ref="D165:E165" si="68">IF(D177=0,0,D180/D177)</f>
        <v>6.3810370635958125E-2</v>
      </c>
      <c r="E165" s="259">
        <f t="shared" si="68"/>
        <v>6.4410324807161828E-2</v>
      </c>
      <c r="F165" s="259">
        <f t="shared" ref="F165:G165" si="69">IF(F177=0,0,F180/F177)</f>
        <v>6.0355638724790439E-2</v>
      </c>
      <c r="G165" s="259">
        <f t="shared" si="69"/>
        <v>6.1092636609813004E-2</v>
      </c>
    </row>
    <row r="166" spans="1:7">
      <c r="A166" s="38" t="s">
        <v>411</v>
      </c>
      <c r="B166" s="19"/>
      <c r="C166" s="19" t="s">
        <v>20</v>
      </c>
      <c r="D166" s="55">
        <f t="shared" ref="D166:E166" si="70">D55</f>
        <v>14316.499999999998</v>
      </c>
      <c r="E166" s="55">
        <f t="shared" si="70"/>
        <v>14442.599999999999</v>
      </c>
      <c r="F166" s="55">
        <f t="shared" ref="F166:G166" si="71">F55</f>
        <v>15360.8</v>
      </c>
      <c r="G166" s="55">
        <f t="shared" si="71"/>
        <v>15983.5</v>
      </c>
    </row>
    <row r="167" spans="1:7">
      <c r="A167" s="233" t="s">
        <v>410</v>
      </c>
      <c r="B167" s="48"/>
      <c r="C167" s="48" t="s">
        <v>119</v>
      </c>
      <c r="D167" s="241">
        <f t="shared" ref="D167:E167" si="72">IF(0=D111,0,(D44+D45+D46+D47+D48)/D111)</f>
        <v>1.0596277693253579E-2</v>
      </c>
      <c r="E167" s="241">
        <f t="shared" si="72"/>
        <v>0</v>
      </c>
      <c r="F167" s="241">
        <f t="shared" ref="F167:G167" si="73">IF(0=F111,0,(F44+F45+F46+F47+F48)/F111)</f>
        <v>1.207047421228151E-2</v>
      </c>
      <c r="G167" s="241">
        <f t="shared" si="73"/>
        <v>0</v>
      </c>
    </row>
    <row r="168" spans="1:7">
      <c r="A168" s="38" t="s">
        <v>396</v>
      </c>
      <c r="B168" s="46"/>
      <c r="C168" s="46" t="s">
        <v>397</v>
      </c>
      <c r="D168" s="55">
        <f t="shared" ref="D168:E168" si="74">D38-D44</f>
        <v>844.09999999999991</v>
      </c>
      <c r="E168" s="55">
        <f t="shared" si="74"/>
        <v>645.69999999999982</v>
      </c>
      <c r="F168" s="55">
        <f t="shared" ref="F168:G168" si="75">F38-F44</f>
        <v>899.39999999999986</v>
      </c>
      <c r="G168" s="55">
        <f t="shared" si="75"/>
        <v>829.49999999999977</v>
      </c>
    </row>
    <row r="169" spans="1:7">
      <c r="A169" s="233" t="s">
        <v>398</v>
      </c>
      <c r="B169" s="48"/>
      <c r="C169" s="48" t="s">
        <v>120</v>
      </c>
      <c r="D169" s="258">
        <f t="shared" ref="D169:E169" si="76">IF(D177=0,0,D168/D177)</f>
        <v>2.8231954217476348E-3</v>
      </c>
      <c r="E169" s="258">
        <f t="shared" si="76"/>
        <v>2.1295640346745922E-3</v>
      </c>
      <c r="F169" s="258">
        <f t="shared" ref="F169:G169" si="77">IF(F177=0,0,F168/F177)</f>
        <v>2.898818845738939E-3</v>
      </c>
      <c r="G169" s="258">
        <f t="shared" si="77"/>
        <v>2.6401491087467699E-3</v>
      </c>
    </row>
    <row r="170" spans="1:7">
      <c r="A170" s="38" t="s">
        <v>366</v>
      </c>
      <c r="B170" s="19"/>
      <c r="C170" s="19" t="s">
        <v>364</v>
      </c>
      <c r="D170" s="55">
        <f t="shared" ref="D170:E170" si="78">SUM(D82:D87)+SUM(D89:D94)</f>
        <v>33351</v>
      </c>
      <c r="E170" s="55">
        <f t="shared" si="78"/>
        <v>37869</v>
      </c>
      <c r="F170" s="55">
        <f t="shared" ref="F170:G170" si="79">SUM(F82:F87)+SUM(F89:F94)</f>
        <v>25909.1</v>
      </c>
      <c r="G170" s="55">
        <f t="shared" si="79"/>
        <v>32494</v>
      </c>
    </row>
    <row r="171" spans="1:7">
      <c r="A171" s="38" t="s">
        <v>367</v>
      </c>
      <c r="B171" s="19"/>
      <c r="C171" s="19" t="s">
        <v>365</v>
      </c>
      <c r="D171" s="40">
        <f t="shared" ref="D171:E171" si="80">SUM(D96:D102)+SUM(D104:D105)</f>
        <v>11026.800000000001</v>
      </c>
      <c r="E171" s="40">
        <f t="shared" si="80"/>
        <v>13143</v>
      </c>
      <c r="F171" s="40">
        <f t="shared" ref="F171:G171" si="81">SUM(F96:F102)+SUM(F104:F105)</f>
        <v>7357.2999999999993</v>
      </c>
      <c r="G171" s="40">
        <f t="shared" si="81"/>
        <v>13896</v>
      </c>
    </row>
    <row r="172" spans="1:7">
      <c r="A172" s="234" t="s">
        <v>368</v>
      </c>
      <c r="B172" s="34"/>
      <c r="C172" s="34" t="s">
        <v>121</v>
      </c>
      <c r="D172" s="259">
        <f t="shared" ref="D172:E172" si="82">IF(D184=0,0,D170/D184)</f>
        <v>0.1050210193188796</v>
      </c>
      <c r="E172" s="259">
        <f t="shared" si="82"/>
        <v>0.11652523467208065</v>
      </c>
      <c r="F172" s="259">
        <f t="shared" ref="F172:G172" si="83">IF(F184=0,0,F170/F184)</f>
        <v>8.0209238530624685E-2</v>
      </c>
      <c r="G172" s="259">
        <f t="shared" si="83"/>
        <v>9.8332695818061214E-2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66">
        <v>41552</v>
      </c>
      <c r="E175" s="66">
        <v>41800</v>
      </c>
      <c r="F175" s="66">
        <v>41818</v>
      </c>
      <c r="G175" s="66">
        <v>41818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4">SUM(D22:D32)+SUM(D44:D53)+SUM(D65:D72)+D75</f>
        <v>298987.45</v>
      </c>
      <c r="E177" s="39">
        <f t="shared" si="84"/>
        <v>303207.59999999998</v>
      </c>
      <c r="F177" s="39">
        <f t="shared" ref="F177:G177" si="85">SUM(F22:F32)+SUM(F44:F53)+SUM(F65:F72)+F75</f>
        <v>310264.3</v>
      </c>
      <c r="G177" s="39">
        <f t="shared" si="85"/>
        <v>314186.80000000005</v>
      </c>
    </row>
    <row r="178" spans="1:7">
      <c r="A178" s="236" t="s">
        <v>385</v>
      </c>
      <c r="B178" s="23"/>
      <c r="C178" s="23" t="s">
        <v>100</v>
      </c>
      <c r="D178" s="39">
        <f t="shared" ref="D178:E178" si="86">D78-D17-D20-D59-D63-D64</f>
        <v>304220.40000000002</v>
      </c>
      <c r="E178" s="39">
        <f t="shared" si="86"/>
        <v>306939.80000000005</v>
      </c>
      <c r="F178" s="39">
        <f t="shared" ref="F178:G178" si="87">F78-F17-F20-F59-F63-F64</f>
        <v>316191.3</v>
      </c>
      <c r="G178" s="39">
        <f t="shared" si="87"/>
        <v>316895.10000000003</v>
      </c>
    </row>
    <row r="179" spans="1:7">
      <c r="A179" s="236"/>
      <c r="B179" s="23"/>
      <c r="C179" s="23" t="s">
        <v>388</v>
      </c>
      <c r="D179" s="39">
        <f t="shared" ref="D179:E179" si="88">D178+D170</f>
        <v>337571.4</v>
      </c>
      <c r="E179" s="39">
        <f t="shared" si="88"/>
        <v>344808.80000000005</v>
      </c>
      <c r="F179" s="39">
        <f t="shared" ref="F179:G179" si="89">F178+F170</f>
        <v>342100.39999999997</v>
      </c>
      <c r="G179" s="39">
        <f t="shared" si="89"/>
        <v>349389.10000000003</v>
      </c>
    </row>
    <row r="180" spans="1:7">
      <c r="A180" s="236" t="s">
        <v>389</v>
      </c>
      <c r="B180" s="23"/>
      <c r="C180" s="23" t="s">
        <v>390</v>
      </c>
      <c r="D180" s="39">
        <f t="shared" ref="D180:E180" si="90">D38-D44+D8+D9+D10+D16-D33</f>
        <v>19078.5</v>
      </c>
      <c r="E180" s="39">
        <f t="shared" si="90"/>
        <v>19529.7</v>
      </c>
      <c r="F180" s="39">
        <f t="shared" ref="F180:G180" si="91">F38-F44+F8+F9+F10+F16-F33</f>
        <v>18726.199999999997</v>
      </c>
      <c r="G180" s="39">
        <f t="shared" si="91"/>
        <v>19194.5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2">D22+D23+D24+D25+D26+D29+SUM(D44:D47)+SUM(D49:D53)-D54+D32-D33+SUM(D65:D70)+D72</f>
        <v>298732.10000000003</v>
      </c>
      <c r="E181" s="73">
        <f t="shared" si="92"/>
        <v>302920.89999999997</v>
      </c>
      <c r="F181" s="73">
        <f t="shared" ref="F181:G181" si="93">F22+F23+F24+F25+F26+F29+SUM(F44:F47)+SUM(F49:F53)-F54+F32-F33+SUM(F65:F70)+F72</f>
        <v>309301</v>
      </c>
      <c r="G181" s="73">
        <f t="shared" si="93"/>
        <v>313752.90000000002</v>
      </c>
    </row>
    <row r="182" spans="1:7">
      <c r="A182" s="237" t="s">
        <v>375</v>
      </c>
      <c r="B182" s="71"/>
      <c r="C182" s="71" t="s">
        <v>170</v>
      </c>
      <c r="D182" s="73">
        <f t="shared" ref="D182:E182" si="94">D181+D171</f>
        <v>309758.90000000002</v>
      </c>
      <c r="E182" s="73">
        <f t="shared" si="94"/>
        <v>316063.89999999997</v>
      </c>
      <c r="F182" s="73">
        <f t="shared" ref="F182:G182" si="95">F181+F171</f>
        <v>316658.3</v>
      </c>
      <c r="G182" s="73">
        <f t="shared" si="95"/>
        <v>327648.90000000002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284214</v>
      </c>
      <c r="E183" s="73">
        <f t="shared" ref="E183:G183" si="96">E4+E5-E7+E38+E39+E40+E41+E43+E13-E16+E57+E58+E60+E62</f>
        <v>287116.40000000002</v>
      </c>
      <c r="F183" s="73">
        <f t="shared" si="96"/>
        <v>297109.8</v>
      </c>
      <c r="G183" s="73">
        <f t="shared" si="96"/>
        <v>297955.59999999998</v>
      </c>
    </row>
    <row r="184" spans="1:7">
      <c r="A184" s="237" t="s">
        <v>373</v>
      </c>
      <c r="B184" s="71"/>
      <c r="C184" s="71" t="s">
        <v>171</v>
      </c>
      <c r="D184" s="73">
        <f t="shared" ref="D184:E184" si="97">D183+D170</f>
        <v>317565</v>
      </c>
      <c r="E184" s="73">
        <f t="shared" si="97"/>
        <v>324985.40000000002</v>
      </c>
      <c r="F184" s="73">
        <f t="shared" ref="F184:G184" si="98">F183+F170</f>
        <v>323018.89999999997</v>
      </c>
      <c r="G184" s="73">
        <f t="shared" si="98"/>
        <v>330449.59999999998</v>
      </c>
    </row>
    <row r="185" spans="1:7">
      <c r="A185" s="237"/>
      <c r="B185" s="71"/>
      <c r="C185" s="71" t="s">
        <v>405</v>
      </c>
      <c r="D185" s="73">
        <f t="shared" ref="D185:E186" si="99">D181-D183</f>
        <v>14518.100000000035</v>
      </c>
      <c r="E185" s="73">
        <f t="shared" si="99"/>
        <v>15804.499999999942</v>
      </c>
      <c r="F185" s="73">
        <f t="shared" ref="F185:G185" si="100">F181-F183</f>
        <v>12191.200000000012</v>
      </c>
      <c r="G185" s="73">
        <f t="shared" si="100"/>
        <v>15797.300000000047</v>
      </c>
    </row>
    <row r="186" spans="1:7">
      <c r="A186" s="237"/>
      <c r="B186" s="71"/>
      <c r="C186" s="71" t="s">
        <v>406</v>
      </c>
      <c r="D186" s="73">
        <f t="shared" si="99"/>
        <v>-7806.0999999999767</v>
      </c>
      <c r="E186" s="73">
        <f t="shared" si="99"/>
        <v>-8921.5000000000582</v>
      </c>
      <c r="F186" s="73">
        <f t="shared" ref="F186:G186" si="101">F182-F184</f>
        <v>-6360.5999999999767</v>
      </c>
      <c r="G186" s="73">
        <f t="shared" si="101"/>
        <v>-2800.6999999999534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80" max="8" man="1"/>
    <brk id="148" max="8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V186"/>
  <sheetViews>
    <sheetView view="pageLayout" topLeftCell="A169" zoomScaleNormal="115" workbookViewId="0">
      <selection activeCell="J184" sqref="J184"/>
    </sheetView>
  </sheetViews>
  <sheetFormatPr baseColWidth="10" defaultColWidth="11.5" defaultRowHeight="13"/>
  <cols>
    <col min="1" max="1" width="17.332031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8" s="2" customFormat="1" ht="18" customHeight="1">
      <c r="A1" s="43" t="s">
        <v>3</v>
      </c>
      <c r="B1" s="44" t="s">
        <v>167</v>
      </c>
      <c r="C1" s="44" t="s">
        <v>141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8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48" s="62" customFormat="1" ht="12.75" customHeight="1">
      <c r="A4" s="148">
        <v>30</v>
      </c>
      <c r="B4" s="96"/>
      <c r="C4" s="97" t="s">
        <v>1</v>
      </c>
      <c r="D4" s="98">
        <v>64902.7</v>
      </c>
      <c r="E4" s="100">
        <v>69060.100000000006</v>
      </c>
      <c r="F4" s="98">
        <v>67737.100000000006</v>
      </c>
      <c r="G4" s="100">
        <v>71118.8</v>
      </c>
    </row>
    <row r="5" spans="1:48" s="62" customFormat="1" ht="12.75" customHeight="1">
      <c r="A5" s="101">
        <v>31</v>
      </c>
      <c r="B5" s="102"/>
      <c r="C5" s="103" t="s">
        <v>4</v>
      </c>
      <c r="D5" s="105">
        <v>29960.2</v>
      </c>
      <c r="E5" s="106">
        <v>32457.200000000001</v>
      </c>
      <c r="F5" s="105">
        <v>30713.599999999999</v>
      </c>
      <c r="G5" s="106">
        <v>29158.2</v>
      </c>
    </row>
    <row r="6" spans="1:48" s="62" customFormat="1" ht="12.75" customHeight="1">
      <c r="A6" s="107" t="s">
        <v>229</v>
      </c>
      <c r="B6" s="108"/>
      <c r="C6" s="109" t="s">
        <v>230</v>
      </c>
      <c r="D6" s="150">
        <v>7587.5</v>
      </c>
      <c r="E6" s="155">
        <v>8509</v>
      </c>
      <c r="F6" s="150">
        <v>6914.4</v>
      </c>
      <c r="G6" s="155">
        <v>7270</v>
      </c>
    </row>
    <row r="7" spans="1:48" s="62" customFormat="1" ht="12.75" customHeight="1">
      <c r="A7" s="107" t="s">
        <v>371</v>
      </c>
      <c r="B7" s="108"/>
      <c r="C7" s="109" t="s">
        <v>372</v>
      </c>
      <c r="D7" s="150">
        <v>401.8</v>
      </c>
      <c r="E7" s="155">
        <v>52.4</v>
      </c>
      <c r="F7" s="150">
        <v>1269.5999999999999</v>
      </c>
      <c r="G7" s="155">
        <v>63</v>
      </c>
    </row>
    <row r="8" spans="1:48" s="62" customFormat="1" ht="12.75" customHeight="1">
      <c r="A8" s="145">
        <v>330</v>
      </c>
      <c r="B8" s="102"/>
      <c r="C8" s="103" t="s">
        <v>231</v>
      </c>
      <c r="D8" s="105">
        <v>8547.1</v>
      </c>
      <c r="E8" s="113">
        <v>9108</v>
      </c>
      <c r="F8" s="105">
        <v>4199.7</v>
      </c>
      <c r="G8" s="113">
        <v>9260.4</v>
      </c>
    </row>
    <row r="9" spans="1:48" s="62" customFormat="1" ht="12.75" customHeight="1">
      <c r="A9" s="145">
        <v>332</v>
      </c>
      <c r="B9" s="102"/>
      <c r="C9" s="103" t="s">
        <v>232</v>
      </c>
      <c r="D9" s="105">
        <v>0</v>
      </c>
      <c r="E9" s="113">
        <v>0</v>
      </c>
      <c r="F9" s="105">
        <v>180.5</v>
      </c>
      <c r="G9" s="113">
        <v>0</v>
      </c>
    </row>
    <row r="10" spans="1:48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48" s="62" customFormat="1" ht="12.75" customHeight="1">
      <c r="A11" s="101">
        <v>350</v>
      </c>
      <c r="B11" s="102"/>
      <c r="C11" s="103" t="s">
        <v>234</v>
      </c>
      <c r="D11" s="105">
        <v>2990.9</v>
      </c>
      <c r="E11" s="113">
        <v>2262</v>
      </c>
      <c r="F11" s="105">
        <v>2564.1</v>
      </c>
      <c r="G11" s="113">
        <v>2412</v>
      </c>
    </row>
    <row r="12" spans="1:48" s="63" customFormat="1" ht="14">
      <c r="A12" s="114">
        <v>351</v>
      </c>
      <c r="B12" s="115"/>
      <c r="C12" s="116" t="s">
        <v>272</v>
      </c>
      <c r="D12" s="118">
        <v>1787.5</v>
      </c>
      <c r="E12" s="296">
        <v>1351</v>
      </c>
      <c r="F12" s="118">
        <v>2215.4</v>
      </c>
      <c r="G12" s="296">
        <v>1188.3</v>
      </c>
    </row>
    <row r="13" spans="1:48" s="62" customFormat="1" ht="12.75" customHeight="1">
      <c r="A13" s="101">
        <v>36</v>
      </c>
      <c r="B13" s="102"/>
      <c r="C13" s="103" t="s">
        <v>5</v>
      </c>
      <c r="D13" s="104">
        <v>160428.79999999999</v>
      </c>
      <c r="E13" s="113">
        <v>163541</v>
      </c>
      <c r="F13" s="104">
        <v>168459.4</v>
      </c>
      <c r="G13" s="113">
        <v>168625.3</v>
      </c>
    </row>
    <row r="14" spans="1:48" s="62" customFormat="1" ht="12.75" customHeight="1">
      <c r="A14" s="121" t="s">
        <v>173</v>
      </c>
      <c r="B14" s="102"/>
      <c r="C14" s="122" t="s">
        <v>174</v>
      </c>
      <c r="D14" s="104">
        <v>42626.3</v>
      </c>
      <c r="E14" s="113">
        <v>40827.9</v>
      </c>
      <c r="F14" s="104">
        <v>41611</v>
      </c>
      <c r="G14" s="113">
        <v>43478</v>
      </c>
    </row>
    <row r="15" spans="1:48" s="62" customFormat="1" ht="12.75" customHeight="1">
      <c r="A15" s="121" t="s">
        <v>175</v>
      </c>
      <c r="B15" s="102"/>
      <c r="C15" s="122" t="s">
        <v>176</v>
      </c>
      <c r="D15" s="104">
        <v>2130.1</v>
      </c>
      <c r="E15" s="113">
        <v>2517</v>
      </c>
      <c r="F15" s="104">
        <v>2726.4</v>
      </c>
      <c r="G15" s="113">
        <v>3997.4</v>
      </c>
    </row>
    <row r="16" spans="1:48" s="64" customFormat="1" ht="26.25" customHeight="1">
      <c r="A16" s="121" t="s">
        <v>146</v>
      </c>
      <c r="B16" s="123"/>
      <c r="C16" s="122" t="s">
        <v>148</v>
      </c>
      <c r="D16" s="126">
        <v>4490.1000000000004</v>
      </c>
      <c r="E16" s="127">
        <v>5657</v>
      </c>
      <c r="F16" s="126">
        <v>8144</v>
      </c>
      <c r="G16" s="127">
        <v>5251.8</v>
      </c>
    </row>
    <row r="17" spans="1:7" s="65" customFormat="1">
      <c r="A17" s="101">
        <v>37</v>
      </c>
      <c r="B17" s="102"/>
      <c r="C17" s="103" t="s">
        <v>6</v>
      </c>
      <c r="D17" s="104">
        <v>25377.8</v>
      </c>
      <c r="E17" s="157">
        <v>25543.5</v>
      </c>
      <c r="F17" s="104">
        <v>25662.6</v>
      </c>
      <c r="G17" s="157">
        <v>25041.3</v>
      </c>
    </row>
    <row r="18" spans="1:7" s="65" customFormat="1">
      <c r="A18" s="112" t="s">
        <v>196</v>
      </c>
      <c r="B18" s="108"/>
      <c r="C18" s="109" t="s">
        <v>197</v>
      </c>
      <c r="D18" s="104">
        <v>799</v>
      </c>
      <c r="E18" s="157">
        <v>800</v>
      </c>
      <c r="F18" s="104">
        <v>801.4</v>
      </c>
      <c r="G18" s="157">
        <v>0</v>
      </c>
    </row>
    <row r="19" spans="1:7" s="65" customFormat="1">
      <c r="A19" s="112" t="s">
        <v>198</v>
      </c>
      <c r="B19" s="108"/>
      <c r="C19" s="109" t="s">
        <v>199</v>
      </c>
      <c r="D19" s="104">
        <v>0</v>
      </c>
      <c r="E19" s="157">
        <v>0</v>
      </c>
      <c r="F19" s="104">
        <v>0</v>
      </c>
      <c r="G19" s="157">
        <v>0</v>
      </c>
    </row>
    <row r="20" spans="1:7" s="62" customFormat="1" ht="12.75" customHeight="1">
      <c r="A20" s="131">
        <v>39</v>
      </c>
      <c r="B20" s="132"/>
      <c r="C20" s="133" t="s">
        <v>8</v>
      </c>
      <c r="D20" s="134">
        <v>11007.8</v>
      </c>
      <c r="E20" s="159">
        <v>11451.9</v>
      </c>
      <c r="F20" s="134">
        <v>9797.9</v>
      </c>
      <c r="G20" s="159">
        <v>10307.299999999999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293994.99999999994</v>
      </c>
      <c r="E21" s="15">
        <f t="shared" si="0"/>
        <v>303322.8</v>
      </c>
      <c r="F21" s="15">
        <f t="shared" ref="F21:G21" si="1">F4+F5+SUM(F8:F13)+F17</f>
        <v>301732.40000000002</v>
      </c>
      <c r="G21" s="15">
        <f t="shared" si="1"/>
        <v>306804.3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52">
        <v>81222.8</v>
      </c>
      <c r="E22" s="141">
        <v>79900</v>
      </c>
      <c r="F22" s="152">
        <v>84273.8</v>
      </c>
      <c r="G22" s="141">
        <v>77860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52">
        <v>14099.7</v>
      </c>
      <c r="E23" s="141">
        <v>13391</v>
      </c>
      <c r="F23" s="152">
        <v>14273.7</v>
      </c>
      <c r="G23" s="141">
        <v>13763</v>
      </c>
    </row>
    <row r="24" spans="1:7" s="67" customFormat="1" ht="12.75" customHeight="1">
      <c r="A24" s="101">
        <v>41</v>
      </c>
      <c r="B24" s="102"/>
      <c r="C24" s="103" t="s">
        <v>9</v>
      </c>
      <c r="D24" s="152">
        <v>12378.2</v>
      </c>
      <c r="E24" s="141">
        <v>11185</v>
      </c>
      <c r="F24" s="152">
        <v>13756.4</v>
      </c>
      <c r="G24" s="141">
        <v>11657.8</v>
      </c>
    </row>
    <row r="25" spans="1:7" s="62" customFormat="1" ht="12.75" customHeight="1">
      <c r="A25" s="161">
        <v>42</v>
      </c>
      <c r="B25" s="162"/>
      <c r="C25" s="103" t="s">
        <v>10</v>
      </c>
      <c r="D25" s="152">
        <v>33444.5</v>
      </c>
      <c r="E25" s="141">
        <v>29194</v>
      </c>
      <c r="F25" s="152">
        <v>33573.800000000003</v>
      </c>
      <c r="G25" s="141">
        <v>30671.8</v>
      </c>
    </row>
    <row r="26" spans="1:7" s="68" customFormat="1" ht="12.75" customHeight="1">
      <c r="A26" s="114">
        <v>430</v>
      </c>
      <c r="B26" s="102"/>
      <c r="C26" s="103" t="s">
        <v>11</v>
      </c>
      <c r="D26" s="268">
        <v>41.3</v>
      </c>
      <c r="E26" s="144">
        <v>43.5</v>
      </c>
      <c r="F26" s="268">
        <v>53.6</v>
      </c>
      <c r="G26" s="144">
        <v>42.5</v>
      </c>
    </row>
    <row r="27" spans="1:7" s="68" customFormat="1" ht="12.75" customHeight="1">
      <c r="A27" s="114">
        <v>431</v>
      </c>
      <c r="B27" s="102"/>
      <c r="C27" s="103" t="s">
        <v>377</v>
      </c>
      <c r="D27" s="268">
        <v>38.200000000000003</v>
      </c>
      <c r="E27" s="144">
        <v>300</v>
      </c>
      <c r="F27" s="268">
        <v>272.39999999999998</v>
      </c>
      <c r="G27" s="144">
        <v>300</v>
      </c>
    </row>
    <row r="28" spans="1:7" s="68" customFormat="1" ht="12.75" customHeight="1">
      <c r="A28" s="114">
        <v>432</v>
      </c>
      <c r="B28" s="102"/>
      <c r="C28" s="103" t="s">
        <v>378</v>
      </c>
      <c r="D28" s="268">
        <v>14.4</v>
      </c>
      <c r="E28" s="144">
        <v>0</v>
      </c>
      <c r="F28" s="268">
        <v>-9.6</v>
      </c>
      <c r="G28" s="144">
        <v>0</v>
      </c>
    </row>
    <row r="29" spans="1:7" s="68" customFormat="1" ht="12.75" customHeight="1">
      <c r="A29" s="114">
        <v>439</v>
      </c>
      <c r="B29" s="102"/>
      <c r="C29" s="103" t="s">
        <v>379</v>
      </c>
      <c r="D29" s="268">
        <v>2.2000000000000002</v>
      </c>
      <c r="E29" s="144">
        <v>0</v>
      </c>
      <c r="F29" s="268">
        <v>0.2</v>
      </c>
      <c r="G29" s="144">
        <v>0</v>
      </c>
    </row>
    <row r="30" spans="1:7" s="62" customFormat="1" ht="31.25" customHeight="1">
      <c r="A30" s="114">
        <v>450</v>
      </c>
      <c r="B30" s="115"/>
      <c r="C30" s="116" t="s">
        <v>271</v>
      </c>
      <c r="D30" s="104">
        <v>570.70000000000005</v>
      </c>
      <c r="E30" s="106">
        <v>373.6</v>
      </c>
      <c r="F30" s="104">
        <v>555.5</v>
      </c>
      <c r="G30" s="106">
        <v>523.5</v>
      </c>
    </row>
    <row r="31" spans="1:7" s="63" customFormat="1" ht="29.5" customHeight="1">
      <c r="A31" s="114">
        <v>451</v>
      </c>
      <c r="B31" s="115"/>
      <c r="C31" s="116" t="s">
        <v>14</v>
      </c>
      <c r="D31" s="152">
        <v>920.8</v>
      </c>
      <c r="E31" s="141">
        <v>2565.4</v>
      </c>
      <c r="F31" s="152">
        <v>2337.3000000000002</v>
      </c>
      <c r="G31" s="141">
        <v>1657.1</v>
      </c>
    </row>
    <row r="32" spans="1:7" s="69" customFormat="1" ht="12.75" customHeight="1">
      <c r="A32" s="101">
        <v>46</v>
      </c>
      <c r="B32" s="102"/>
      <c r="C32" s="103" t="s">
        <v>15</v>
      </c>
      <c r="D32" s="152">
        <v>122530</v>
      </c>
      <c r="E32" s="141">
        <v>128255.7</v>
      </c>
      <c r="F32" s="152">
        <v>128935.2</v>
      </c>
      <c r="G32" s="141">
        <v>126117.8</v>
      </c>
    </row>
    <row r="33" spans="1:7" s="63" customFormat="1" ht="12.75" customHeight="1">
      <c r="A33" s="112" t="s">
        <v>16</v>
      </c>
      <c r="B33" s="108"/>
      <c r="C33" s="109" t="s">
        <v>17</v>
      </c>
      <c r="D33" s="152">
        <v>0</v>
      </c>
      <c r="E33" s="143">
        <v>0</v>
      </c>
      <c r="F33" s="152">
        <v>0</v>
      </c>
      <c r="G33" s="143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52">
        <v>25377.8</v>
      </c>
      <c r="E34" s="141">
        <v>25543.5</v>
      </c>
      <c r="F34" s="152">
        <v>25662.6</v>
      </c>
      <c r="G34" s="141">
        <v>25041.3</v>
      </c>
    </row>
    <row r="35" spans="1:7" s="62" customFormat="1" ht="15" customHeight="1">
      <c r="A35" s="131">
        <v>49</v>
      </c>
      <c r="B35" s="132"/>
      <c r="C35" s="133" t="s">
        <v>26</v>
      </c>
      <c r="D35" s="146">
        <v>11007.8</v>
      </c>
      <c r="E35" s="147">
        <v>11451.9</v>
      </c>
      <c r="F35" s="146">
        <v>9797.9</v>
      </c>
      <c r="G35" s="147">
        <v>10307.299999999999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290640.60000000003</v>
      </c>
      <c r="E36" s="15">
        <f t="shared" si="2"/>
        <v>290751.7</v>
      </c>
      <c r="F36" s="15">
        <f t="shared" ref="F36:G36" si="3">F22+F23+F24+F25+F26+F27+F28+F29+F30+F31+F32+F34</f>
        <v>303684.89999999997</v>
      </c>
      <c r="G36" s="15">
        <f t="shared" si="3"/>
        <v>287634.8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-3354.3999999999069</v>
      </c>
      <c r="E37" s="16">
        <f t="shared" si="4"/>
        <v>-12571.099999999977</v>
      </c>
      <c r="F37" s="16">
        <f t="shared" ref="F37:G37" si="5">F36-F21</f>
        <v>1952.4999999999418</v>
      </c>
      <c r="G37" s="16">
        <f t="shared" si="5"/>
        <v>-19169.5</v>
      </c>
    </row>
    <row r="38" spans="1:7" s="63" customFormat="1" ht="15" customHeight="1">
      <c r="A38" s="145">
        <v>340</v>
      </c>
      <c r="B38" s="102"/>
      <c r="C38" s="103" t="s">
        <v>78</v>
      </c>
      <c r="D38" s="140">
        <v>2368.8000000000002</v>
      </c>
      <c r="E38" s="141">
        <v>1652</v>
      </c>
      <c r="F38" s="140">
        <v>1629</v>
      </c>
      <c r="G38" s="141">
        <v>1582.5</v>
      </c>
    </row>
    <row r="39" spans="1:7" s="63" customFormat="1" ht="15" customHeight="1">
      <c r="A39" s="145">
        <v>341</v>
      </c>
      <c r="B39" s="102"/>
      <c r="C39" s="103" t="s">
        <v>237</v>
      </c>
      <c r="D39" s="152">
        <v>0</v>
      </c>
      <c r="E39" s="141">
        <v>0</v>
      </c>
      <c r="F39" s="152">
        <v>0</v>
      </c>
      <c r="G39" s="141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52">
        <v>0</v>
      </c>
      <c r="E40" s="141">
        <v>0</v>
      </c>
      <c r="F40" s="152">
        <v>0</v>
      </c>
      <c r="G40" s="141">
        <v>0</v>
      </c>
    </row>
    <row r="41" spans="1:7" s="63" customFormat="1" ht="15" customHeight="1">
      <c r="A41" s="145">
        <v>343</v>
      </c>
      <c r="B41" s="102"/>
      <c r="C41" s="103" t="s">
        <v>239</v>
      </c>
      <c r="D41" s="152">
        <v>144.9</v>
      </c>
      <c r="E41" s="141">
        <v>1160</v>
      </c>
      <c r="F41" s="152">
        <v>1209</v>
      </c>
      <c r="G41" s="141">
        <v>515</v>
      </c>
    </row>
    <row r="42" spans="1:7" s="63" customFormat="1" ht="15" customHeight="1">
      <c r="A42" s="145">
        <v>344</v>
      </c>
      <c r="B42" s="102"/>
      <c r="C42" s="103" t="s">
        <v>83</v>
      </c>
      <c r="D42" s="152">
        <v>11780.6</v>
      </c>
      <c r="E42" s="141">
        <v>0</v>
      </c>
      <c r="F42" s="152">
        <v>7852</v>
      </c>
      <c r="G42" s="141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52">
        <v>2408.9</v>
      </c>
      <c r="E43" s="141">
        <v>4100</v>
      </c>
      <c r="F43" s="152">
        <v>8292.9</v>
      </c>
      <c r="G43" s="141">
        <v>6950</v>
      </c>
    </row>
    <row r="44" spans="1:7" s="62" customFormat="1" ht="15" customHeight="1">
      <c r="A44" s="101">
        <v>440</v>
      </c>
      <c r="B44" s="102"/>
      <c r="C44" s="103" t="s">
        <v>79</v>
      </c>
      <c r="D44" s="140">
        <v>6401.9</v>
      </c>
      <c r="E44" s="141">
        <v>6454.1</v>
      </c>
      <c r="F44" s="140">
        <v>6375</v>
      </c>
      <c r="G44" s="141">
        <v>6382.1</v>
      </c>
    </row>
    <row r="45" spans="1:7" s="62" customFormat="1" ht="15" customHeight="1">
      <c r="A45" s="101">
        <v>441</v>
      </c>
      <c r="B45" s="102"/>
      <c r="C45" s="103" t="s">
        <v>80</v>
      </c>
      <c r="D45" s="140">
        <v>0</v>
      </c>
      <c r="E45" s="141">
        <v>0</v>
      </c>
      <c r="F45" s="140">
        <v>0</v>
      </c>
      <c r="G45" s="141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40">
        <v>2321.9</v>
      </c>
      <c r="E46" s="141">
        <v>4000</v>
      </c>
      <c r="F46" s="140">
        <v>3880</v>
      </c>
      <c r="G46" s="141">
        <v>4600</v>
      </c>
    </row>
    <row r="47" spans="1:7" s="62" customFormat="1" ht="15" customHeight="1">
      <c r="A47" s="101">
        <v>443</v>
      </c>
      <c r="B47" s="102"/>
      <c r="C47" s="103" t="s">
        <v>82</v>
      </c>
      <c r="D47" s="140">
        <v>1262.9000000000001</v>
      </c>
      <c r="E47" s="141">
        <v>1268.2</v>
      </c>
      <c r="F47" s="140">
        <v>1310.5999999999999</v>
      </c>
      <c r="G47" s="141">
        <v>1279.2</v>
      </c>
    </row>
    <row r="48" spans="1:7" s="62" customFormat="1" ht="15" customHeight="1">
      <c r="A48" s="101">
        <v>444</v>
      </c>
      <c r="B48" s="102"/>
      <c r="C48" s="103" t="s">
        <v>83</v>
      </c>
      <c r="D48" s="140">
        <v>11780.6</v>
      </c>
      <c r="E48" s="141">
        <v>0</v>
      </c>
      <c r="F48" s="140">
        <v>7852</v>
      </c>
      <c r="G48" s="141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40">
        <v>1.9</v>
      </c>
      <c r="E49" s="141">
        <v>2010</v>
      </c>
      <c r="F49" s="140">
        <v>143.4</v>
      </c>
      <c r="G49" s="141">
        <v>2</v>
      </c>
    </row>
    <row r="50" spans="1:7" s="62" customFormat="1" ht="15" customHeight="1">
      <c r="A50" s="101">
        <v>446</v>
      </c>
      <c r="B50" s="102"/>
      <c r="C50" s="103" t="s">
        <v>85</v>
      </c>
      <c r="D50" s="140">
        <v>1830.2</v>
      </c>
      <c r="E50" s="141">
        <v>1382</v>
      </c>
      <c r="F50" s="140">
        <v>5057.3</v>
      </c>
      <c r="G50" s="141">
        <v>4816</v>
      </c>
    </row>
    <row r="51" spans="1:7" s="62" customFormat="1" ht="15" customHeight="1">
      <c r="A51" s="101">
        <v>447</v>
      </c>
      <c r="B51" s="102"/>
      <c r="C51" s="103" t="s">
        <v>86</v>
      </c>
      <c r="D51" s="140">
        <v>449</v>
      </c>
      <c r="E51" s="141">
        <v>425.5</v>
      </c>
      <c r="F51" s="140">
        <v>428.2</v>
      </c>
      <c r="G51" s="141">
        <v>421.5</v>
      </c>
    </row>
    <row r="52" spans="1:7" s="62" customFormat="1" ht="15" customHeight="1">
      <c r="A52" s="101">
        <v>448</v>
      </c>
      <c r="B52" s="102"/>
      <c r="C52" s="103" t="s">
        <v>87</v>
      </c>
      <c r="D52" s="140">
        <v>0</v>
      </c>
      <c r="E52" s="141">
        <v>0</v>
      </c>
      <c r="F52" s="140">
        <v>0</v>
      </c>
      <c r="G52" s="141">
        <v>0</v>
      </c>
    </row>
    <row r="53" spans="1:7" s="62" customFormat="1" ht="15" customHeight="1">
      <c r="A53" s="101">
        <v>449</v>
      </c>
      <c r="B53" s="102"/>
      <c r="C53" s="103" t="s">
        <v>88</v>
      </c>
      <c r="D53" s="140">
        <v>0</v>
      </c>
      <c r="E53" s="141">
        <v>0</v>
      </c>
      <c r="F53" s="140">
        <v>0</v>
      </c>
      <c r="G53" s="141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70">
        <v>0</v>
      </c>
      <c r="E54" s="171">
        <v>0</v>
      </c>
      <c r="F54" s="170">
        <v>0</v>
      </c>
      <c r="G54" s="171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7345.2000000000007</v>
      </c>
      <c r="E55" s="15">
        <f t="shared" si="6"/>
        <v>8627.8000000000011</v>
      </c>
      <c r="F55" s="15">
        <f t="shared" ref="F55:G55" si="7">SUM(F44:F53)-SUM(F38:F43)</f>
        <v>6063.5999999999985</v>
      </c>
      <c r="G55" s="15">
        <f t="shared" si="7"/>
        <v>8453.3000000000029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3990.8000000000939</v>
      </c>
      <c r="E56" s="15">
        <f t="shared" si="8"/>
        <v>-3943.2999999999756</v>
      </c>
      <c r="F56" s="15">
        <f t="shared" ref="F56:G56" si="9">F55+F37</f>
        <v>8016.0999999999403</v>
      </c>
      <c r="G56" s="15">
        <f t="shared" si="9"/>
        <v>-10716.199999999997</v>
      </c>
    </row>
    <row r="57" spans="1:7" s="62" customFormat="1" ht="15.75" customHeight="1">
      <c r="A57" s="285">
        <v>380</v>
      </c>
      <c r="B57" s="286"/>
      <c r="C57" s="287" t="s">
        <v>484</v>
      </c>
      <c r="D57" s="290">
        <v>0</v>
      </c>
      <c r="E57" s="291">
        <v>0</v>
      </c>
      <c r="F57" s="290">
        <v>0</v>
      </c>
      <c r="G57" s="291">
        <v>0</v>
      </c>
    </row>
    <row r="58" spans="1:7" s="62" customFormat="1" ht="15.75" customHeight="1">
      <c r="A58" s="285">
        <v>381</v>
      </c>
      <c r="B58" s="286"/>
      <c r="C58" s="287" t="s">
        <v>485</v>
      </c>
      <c r="D58" s="290">
        <v>0</v>
      </c>
      <c r="E58" s="291">
        <v>0</v>
      </c>
      <c r="F58" s="290">
        <v>0</v>
      </c>
      <c r="G58" s="291">
        <v>0</v>
      </c>
    </row>
    <row r="59" spans="1:7" s="63" customFormat="1" ht="14">
      <c r="A59" s="114">
        <v>383</v>
      </c>
      <c r="B59" s="115"/>
      <c r="C59" s="116" t="s">
        <v>57</v>
      </c>
      <c r="D59" s="261">
        <v>4031.6</v>
      </c>
      <c r="E59" s="165">
        <v>0</v>
      </c>
      <c r="F59" s="261">
        <v>3586.8</v>
      </c>
      <c r="G59" s="165">
        <v>0</v>
      </c>
    </row>
    <row r="60" spans="1:7" s="63" customFormat="1" ht="14">
      <c r="A60" s="114">
        <v>3840</v>
      </c>
      <c r="B60" s="115"/>
      <c r="C60" s="116" t="s">
        <v>241</v>
      </c>
      <c r="D60" s="154">
        <v>0</v>
      </c>
      <c r="E60" s="149">
        <v>0</v>
      </c>
      <c r="F60" s="154">
        <v>0</v>
      </c>
      <c r="G60" s="149">
        <v>0</v>
      </c>
    </row>
    <row r="61" spans="1:7" s="63" customFormat="1" ht="14">
      <c r="A61" s="114">
        <v>3841</v>
      </c>
      <c r="B61" s="115"/>
      <c r="C61" s="116" t="s">
        <v>242</v>
      </c>
      <c r="D61" s="154">
        <v>0</v>
      </c>
      <c r="E61" s="149">
        <v>0</v>
      </c>
      <c r="F61" s="154">
        <v>0</v>
      </c>
      <c r="G61" s="149">
        <v>0</v>
      </c>
    </row>
    <row r="62" spans="1:7" s="63" customFormat="1" ht="14">
      <c r="A62" s="177">
        <v>386</v>
      </c>
      <c r="B62" s="178"/>
      <c r="C62" s="179" t="s">
        <v>243</v>
      </c>
      <c r="D62" s="154">
        <v>0</v>
      </c>
      <c r="E62" s="149">
        <v>0</v>
      </c>
      <c r="F62" s="154">
        <v>0</v>
      </c>
      <c r="G62" s="149">
        <v>0</v>
      </c>
    </row>
    <row r="63" spans="1:7" s="63" customFormat="1" ht="28">
      <c r="A63" s="114">
        <v>387</v>
      </c>
      <c r="B63" s="115"/>
      <c r="C63" s="116" t="s">
        <v>58</v>
      </c>
      <c r="D63" s="154">
        <v>2482.5</v>
      </c>
      <c r="E63" s="149">
        <v>0</v>
      </c>
      <c r="F63" s="154">
        <v>6569.5</v>
      </c>
      <c r="G63" s="149">
        <v>0</v>
      </c>
    </row>
    <row r="64" spans="1:7" s="63" customFormat="1">
      <c r="A64" s="145">
        <v>389</v>
      </c>
      <c r="B64" s="294"/>
      <c r="C64" s="103" t="s">
        <v>7</v>
      </c>
      <c r="D64" s="152">
        <v>366</v>
      </c>
      <c r="E64" s="141">
        <v>300</v>
      </c>
      <c r="F64" s="152">
        <v>260.89999999999998</v>
      </c>
      <c r="G64" s="141">
        <v>300</v>
      </c>
    </row>
    <row r="65" spans="1:7" s="62" customFormat="1">
      <c r="A65" s="145" t="s">
        <v>471</v>
      </c>
      <c r="B65" s="102"/>
      <c r="C65" s="103" t="s">
        <v>244</v>
      </c>
      <c r="D65" s="152">
        <v>0</v>
      </c>
      <c r="E65" s="141">
        <v>0</v>
      </c>
      <c r="F65" s="152">
        <v>0</v>
      </c>
      <c r="G65" s="141">
        <v>0</v>
      </c>
    </row>
    <row r="66" spans="1:7" s="95" customFormat="1" ht="14">
      <c r="A66" s="221" t="s">
        <v>472</v>
      </c>
      <c r="B66" s="111"/>
      <c r="C66" s="116" t="s">
        <v>245</v>
      </c>
      <c r="D66" s="260">
        <v>0</v>
      </c>
      <c r="E66" s="165">
        <v>0</v>
      </c>
      <c r="F66" s="260">
        <v>0</v>
      </c>
      <c r="G66" s="165">
        <v>0</v>
      </c>
    </row>
    <row r="67" spans="1:7" s="62" customFormat="1">
      <c r="A67" s="110">
        <v>481</v>
      </c>
      <c r="B67" s="102"/>
      <c r="C67" s="103" t="s">
        <v>246</v>
      </c>
      <c r="D67" s="152">
        <v>0</v>
      </c>
      <c r="E67" s="141">
        <v>0</v>
      </c>
      <c r="F67" s="152">
        <v>0</v>
      </c>
      <c r="G67" s="141">
        <v>0</v>
      </c>
    </row>
    <row r="68" spans="1:7" s="62" customFormat="1">
      <c r="A68" s="110">
        <v>482</v>
      </c>
      <c r="B68" s="102"/>
      <c r="C68" s="103" t="s">
        <v>247</v>
      </c>
      <c r="D68" s="152">
        <v>0</v>
      </c>
      <c r="E68" s="141">
        <v>0</v>
      </c>
      <c r="F68" s="152">
        <v>0</v>
      </c>
      <c r="G68" s="141">
        <v>0</v>
      </c>
    </row>
    <row r="69" spans="1:7" s="62" customFormat="1">
      <c r="A69" s="110">
        <v>483</v>
      </c>
      <c r="B69" s="102"/>
      <c r="C69" s="103" t="s">
        <v>248</v>
      </c>
      <c r="D69" s="152">
        <v>0</v>
      </c>
      <c r="E69" s="141">
        <v>0</v>
      </c>
      <c r="F69" s="152">
        <v>0</v>
      </c>
      <c r="G69" s="141">
        <v>0</v>
      </c>
    </row>
    <row r="70" spans="1:7" s="62" customFormat="1">
      <c r="A70" s="110">
        <v>484</v>
      </c>
      <c r="B70" s="102"/>
      <c r="C70" s="103" t="s">
        <v>249</v>
      </c>
      <c r="D70" s="152">
        <v>0</v>
      </c>
      <c r="E70" s="141">
        <v>0</v>
      </c>
      <c r="F70" s="152">
        <v>0</v>
      </c>
      <c r="G70" s="141">
        <v>0</v>
      </c>
    </row>
    <row r="71" spans="1:7" s="62" customFormat="1">
      <c r="A71" s="110">
        <v>485</v>
      </c>
      <c r="B71" s="102"/>
      <c r="C71" s="103" t="s">
        <v>250</v>
      </c>
      <c r="D71" s="152">
        <v>0</v>
      </c>
      <c r="E71" s="141">
        <v>0</v>
      </c>
      <c r="F71" s="152">
        <v>0</v>
      </c>
      <c r="G71" s="141">
        <v>0</v>
      </c>
    </row>
    <row r="72" spans="1:7" s="62" customFormat="1">
      <c r="A72" s="110">
        <v>486</v>
      </c>
      <c r="B72" s="102"/>
      <c r="C72" s="103" t="s">
        <v>251</v>
      </c>
      <c r="D72" s="152">
        <v>0</v>
      </c>
      <c r="E72" s="141">
        <v>0</v>
      </c>
      <c r="F72" s="152">
        <v>0</v>
      </c>
      <c r="G72" s="141">
        <v>0</v>
      </c>
    </row>
    <row r="73" spans="1:7" s="63" customFormat="1">
      <c r="A73" s="110">
        <v>487</v>
      </c>
      <c r="B73" s="108"/>
      <c r="C73" s="103" t="s">
        <v>64</v>
      </c>
      <c r="D73" s="140">
        <v>0</v>
      </c>
      <c r="E73" s="141">
        <v>0</v>
      </c>
      <c r="F73" s="140">
        <v>0</v>
      </c>
      <c r="G73" s="141">
        <v>0</v>
      </c>
    </row>
    <row r="74" spans="1:7" s="63" customFormat="1">
      <c r="A74" s="110">
        <v>489</v>
      </c>
      <c r="B74" s="182"/>
      <c r="C74" s="133" t="s">
        <v>18</v>
      </c>
      <c r="D74" s="140">
        <v>3595.6</v>
      </c>
      <c r="E74" s="141">
        <v>3584.6</v>
      </c>
      <c r="F74" s="140">
        <v>3587.6</v>
      </c>
      <c r="G74" s="141">
        <v>85.2</v>
      </c>
    </row>
    <row r="75" spans="1:7" s="63" customFormat="1">
      <c r="A75" s="181" t="s">
        <v>381</v>
      </c>
      <c r="B75" s="182"/>
      <c r="C75" s="167" t="s">
        <v>382</v>
      </c>
      <c r="D75" s="152">
        <v>0</v>
      </c>
      <c r="E75" s="141">
        <v>0</v>
      </c>
      <c r="F75" s="152"/>
      <c r="G75" s="141"/>
    </row>
    <row r="76" spans="1:7">
      <c r="A76" s="7"/>
      <c r="B76" s="7"/>
      <c r="C76" s="8" t="s">
        <v>22</v>
      </c>
      <c r="D76" s="15">
        <f t="shared" ref="D76:E76" si="10">SUM(D65:D74)-SUM(D57:D64)</f>
        <v>-3284.5000000000005</v>
      </c>
      <c r="E76" s="15">
        <f t="shared" si="10"/>
        <v>3284.6</v>
      </c>
      <c r="F76" s="15">
        <f t="shared" ref="F76:G76" si="11">SUM(F65:F74)-SUM(F57:F64)</f>
        <v>-6829.5999999999985</v>
      </c>
      <c r="G76" s="15">
        <f t="shared" si="11"/>
        <v>-214.8</v>
      </c>
    </row>
    <row r="77" spans="1:7">
      <c r="A77" s="9"/>
      <c r="B77" s="9"/>
      <c r="C77" s="8" t="s">
        <v>23</v>
      </c>
      <c r="D77" s="15">
        <f t="shared" ref="D77:E77" si="12">D56+D76</f>
        <v>706.30000000009341</v>
      </c>
      <c r="E77" s="15">
        <f t="shared" si="12"/>
        <v>-658.69999999997572</v>
      </c>
      <c r="F77" s="15">
        <f t="shared" ref="F77:G77" si="13">F56+F76</f>
        <v>1186.4999999999418</v>
      </c>
      <c r="G77" s="15">
        <f t="shared" si="13"/>
        <v>-10930.999999999996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328586.09999999992</v>
      </c>
      <c r="E78" s="37">
        <f t="shared" si="14"/>
        <v>321986.7</v>
      </c>
      <c r="F78" s="37">
        <f t="shared" ref="F78:G78" si="15">F20+F21+SUM(F38:F43)+SUM(F57:F64)</f>
        <v>340930.40000000008</v>
      </c>
      <c r="G78" s="37">
        <f t="shared" si="15"/>
        <v>326459.09999999998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329292.40000000002</v>
      </c>
      <c r="E79" s="37">
        <f t="shared" si="16"/>
        <v>321328</v>
      </c>
      <c r="F79" s="37">
        <f t="shared" ref="F79:G79" si="17">F35+F36+SUM(F44:F53)+SUM(F65:F74)</f>
        <v>342116.89999999997</v>
      </c>
      <c r="G79" s="37">
        <f t="shared" si="17"/>
        <v>315528.09999999998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52">
        <v>11228.8</v>
      </c>
      <c r="E82" s="141">
        <v>12410</v>
      </c>
      <c r="F82" s="152">
        <v>12517.4</v>
      </c>
      <c r="G82" s="141">
        <v>13784.5</v>
      </c>
    </row>
    <row r="83" spans="1:7" s="62" customFormat="1">
      <c r="A83" s="186">
        <v>51</v>
      </c>
      <c r="B83" s="187"/>
      <c r="C83" s="187" t="s">
        <v>253</v>
      </c>
      <c r="D83" s="152">
        <v>0</v>
      </c>
      <c r="E83" s="141">
        <v>0</v>
      </c>
      <c r="F83" s="152">
        <v>0</v>
      </c>
      <c r="G83" s="141">
        <v>0</v>
      </c>
    </row>
    <row r="84" spans="1:7" s="62" customFormat="1">
      <c r="A84" s="186">
        <v>52</v>
      </c>
      <c r="B84" s="187"/>
      <c r="C84" s="187" t="s">
        <v>254</v>
      </c>
      <c r="D84" s="152">
        <v>1248.5999999999999</v>
      </c>
      <c r="E84" s="141">
        <v>900</v>
      </c>
      <c r="F84" s="152">
        <v>900.3</v>
      </c>
      <c r="G84" s="141">
        <v>682.5</v>
      </c>
    </row>
    <row r="85" spans="1:7" s="62" customFormat="1">
      <c r="A85" s="186">
        <v>54</v>
      </c>
      <c r="B85" s="187"/>
      <c r="C85" s="187" t="s">
        <v>89</v>
      </c>
      <c r="D85" s="152">
        <v>10</v>
      </c>
      <c r="E85" s="141">
        <v>150</v>
      </c>
      <c r="F85" s="152">
        <v>9.1999999999999993</v>
      </c>
      <c r="G85" s="141">
        <v>575</v>
      </c>
    </row>
    <row r="86" spans="1:7" s="62" customFormat="1">
      <c r="A86" s="186">
        <v>55</v>
      </c>
      <c r="B86" s="187"/>
      <c r="C86" s="187" t="s">
        <v>181</v>
      </c>
      <c r="D86" s="152">
        <v>0</v>
      </c>
      <c r="E86" s="141">
        <v>0</v>
      </c>
      <c r="F86" s="152">
        <v>0</v>
      </c>
      <c r="G86" s="141">
        <v>0</v>
      </c>
    </row>
    <row r="87" spans="1:7" s="62" customFormat="1">
      <c r="A87" s="186">
        <v>56</v>
      </c>
      <c r="B87" s="187"/>
      <c r="C87" s="187" t="s">
        <v>255</v>
      </c>
      <c r="D87" s="152">
        <v>8914</v>
      </c>
      <c r="E87" s="141">
        <v>12639.9</v>
      </c>
      <c r="F87" s="152">
        <v>9214.2999999999993</v>
      </c>
      <c r="G87" s="141">
        <v>14883.9</v>
      </c>
    </row>
    <row r="88" spans="1:7" s="62" customFormat="1">
      <c r="A88" s="186">
        <v>57</v>
      </c>
      <c r="B88" s="187"/>
      <c r="C88" s="187" t="s">
        <v>150</v>
      </c>
      <c r="D88" s="152">
        <v>3940.3</v>
      </c>
      <c r="E88" s="141">
        <v>1475</v>
      </c>
      <c r="F88" s="152">
        <v>6350.5</v>
      </c>
      <c r="G88" s="141">
        <v>2225</v>
      </c>
    </row>
    <row r="89" spans="1:7" s="62" customFormat="1">
      <c r="A89" s="186">
        <v>580</v>
      </c>
      <c r="B89" s="187"/>
      <c r="C89" s="187" t="s">
        <v>256</v>
      </c>
      <c r="D89" s="152">
        <v>0</v>
      </c>
      <c r="E89" s="141">
        <v>0</v>
      </c>
      <c r="F89" s="152">
        <v>0</v>
      </c>
      <c r="G89" s="141">
        <v>0</v>
      </c>
    </row>
    <row r="90" spans="1:7" s="62" customFormat="1">
      <c r="A90" s="186">
        <v>582</v>
      </c>
      <c r="B90" s="187"/>
      <c r="C90" s="187" t="s">
        <v>257</v>
      </c>
      <c r="D90" s="152">
        <v>0</v>
      </c>
      <c r="E90" s="141">
        <v>0</v>
      </c>
      <c r="F90" s="152">
        <v>0</v>
      </c>
      <c r="G90" s="141">
        <v>0</v>
      </c>
    </row>
    <row r="91" spans="1:7" s="62" customFormat="1">
      <c r="A91" s="186">
        <v>584</v>
      </c>
      <c r="B91" s="187"/>
      <c r="C91" s="187" t="s">
        <v>258</v>
      </c>
      <c r="D91" s="152">
        <v>0</v>
      </c>
      <c r="E91" s="141">
        <v>0</v>
      </c>
      <c r="F91" s="152">
        <v>0</v>
      </c>
      <c r="G91" s="141">
        <v>0</v>
      </c>
    </row>
    <row r="92" spans="1:7" s="62" customFormat="1">
      <c r="A92" s="186">
        <v>585</v>
      </c>
      <c r="B92" s="187"/>
      <c r="C92" s="187" t="s">
        <v>259</v>
      </c>
      <c r="D92" s="152">
        <v>0</v>
      </c>
      <c r="E92" s="141">
        <v>0</v>
      </c>
      <c r="F92" s="152">
        <v>0</v>
      </c>
      <c r="G92" s="141">
        <v>0</v>
      </c>
    </row>
    <row r="93" spans="1:7" s="62" customFormat="1">
      <c r="A93" s="186">
        <v>586</v>
      </c>
      <c r="B93" s="187"/>
      <c r="C93" s="187" t="s">
        <v>260</v>
      </c>
      <c r="D93" s="152">
        <v>0</v>
      </c>
      <c r="E93" s="141">
        <v>0</v>
      </c>
      <c r="F93" s="152">
        <v>0</v>
      </c>
      <c r="G93" s="141">
        <v>0</v>
      </c>
    </row>
    <row r="94" spans="1:7" s="62" customFormat="1">
      <c r="A94" s="190">
        <v>589</v>
      </c>
      <c r="B94" s="191"/>
      <c r="C94" s="191" t="s">
        <v>261</v>
      </c>
      <c r="D94" s="273">
        <v>0</v>
      </c>
      <c r="E94" s="147">
        <v>0</v>
      </c>
      <c r="F94" s="273">
        <v>0</v>
      </c>
      <c r="G94" s="147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25341.7</v>
      </c>
      <c r="E95" s="33">
        <f t="shared" si="18"/>
        <v>27574.9</v>
      </c>
      <c r="F95" s="33">
        <f t="shared" ref="F95:G95" si="19">SUM(F82:F94)</f>
        <v>28991.699999999997</v>
      </c>
      <c r="G95" s="33">
        <f t="shared" si="19"/>
        <v>32150.9</v>
      </c>
    </row>
    <row r="96" spans="1:7" s="62" customFormat="1">
      <c r="A96" s="186">
        <v>60</v>
      </c>
      <c r="B96" s="187"/>
      <c r="C96" s="187" t="s">
        <v>262</v>
      </c>
      <c r="D96" s="152">
        <v>0</v>
      </c>
      <c r="E96" s="141">
        <v>0</v>
      </c>
      <c r="F96" s="152">
        <v>0</v>
      </c>
      <c r="G96" s="141">
        <v>0</v>
      </c>
    </row>
    <row r="97" spans="1:7" s="62" customFormat="1">
      <c r="A97" s="186">
        <v>61</v>
      </c>
      <c r="B97" s="187"/>
      <c r="C97" s="187" t="s">
        <v>263</v>
      </c>
      <c r="D97" s="152">
        <v>0</v>
      </c>
      <c r="E97" s="141">
        <v>0</v>
      </c>
      <c r="F97" s="152">
        <v>0</v>
      </c>
      <c r="G97" s="141">
        <v>0</v>
      </c>
    </row>
    <row r="98" spans="1:7" s="62" customFormat="1">
      <c r="A98" s="186">
        <v>62</v>
      </c>
      <c r="B98" s="187"/>
      <c r="C98" s="187" t="s">
        <v>264</v>
      </c>
      <c r="D98" s="152">
        <v>0</v>
      </c>
      <c r="E98" s="141">
        <v>0</v>
      </c>
      <c r="F98" s="152">
        <v>0</v>
      </c>
      <c r="G98" s="141">
        <v>0</v>
      </c>
    </row>
    <row r="99" spans="1:7" s="62" customFormat="1">
      <c r="A99" s="186">
        <v>63</v>
      </c>
      <c r="B99" s="187"/>
      <c r="C99" s="187" t="s">
        <v>265</v>
      </c>
      <c r="D99" s="152">
        <v>7288.4</v>
      </c>
      <c r="E99" s="141">
        <v>8269.6</v>
      </c>
      <c r="F99" s="152">
        <v>9630.6</v>
      </c>
      <c r="G99" s="141">
        <v>7540.8</v>
      </c>
    </row>
    <row r="100" spans="1:7" s="62" customFormat="1">
      <c r="A100" s="186">
        <v>64</v>
      </c>
      <c r="B100" s="187"/>
      <c r="C100" s="187" t="s">
        <v>185</v>
      </c>
      <c r="D100" s="152">
        <v>475.9</v>
      </c>
      <c r="E100" s="141">
        <v>570</v>
      </c>
      <c r="F100" s="152">
        <v>397.9</v>
      </c>
      <c r="G100" s="141">
        <v>570</v>
      </c>
    </row>
    <row r="101" spans="1:7" s="62" customFormat="1">
      <c r="A101" s="186">
        <v>65</v>
      </c>
      <c r="B101" s="187"/>
      <c r="C101" s="187" t="s">
        <v>186</v>
      </c>
      <c r="D101" s="152">
        <v>0</v>
      </c>
      <c r="E101" s="141">
        <v>0</v>
      </c>
      <c r="F101" s="152">
        <v>0</v>
      </c>
      <c r="G101" s="141">
        <v>0</v>
      </c>
    </row>
    <row r="102" spans="1:7" s="62" customFormat="1">
      <c r="A102" s="186">
        <v>66</v>
      </c>
      <c r="B102" s="187"/>
      <c r="C102" s="187" t="s">
        <v>266</v>
      </c>
      <c r="D102" s="152">
        <v>0</v>
      </c>
      <c r="E102" s="141">
        <v>0</v>
      </c>
      <c r="F102" s="152">
        <v>0</v>
      </c>
      <c r="G102" s="141">
        <v>0</v>
      </c>
    </row>
    <row r="103" spans="1:7" s="62" customFormat="1">
      <c r="A103" s="186">
        <v>67</v>
      </c>
      <c r="B103" s="187"/>
      <c r="C103" s="187" t="s">
        <v>150</v>
      </c>
      <c r="D103" s="140">
        <v>3940.4</v>
      </c>
      <c r="E103" s="138">
        <v>1475</v>
      </c>
      <c r="F103" s="140">
        <v>6350.5</v>
      </c>
      <c r="G103" s="138">
        <v>2225</v>
      </c>
    </row>
    <row r="104" spans="1:7" s="95" customFormat="1" ht="28">
      <c r="A104" s="192" t="s">
        <v>268</v>
      </c>
      <c r="B104" s="200"/>
      <c r="C104" s="193" t="s">
        <v>267</v>
      </c>
      <c r="D104" s="260">
        <v>0</v>
      </c>
      <c r="E104" s="165">
        <v>0</v>
      </c>
      <c r="F104" s="260"/>
      <c r="G104" s="165">
        <v>0</v>
      </c>
    </row>
    <row r="105" spans="1:7" s="95" customFormat="1" ht="42">
      <c r="A105" s="194" t="s">
        <v>269</v>
      </c>
      <c r="B105" s="196"/>
      <c r="C105" s="195" t="s">
        <v>270</v>
      </c>
      <c r="D105" s="323">
        <v>0</v>
      </c>
      <c r="E105" s="324">
        <v>0</v>
      </c>
      <c r="F105" s="323"/>
      <c r="G105" s="324">
        <v>0</v>
      </c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11704.699999999999</v>
      </c>
      <c r="E106" s="33">
        <f t="shared" si="20"/>
        <v>10314.6</v>
      </c>
      <c r="F106" s="33">
        <f t="shared" ref="F106:G106" si="21">SUM(F96:F105)</f>
        <v>16379</v>
      </c>
      <c r="G106" s="33">
        <f t="shared" si="21"/>
        <v>10335.799999999999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13637.100000000002</v>
      </c>
      <c r="E107" s="33">
        <f t="shared" si="22"/>
        <v>17260.300000000003</v>
      </c>
      <c r="F107" s="33">
        <f t="shared" ref="F107:G107" si="23">(F95-F88)-(F106-F103)</f>
        <v>12612.699999999997</v>
      </c>
      <c r="G107" s="33">
        <f t="shared" si="23"/>
        <v>21815.100000000002</v>
      </c>
    </row>
    <row r="108" spans="1:7">
      <c r="A108" s="30" t="s">
        <v>407</v>
      </c>
      <c r="B108" s="30"/>
      <c r="C108" s="49" t="s">
        <v>151</v>
      </c>
      <c r="D108" s="33">
        <f t="shared" ref="D108:E108" si="24">ROUND(D107-D85-D86+D100+D101,0)</f>
        <v>14103</v>
      </c>
      <c r="E108" s="33">
        <f t="shared" si="24"/>
        <v>17680</v>
      </c>
      <c r="F108" s="33">
        <f t="shared" ref="F108:G108" si="25">ROUND(F107-F85-F86+F100+F101,0)</f>
        <v>13001</v>
      </c>
      <c r="G108" s="33">
        <f t="shared" si="25"/>
        <v>21810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368619.89999999997</v>
      </c>
      <c r="E111" s="337">
        <f t="shared" si="26"/>
        <v>0</v>
      </c>
      <c r="F111" s="336">
        <f t="shared" ref="F111:G111" si="27">F112+F117</f>
        <v>372025.92000000004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92962.3</v>
      </c>
      <c r="E112" s="337">
        <f t="shared" si="28"/>
        <v>0</v>
      </c>
      <c r="F112" s="336">
        <f t="shared" ref="F112:G112" si="29">F113+F114+F115+F116</f>
        <v>88641.4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89762</v>
      </c>
      <c r="E113" s="113"/>
      <c r="F113" s="105">
        <v>79002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0</v>
      </c>
      <c r="E114" s="271"/>
      <c r="F114" s="270">
        <v>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3200.3</v>
      </c>
      <c r="E115" s="113"/>
      <c r="F115" s="105">
        <v>9639.4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/>
      <c r="E116" s="113"/>
      <c r="F116" s="105">
        <v>0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275657.59999999998</v>
      </c>
      <c r="E117" s="337">
        <f t="shared" si="30"/>
        <v>0</v>
      </c>
      <c r="F117" s="336">
        <f t="shared" ref="F117:G117" si="31">F118+F119+F120</f>
        <v>283384.52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261808.4</v>
      </c>
      <c r="E118" s="113"/>
      <c r="F118" s="105">
        <v>269535.32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13849.2</v>
      </c>
      <c r="E119" s="113"/>
      <c r="F119" s="105">
        <v>13849.2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202299.8</v>
      </c>
      <c r="E121" s="336">
        <f t="shared" si="32"/>
        <v>0</v>
      </c>
      <c r="F121" s="336">
        <f t="shared" ref="F121:G121" si="33">SUM(F122:F130)</f>
        <v>192276.30000000002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19800.5</v>
      </c>
      <c r="E122" s="113"/>
      <c r="F122" s="105">
        <v>19897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28583.7</v>
      </c>
      <c r="E123" s="113"/>
      <c r="F123" s="105">
        <v>28239.3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91484.3</v>
      </c>
      <c r="E124" s="210"/>
      <c r="F124" s="105">
        <v>91484.3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68945.399999999994</v>
      </c>
      <c r="E125" s="210"/>
      <c r="F125" s="105">
        <v>67812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-1743.9</v>
      </c>
      <c r="E126" s="276"/>
      <c r="F126" s="117">
        <v>-4586.8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-4770.2</v>
      </c>
      <c r="E129" s="210"/>
      <c r="F129" s="105">
        <v>-10569.5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/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>D111+D121</f>
        <v>570919.69999999995</v>
      </c>
      <c r="E131" s="18">
        <f>E111+E121</f>
        <v>0</v>
      </c>
      <c r="F131" s="18">
        <f>F111+F121</f>
        <v>564302.22000000009</v>
      </c>
      <c r="G131" s="18">
        <f>G111+G121</f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4">D134+D140</f>
        <v>189156.6</v>
      </c>
      <c r="E133" s="339">
        <f t="shared" si="34"/>
        <v>0</v>
      </c>
      <c r="F133" s="338">
        <f t="shared" ref="F133:G133" si="35">F134+F140</f>
        <v>189899.9</v>
      </c>
      <c r="G133" s="339">
        <f t="shared" si="35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6">D135+D136+D138+D139</f>
        <v>106117.1</v>
      </c>
      <c r="E134" s="337">
        <f t="shared" si="36"/>
        <v>0</v>
      </c>
      <c r="F134" s="336">
        <f t="shared" ref="F134:G134" si="37">F135+F136+F138+F139</f>
        <v>126818.09999999999</v>
      </c>
      <c r="G134" s="337">
        <f t="shared" si="37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76604.800000000003</v>
      </c>
      <c r="E135" s="113"/>
      <c r="F135" s="105">
        <v>79977.2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22525</v>
      </c>
      <c r="E136" s="113"/>
      <c r="F136" s="105">
        <v>40000</v>
      </c>
      <c r="G136" s="113"/>
    </row>
    <row r="137" spans="1:7" s="63" customFormat="1">
      <c r="A137" s="204" t="s">
        <v>490</v>
      </c>
      <c r="B137" s="205"/>
      <c r="C137" s="205" t="s">
        <v>92</v>
      </c>
      <c r="D137" s="150">
        <v>0</v>
      </c>
      <c r="E137" s="213"/>
      <c r="F137" s="150">
        <v>0</v>
      </c>
      <c r="G137" s="213"/>
    </row>
    <row r="138" spans="1:7" s="63" customFormat="1">
      <c r="A138" s="208">
        <v>204</v>
      </c>
      <c r="B138" s="206"/>
      <c r="C138" s="206" t="s">
        <v>282</v>
      </c>
      <c r="D138" s="105">
        <v>6031.2</v>
      </c>
      <c r="E138" s="210"/>
      <c r="F138" s="105">
        <v>5277.2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956.1</v>
      </c>
      <c r="E139" s="210"/>
      <c r="F139" s="105">
        <v>1563.7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38">D141+D143+D144</f>
        <v>83039.5</v>
      </c>
      <c r="E140" s="337">
        <f t="shared" si="38"/>
        <v>0</v>
      </c>
      <c r="F140" s="336">
        <f t="shared" ref="F140:G140" si="39">F141+F143+F144</f>
        <v>63081.8</v>
      </c>
      <c r="G140" s="337">
        <f t="shared" si="39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61525.599999999999</v>
      </c>
      <c r="E141" s="210"/>
      <c r="F141" s="105">
        <v>41463.800000000003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213"/>
      <c r="F142" s="150">
        <v>0</v>
      </c>
      <c r="G142" s="213"/>
    </row>
    <row r="143" spans="1:7" s="63" customFormat="1">
      <c r="A143" s="208">
        <v>208</v>
      </c>
      <c r="B143" s="206"/>
      <c r="C143" s="206" t="s">
        <v>297</v>
      </c>
      <c r="D143" s="105">
        <v>0</v>
      </c>
      <c r="E143" s="210"/>
      <c r="F143" s="105">
        <v>0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21513.9</v>
      </c>
      <c r="E144" s="276"/>
      <c r="F144" s="117">
        <v>21618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381762.9</v>
      </c>
      <c r="E145" s="210"/>
      <c r="F145" s="209">
        <v>374402.2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/>
      <c r="E146" s="174"/>
      <c r="F146" s="169">
        <v>53242.6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570919.5</v>
      </c>
      <c r="E147" s="18">
        <f>E133+E145</f>
        <v>0</v>
      </c>
      <c r="F147" s="18">
        <f>F133+F145</f>
        <v>564302.1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325" t="s">
        <v>402</v>
      </c>
      <c r="B150" s="307"/>
      <c r="C150" s="307" t="s">
        <v>153</v>
      </c>
      <c r="D150" s="55">
        <f t="shared" ref="D150:E150" si="40">D77+SUM(D8:D12)-D30-D31+D16-D33+D59+D63-D73+D64-D74-D54+D20-D35</f>
        <v>20314.900000000096</v>
      </c>
      <c r="E150" s="55">
        <f t="shared" si="40"/>
        <v>11495.700000000024</v>
      </c>
      <c r="F150" s="55">
        <f t="shared" ref="F150:G150" si="41">F77+SUM(F8:F12)-F30-F31+F16-F33+F59+F63-F73+F64-F74-F54+F20-F35</f>
        <v>22426.999999999942</v>
      </c>
      <c r="G150" s="55">
        <f t="shared" si="41"/>
        <v>5215.7000000000044</v>
      </c>
    </row>
    <row r="151" spans="1:7">
      <c r="A151" s="326" t="s">
        <v>403</v>
      </c>
      <c r="B151" s="308"/>
      <c r="C151" s="308" t="s">
        <v>154</v>
      </c>
      <c r="D151" s="258">
        <f t="shared" ref="D151:E151" si="42">IF(D177=0,0,D150/D177)</f>
        <v>7.021815954584576E-2</v>
      </c>
      <c r="E151" s="258">
        <f t="shared" si="42"/>
        <v>4.0946685283599613E-2</v>
      </c>
      <c r="F151" s="258">
        <f t="shared" ref="F151:G151" si="43">IF(F177=0,0,F150/F177)</f>
        <v>7.3999699078228912E-2</v>
      </c>
      <c r="G151" s="258">
        <f t="shared" si="43"/>
        <v>1.8621228636212891E-2</v>
      </c>
    </row>
    <row r="152" spans="1:7" s="251" customFormat="1" ht="28">
      <c r="A152" s="57" t="s">
        <v>404</v>
      </c>
      <c r="B152" s="310"/>
      <c r="C152" s="310" t="s">
        <v>161</v>
      </c>
      <c r="D152" s="245">
        <f t="shared" ref="D152:E152" si="44">IF(D107=0,0,D150/D107)</f>
        <v>1.4896788906732439</v>
      </c>
      <c r="E152" s="245">
        <f t="shared" si="44"/>
        <v>0.66601970997027993</v>
      </c>
      <c r="F152" s="245">
        <f t="shared" ref="F152:G152" si="45">IF(F107=0,0,F150/F107)</f>
        <v>1.7781283943961204</v>
      </c>
      <c r="G152" s="245">
        <f t="shared" si="45"/>
        <v>0.23908668766129901</v>
      </c>
    </row>
    <row r="153" spans="1:7" s="251" customFormat="1" ht="28">
      <c r="A153" s="60" t="s">
        <v>404</v>
      </c>
      <c r="B153" s="311"/>
      <c r="C153" s="311" t="s">
        <v>162</v>
      </c>
      <c r="D153" s="322">
        <f t="shared" ref="D153:E153" si="46">IF(0=D108,0,D150/D108)</f>
        <v>1.4404665673970145</v>
      </c>
      <c r="E153" s="322">
        <f t="shared" si="46"/>
        <v>0.65020927601810097</v>
      </c>
      <c r="F153" s="322">
        <f t="shared" ref="F153:G153" si="47">IF(0=F108,0,F150/F108)</f>
        <v>1.7250211522190555</v>
      </c>
      <c r="G153" s="322">
        <f t="shared" si="47"/>
        <v>0.23914259513984432</v>
      </c>
    </row>
    <row r="154" spans="1:7" s="251" customFormat="1" ht="28">
      <c r="A154" s="58" t="s">
        <v>412</v>
      </c>
      <c r="B154" s="309"/>
      <c r="C154" s="309" t="s">
        <v>163</v>
      </c>
      <c r="D154" s="59">
        <f t="shared" ref="D154:E154" si="48">D150-D107</f>
        <v>6677.8000000000939</v>
      </c>
      <c r="E154" s="59">
        <f t="shared" si="48"/>
        <v>-5764.5999999999785</v>
      </c>
      <c r="F154" s="59">
        <f t="shared" ref="F154:G154" si="49">F150-F107</f>
        <v>9814.2999999999447</v>
      </c>
      <c r="G154" s="59">
        <f t="shared" si="49"/>
        <v>-16599.399999999998</v>
      </c>
    </row>
    <row r="155" spans="1:7" ht="28">
      <c r="A155" s="329" t="s">
        <v>413</v>
      </c>
      <c r="B155" s="321"/>
      <c r="C155" s="321" t="s">
        <v>164</v>
      </c>
      <c r="D155" s="56">
        <f t="shared" ref="D155:E155" si="50">D150-D108</f>
        <v>6211.900000000096</v>
      </c>
      <c r="E155" s="56">
        <f t="shared" si="50"/>
        <v>-6184.2999999999756</v>
      </c>
      <c r="F155" s="56">
        <f t="shared" ref="F155:G155" si="51">F150-F108</f>
        <v>9425.9999999999418</v>
      </c>
      <c r="G155" s="56">
        <f t="shared" si="51"/>
        <v>-16594.299999999996</v>
      </c>
    </row>
    <row r="156" spans="1:7">
      <c r="A156" s="325" t="s">
        <v>391</v>
      </c>
      <c r="B156" s="307"/>
      <c r="C156" s="307" t="s">
        <v>35</v>
      </c>
      <c r="D156" s="47">
        <f t="shared" ref="D156:E156" si="52">D135+D136-D137+D141-D142</f>
        <v>160655.4</v>
      </c>
      <c r="E156" s="47">
        <f t="shared" si="52"/>
        <v>0</v>
      </c>
      <c r="F156" s="47">
        <f t="shared" ref="F156:G156" si="53">F135+F136-F137+F141-F142</f>
        <v>161441</v>
      </c>
      <c r="G156" s="47">
        <f t="shared" si="53"/>
        <v>0</v>
      </c>
    </row>
    <row r="157" spans="1:7">
      <c r="A157" s="327" t="s">
        <v>399</v>
      </c>
      <c r="B157" s="319"/>
      <c r="C157" s="319" t="s">
        <v>132</v>
      </c>
      <c r="D157" s="241">
        <f t="shared" ref="D157:E157" si="54">IF(D177=0,0,D156/D177)</f>
        <v>0.55530307848434468</v>
      </c>
      <c r="E157" s="241">
        <f t="shared" si="54"/>
        <v>0</v>
      </c>
      <c r="F157" s="241">
        <f t="shared" ref="F157:G157" si="55">IF(F177=0,0,F156/F177)</f>
        <v>0.53268762736381969</v>
      </c>
      <c r="G157" s="241">
        <f t="shared" si="55"/>
        <v>0</v>
      </c>
    </row>
    <row r="158" spans="1:7">
      <c r="A158" s="325" t="s">
        <v>392</v>
      </c>
      <c r="B158" s="307"/>
      <c r="C158" s="307" t="s">
        <v>393</v>
      </c>
      <c r="D158" s="47">
        <f t="shared" ref="D158:E158" si="56">D133-D142-D111</f>
        <v>-179463.29999999996</v>
      </c>
      <c r="E158" s="47">
        <f t="shared" si="56"/>
        <v>0</v>
      </c>
      <c r="F158" s="47">
        <f t="shared" ref="F158:G158" si="57">F133-F142-F111</f>
        <v>-182126.02000000005</v>
      </c>
      <c r="G158" s="47">
        <f t="shared" si="57"/>
        <v>0</v>
      </c>
    </row>
    <row r="159" spans="1:7">
      <c r="A159" s="326" t="s">
        <v>395</v>
      </c>
      <c r="B159" s="308"/>
      <c r="C159" s="308" t="s">
        <v>394</v>
      </c>
      <c r="D159" s="40">
        <f t="shared" ref="D159:E159" si="58">D121-D123-D124-D142-D145</f>
        <v>-299531.10000000003</v>
      </c>
      <c r="E159" s="40">
        <f t="shared" si="58"/>
        <v>0</v>
      </c>
      <c r="F159" s="40">
        <f t="shared" ref="F159:G159" si="59">F121-F123-F124-F142-F145</f>
        <v>-301849.5</v>
      </c>
      <c r="G159" s="40">
        <f t="shared" si="59"/>
        <v>0</v>
      </c>
    </row>
    <row r="160" spans="1:7">
      <c r="A160" s="326" t="s">
        <v>400</v>
      </c>
      <c r="B160" s="308"/>
      <c r="C160" s="308" t="s">
        <v>115</v>
      </c>
      <c r="D160" s="240">
        <f t="shared" ref="D160:E160" si="60">IF(D175=0,"-",1000*D158/D175)</f>
        <v>-4649.6696634453447</v>
      </c>
      <c r="E160" s="240">
        <f t="shared" si="60"/>
        <v>0</v>
      </c>
      <c r="F160" s="240">
        <f t="shared" ref="F160:G160" si="61">IF(F175=0,"-",1000*F158/F175)</f>
        <v>-4600.0712265104075</v>
      </c>
      <c r="G160" s="240">
        <f t="shared" si="61"/>
        <v>0</v>
      </c>
    </row>
    <row r="161" spans="1:7">
      <c r="A161" s="326" t="s">
        <v>400</v>
      </c>
      <c r="B161" s="308"/>
      <c r="C161" s="308" t="s">
        <v>139</v>
      </c>
      <c r="D161" s="40">
        <f t="shared" ref="D161:E161" si="62">IF(D175=0,0,1000*(D159/D175))</f>
        <v>-7760.4762028136911</v>
      </c>
      <c r="E161" s="40">
        <f t="shared" si="62"/>
        <v>0</v>
      </c>
      <c r="F161" s="40">
        <f t="shared" ref="F161:G161" si="63">IF(F175=0,0,1000*(F159/F175))</f>
        <v>-7624.0023237017576</v>
      </c>
      <c r="G161" s="40">
        <f t="shared" si="63"/>
        <v>0</v>
      </c>
    </row>
    <row r="162" spans="1:7">
      <c r="A162" s="327" t="s">
        <v>401</v>
      </c>
      <c r="B162" s="319"/>
      <c r="C162" s="319" t="s">
        <v>116</v>
      </c>
      <c r="D162" s="241">
        <f t="shared" ref="D162:E162" si="64">IF((D22+D23+D65+D66)=0,0,D158/(D22+D23+D65+D66))</f>
        <v>-1.882696110572005</v>
      </c>
      <c r="E162" s="241">
        <f t="shared" si="64"/>
        <v>0</v>
      </c>
      <c r="F162" s="241">
        <f t="shared" ref="F162:G162" si="65">IF((F22+F23+F65+F66)=0,0,F158/(F22+F23+F65+F66))</f>
        <v>-1.8481039092823264</v>
      </c>
      <c r="G162" s="241">
        <f t="shared" si="65"/>
        <v>0</v>
      </c>
    </row>
    <row r="163" spans="1:7">
      <c r="A163" s="326" t="s">
        <v>409</v>
      </c>
      <c r="B163" s="308"/>
      <c r="C163" s="308" t="s">
        <v>36</v>
      </c>
      <c r="D163" s="55">
        <f t="shared" ref="D163:E163" si="66">D145</f>
        <v>381762.9</v>
      </c>
      <c r="E163" s="55">
        <f t="shared" si="66"/>
        <v>0</v>
      </c>
      <c r="F163" s="55">
        <f t="shared" ref="F163:G163" si="67">F145</f>
        <v>374402.2</v>
      </c>
      <c r="G163" s="55">
        <f t="shared" si="67"/>
        <v>0</v>
      </c>
    </row>
    <row r="164" spans="1:7" ht="28">
      <c r="A164" s="57" t="s">
        <v>408</v>
      </c>
      <c r="B164" s="319"/>
      <c r="C164" s="319" t="s">
        <v>117</v>
      </c>
      <c r="D164" s="245">
        <f>IF(D178=0,0,D146/D178)</f>
        <v>0</v>
      </c>
      <c r="E164" s="245">
        <f>IF(E178=0,0,E146/E178)</f>
        <v>0</v>
      </c>
      <c r="F164" s="245">
        <f>IF(F178=0,0,F146/F178)</f>
        <v>0.18045115330244388</v>
      </c>
      <c r="G164" s="245">
        <f>IF(G178=0,0,G146/G178)</f>
        <v>0</v>
      </c>
    </row>
    <row r="165" spans="1:7">
      <c r="A165" s="328" t="s">
        <v>493</v>
      </c>
      <c r="B165" s="320"/>
      <c r="C165" s="320" t="s">
        <v>118</v>
      </c>
      <c r="D165" s="259">
        <f t="shared" ref="D165:E165" si="68">IF(D177=0,0,D180/D177)</f>
        <v>3.1122542093081774E-2</v>
      </c>
      <c r="E165" s="259">
        <f t="shared" si="68"/>
        <v>3.5486984769259267E-2</v>
      </c>
      <c r="F165" s="259">
        <f t="shared" ref="F165:G165" si="69">IF(F177=0,0,F180/F177)</f>
        <v>2.5664799543865947E-2</v>
      </c>
      <c r="G165" s="259">
        <f t="shared" si="69"/>
        <v>3.4676178701244544E-2</v>
      </c>
    </row>
    <row r="166" spans="1:7">
      <c r="A166" s="326" t="s">
        <v>411</v>
      </c>
      <c r="B166" s="308"/>
      <c r="C166" s="308" t="s">
        <v>20</v>
      </c>
      <c r="D166" s="55">
        <f t="shared" ref="D166:E166" si="70">D55</f>
        <v>7345.2000000000007</v>
      </c>
      <c r="E166" s="55">
        <f t="shared" si="70"/>
        <v>8627.8000000000011</v>
      </c>
      <c r="F166" s="55">
        <f t="shared" ref="F166:G166" si="71">F55</f>
        <v>6063.5999999999985</v>
      </c>
      <c r="G166" s="55">
        <f t="shared" si="71"/>
        <v>8453.3000000000029</v>
      </c>
    </row>
    <row r="167" spans="1:7">
      <c r="A167" s="327" t="s">
        <v>410</v>
      </c>
      <c r="B167" s="319"/>
      <c r="C167" s="319" t="s">
        <v>119</v>
      </c>
      <c r="D167" s="241">
        <f t="shared" ref="D167:E167" si="72">IF(0=D111,0,(D44+D45+D46+D47+D48)/D111)</f>
        <v>5.9050800024632422E-2</v>
      </c>
      <c r="E167" s="241">
        <f t="shared" si="72"/>
        <v>0</v>
      </c>
      <c r="F167" s="241">
        <f t="shared" ref="F167:G167" si="73">IF(0=F111,0,(F44+F45+F46+F47+F48)/F111)</f>
        <v>5.2194212704319086E-2</v>
      </c>
      <c r="G167" s="241">
        <f t="shared" si="73"/>
        <v>0</v>
      </c>
    </row>
    <row r="168" spans="1:7">
      <c r="A168" s="326" t="s">
        <v>396</v>
      </c>
      <c r="B168" s="307"/>
      <c r="C168" s="307" t="s">
        <v>397</v>
      </c>
      <c r="D168" s="55">
        <f t="shared" ref="D168:E168" si="74">D38-D44</f>
        <v>-4033.0999999999995</v>
      </c>
      <c r="E168" s="55">
        <f t="shared" si="74"/>
        <v>-4802.1000000000004</v>
      </c>
      <c r="F168" s="55">
        <f t="shared" ref="F168:G168" si="75">F38-F44</f>
        <v>-4746</v>
      </c>
      <c r="G168" s="55">
        <f t="shared" si="75"/>
        <v>-4799.6000000000004</v>
      </c>
    </row>
    <row r="169" spans="1:7">
      <c r="A169" s="327" t="s">
        <v>398</v>
      </c>
      <c r="B169" s="319"/>
      <c r="C169" s="319" t="s">
        <v>120</v>
      </c>
      <c r="D169" s="258">
        <f t="shared" ref="D169:E169" si="76">IF(D177=0,0,D168/D177)</f>
        <v>-1.3940352119102193E-2</v>
      </c>
      <c r="E169" s="258">
        <f t="shared" si="76"/>
        <v>-1.7104663256728454E-2</v>
      </c>
      <c r="F169" s="258">
        <f t="shared" ref="F169:G169" si="77">IF(F177=0,0,F168/F177)</f>
        <v>-1.5659810577664215E-2</v>
      </c>
      <c r="G169" s="258">
        <f t="shared" si="77"/>
        <v>-1.7135657526768665E-2</v>
      </c>
    </row>
    <row r="170" spans="1:7">
      <c r="A170" s="326" t="s">
        <v>366</v>
      </c>
      <c r="B170" s="308"/>
      <c r="C170" s="308" t="s">
        <v>364</v>
      </c>
      <c r="D170" s="55">
        <f t="shared" ref="D170:E170" si="78">SUM(D82:D87)+SUM(D89:D94)</f>
        <v>21401.4</v>
      </c>
      <c r="E170" s="55">
        <f t="shared" si="78"/>
        <v>26099.9</v>
      </c>
      <c r="F170" s="55">
        <f t="shared" ref="F170:G170" si="79">SUM(F82:F87)+SUM(F89:F94)</f>
        <v>22641.199999999997</v>
      </c>
      <c r="G170" s="55">
        <f t="shared" si="79"/>
        <v>29925.9</v>
      </c>
    </row>
    <row r="171" spans="1:7">
      <c r="A171" s="326" t="s">
        <v>367</v>
      </c>
      <c r="B171" s="308"/>
      <c r="C171" s="308" t="s">
        <v>365</v>
      </c>
      <c r="D171" s="40">
        <f t="shared" ref="D171:E171" si="80">SUM(D96:D102)+SUM(D104:D105)</f>
        <v>7764.2999999999993</v>
      </c>
      <c r="E171" s="40">
        <f t="shared" si="80"/>
        <v>8839.6</v>
      </c>
      <c r="F171" s="40">
        <f t="shared" ref="F171:G171" si="81">SUM(F96:F102)+SUM(F104:F105)</f>
        <v>10028.5</v>
      </c>
      <c r="G171" s="40">
        <f t="shared" si="81"/>
        <v>8110.8</v>
      </c>
    </row>
    <row r="172" spans="1:7">
      <c r="A172" s="328" t="s">
        <v>368</v>
      </c>
      <c r="B172" s="320"/>
      <c r="C172" s="320" t="s">
        <v>121</v>
      </c>
      <c r="D172" s="259">
        <f t="shared" ref="D172:E172" si="82">IF(D184=0,0,D170/D184)</f>
        <v>7.7338486967871947E-2</v>
      </c>
      <c r="E172" s="259">
        <f t="shared" si="82"/>
        <v>8.9272912100391011E-2</v>
      </c>
      <c r="F172" s="259">
        <f t="shared" ref="F172:G172" si="83">IF(F184=0,0,F170/F184)</f>
        <v>7.7733061510921519E-2</v>
      </c>
      <c r="G172" s="259">
        <f t="shared" si="83"/>
        <v>9.8908682516478497E-2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188</v>
      </c>
      <c r="D175" s="66">
        <v>38597</v>
      </c>
      <c r="E175" s="66">
        <v>38597</v>
      </c>
      <c r="F175" s="66">
        <v>39592</v>
      </c>
      <c r="G175" s="66">
        <v>39592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4">SUM(D22:D32)+SUM(D44:D53)+SUM(D65:D72)+D75</f>
        <v>289311.20000000007</v>
      </c>
      <c r="E177" s="39">
        <f t="shared" si="84"/>
        <v>280748</v>
      </c>
      <c r="F177" s="39">
        <f t="shared" ref="F177:G177" si="85">SUM(F22:F32)+SUM(F44:F53)+SUM(F65:F72)+F75</f>
        <v>303068.79999999999</v>
      </c>
      <c r="G177" s="39">
        <f t="shared" si="85"/>
        <v>280094.3</v>
      </c>
    </row>
    <row r="178" spans="1:7">
      <c r="A178" s="236" t="s">
        <v>385</v>
      </c>
      <c r="B178" s="23"/>
      <c r="C178" s="23" t="s">
        <v>100</v>
      </c>
      <c r="D178" s="39">
        <f t="shared" ref="D178:E178" si="86">D78-D17-D20-D59-D63-D64</f>
        <v>285320.39999999997</v>
      </c>
      <c r="E178" s="39">
        <f t="shared" si="86"/>
        <v>284691.3</v>
      </c>
      <c r="F178" s="39">
        <f t="shared" ref="F178:G178" si="87">F78-F17-F20-F59-F63-F64</f>
        <v>295052.70000000007</v>
      </c>
      <c r="G178" s="39">
        <f t="shared" si="87"/>
        <v>290810.5</v>
      </c>
    </row>
    <row r="179" spans="1:7">
      <c r="A179" s="236"/>
      <c r="B179" s="23"/>
      <c r="C179" s="23" t="s">
        <v>388</v>
      </c>
      <c r="D179" s="39">
        <f t="shared" ref="D179:E179" si="88">D178+D170</f>
        <v>306721.8</v>
      </c>
      <c r="E179" s="39">
        <f t="shared" si="88"/>
        <v>310791.2</v>
      </c>
      <c r="F179" s="39">
        <f t="shared" ref="F179:G179" si="89">F178+F170</f>
        <v>317693.90000000008</v>
      </c>
      <c r="G179" s="39">
        <f t="shared" si="89"/>
        <v>320736.40000000002</v>
      </c>
    </row>
    <row r="180" spans="1:7">
      <c r="A180" s="236" t="s">
        <v>389</v>
      </c>
      <c r="B180" s="23"/>
      <c r="C180" s="23" t="s">
        <v>390</v>
      </c>
      <c r="D180" s="39">
        <f t="shared" ref="D180:E180" si="90">D38-D44+D8+D9+D10+D16-D33</f>
        <v>9004.1000000000022</v>
      </c>
      <c r="E180" s="39">
        <f t="shared" si="90"/>
        <v>9962.9</v>
      </c>
      <c r="F180" s="39">
        <f t="shared" ref="F180:G180" si="91">F38-F44+F8+F9+F10+F16-F33</f>
        <v>7778.2</v>
      </c>
      <c r="G180" s="39">
        <f t="shared" si="91"/>
        <v>9712.5999999999985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2">D22+D23+D24+D25+D26+D29+SUM(D44:D47)+SUM(D49:D53)-D54+D32-D33+SUM(D65:D70)+D72</f>
        <v>275986.5</v>
      </c>
      <c r="E181" s="73">
        <f t="shared" si="92"/>
        <v>277509</v>
      </c>
      <c r="F181" s="73">
        <f t="shared" ref="F181:G181" si="93">F22+F23+F24+F25+F26+F29+SUM(F44:F47)+SUM(F49:F53)-F54+F32-F33+SUM(F65:F70)+F72</f>
        <v>292061.2</v>
      </c>
      <c r="G181" s="73">
        <f t="shared" si="93"/>
        <v>277613.7</v>
      </c>
    </row>
    <row r="182" spans="1:7">
      <c r="A182" s="237" t="s">
        <v>375</v>
      </c>
      <c r="B182" s="71"/>
      <c r="C182" s="71" t="s">
        <v>170</v>
      </c>
      <c r="D182" s="73">
        <f t="shared" ref="D182:E182" si="94">D181+D171</f>
        <v>283750.8</v>
      </c>
      <c r="E182" s="73">
        <f t="shared" si="94"/>
        <v>286348.59999999998</v>
      </c>
      <c r="F182" s="73">
        <f t="shared" ref="F182:G182" si="95">F181+F171</f>
        <v>302089.7</v>
      </c>
      <c r="G182" s="73">
        <f t="shared" si="95"/>
        <v>285724.5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255322.39999999997</v>
      </c>
      <c r="E183" s="73">
        <f t="shared" ref="E183:G183" si="96">E4+E5-E7+E38+E39+E40+E41+E43+E13-E16+E57+E58+E60+E62</f>
        <v>266260.90000000002</v>
      </c>
      <c r="F183" s="73">
        <f t="shared" si="96"/>
        <v>268627.40000000002</v>
      </c>
      <c r="G183" s="73">
        <f t="shared" si="96"/>
        <v>272635</v>
      </c>
    </row>
    <row r="184" spans="1:7">
      <c r="A184" s="237" t="s">
        <v>373</v>
      </c>
      <c r="B184" s="71"/>
      <c r="C184" s="71" t="s">
        <v>171</v>
      </c>
      <c r="D184" s="73">
        <f t="shared" ref="D184:E184" si="97">D183+D170</f>
        <v>276723.8</v>
      </c>
      <c r="E184" s="73">
        <f t="shared" si="97"/>
        <v>292360.80000000005</v>
      </c>
      <c r="F184" s="73">
        <f t="shared" ref="F184:G184" si="98">F183+F170</f>
        <v>291268.60000000003</v>
      </c>
      <c r="G184" s="73">
        <f t="shared" si="98"/>
        <v>302560.90000000002</v>
      </c>
    </row>
    <row r="185" spans="1:7">
      <c r="A185" s="237"/>
      <c r="B185" s="71"/>
      <c r="C185" s="71" t="s">
        <v>405</v>
      </c>
      <c r="D185" s="73">
        <f t="shared" ref="D185:E185" si="99">D181-D183</f>
        <v>20664.100000000035</v>
      </c>
      <c r="E185" s="73">
        <f t="shared" si="99"/>
        <v>11248.099999999977</v>
      </c>
      <c r="F185" s="73">
        <f t="shared" ref="F185:G185" si="100">F181-F183</f>
        <v>23433.799999999988</v>
      </c>
      <c r="G185" s="73">
        <f t="shared" si="100"/>
        <v>4978.7000000000116</v>
      </c>
    </row>
    <row r="186" spans="1:7">
      <c r="A186" s="237"/>
      <c r="B186" s="71"/>
      <c r="C186" s="71" t="s">
        <v>406</v>
      </c>
      <c r="D186" s="73">
        <f t="shared" ref="D186:E186" si="101">D182-D184</f>
        <v>7027</v>
      </c>
      <c r="E186" s="73">
        <f t="shared" si="101"/>
        <v>-6012.2000000000698</v>
      </c>
      <c r="F186" s="73">
        <f t="shared" ref="F186:G186" si="102">F182-F184</f>
        <v>10821.099999999977</v>
      </c>
      <c r="G186" s="73">
        <f t="shared" si="102"/>
        <v>-16836.400000000023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V186"/>
  <sheetViews>
    <sheetView view="pageLayout" topLeftCell="A160" zoomScaleNormal="115" workbookViewId="0">
      <selection activeCell="G183" sqref="G183"/>
    </sheetView>
  </sheetViews>
  <sheetFormatPr baseColWidth="10" defaultColWidth="11.5" defaultRowHeight="13"/>
  <cols>
    <col min="1" max="1" width="15.1640625" style="1" customWidth="1"/>
    <col min="2" max="2" width="3.6640625" style="1" customWidth="1"/>
    <col min="3" max="3" width="44.6640625" style="1" customWidth="1"/>
    <col min="4" max="4" width="12.6640625" style="1" customWidth="1"/>
    <col min="5" max="16384" width="11.5" style="1"/>
  </cols>
  <sheetData>
    <row r="1" spans="1:48" s="2" customFormat="1" ht="18" customHeight="1">
      <c r="A1" s="45" t="s">
        <v>3</v>
      </c>
      <c r="B1" s="284" t="s">
        <v>213</v>
      </c>
      <c r="C1" s="284" t="s">
        <v>214</v>
      </c>
      <c r="D1" s="28" t="s">
        <v>37</v>
      </c>
      <c r="E1" s="24" t="s">
        <v>2</v>
      </c>
      <c r="F1" s="28" t="s">
        <v>37</v>
      </c>
      <c r="G1" s="24" t="s">
        <v>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s="3" customFormat="1" ht="15" customHeight="1">
      <c r="A2" s="25"/>
      <c r="B2" s="26"/>
      <c r="C2" s="42" t="s">
        <v>0</v>
      </c>
      <c r="D2" s="29">
        <v>2012</v>
      </c>
      <c r="E2" s="27">
        <v>2013</v>
      </c>
      <c r="F2" s="29">
        <v>2013</v>
      </c>
      <c r="G2" s="27">
        <v>2014</v>
      </c>
    </row>
    <row r="3" spans="1:48" ht="15" customHeight="1">
      <c r="A3" s="800" t="s">
        <v>24</v>
      </c>
      <c r="B3" s="797"/>
      <c r="C3" s="797"/>
      <c r="E3" s="85" t="s">
        <v>470</v>
      </c>
      <c r="G3" s="85" t="s">
        <v>470</v>
      </c>
    </row>
    <row r="4" spans="1:48" s="62" customFormat="1" ht="12.75" customHeight="1">
      <c r="A4" s="148">
        <v>30</v>
      </c>
      <c r="B4" s="96"/>
      <c r="C4" s="97" t="s">
        <v>1</v>
      </c>
      <c r="D4" s="98">
        <v>295886.69</v>
      </c>
      <c r="E4" s="100">
        <v>310180.71000000002</v>
      </c>
      <c r="F4" s="98">
        <v>303651.54499999998</v>
      </c>
      <c r="G4" s="100">
        <v>318029.24</v>
      </c>
    </row>
    <row r="5" spans="1:48" s="62" customFormat="1" ht="12.75" customHeight="1">
      <c r="A5" s="101">
        <v>31</v>
      </c>
      <c r="B5" s="102"/>
      <c r="C5" s="103" t="s">
        <v>4</v>
      </c>
      <c r="D5" s="105">
        <v>110727.85</v>
      </c>
      <c r="E5" s="106">
        <v>115666.07</v>
      </c>
      <c r="F5" s="105">
        <v>107035.07799999999</v>
      </c>
      <c r="G5" s="106">
        <v>118398.689</v>
      </c>
    </row>
    <row r="6" spans="1:48" s="62" customFormat="1" ht="12.75" customHeight="1">
      <c r="A6" s="107" t="s">
        <v>229</v>
      </c>
      <c r="B6" s="108"/>
      <c r="C6" s="109" t="s">
        <v>230</v>
      </c>
      <c r="D6" s="150">
        <v>22849.81</v>
      </c>
      <c r="E6" s="155">
        <v>23138.15</v>
      </c>
      <c r="F6" s="150">
        <v>21944.409</v>
      </c>
      <c r="G6" s="155">
        <v>23137.45</v>
      </c>
    </row>
    <row r="7" spans="1:48" s="62" customFormat="1" ht="12.75" customHeight="1">
      <c r="A7" s="107" t="s">
        <v>371</v>
      </c>
      <c r="B7" s="108"/>
      <c r="C7" s="109" t="s">
        <v>372</v>
      </c>
      <c r="D7" s="150">
        <v>2261</v>
      </c>
      <c r="E7" s="155">
        <v>0</v>
      </c>
      <c r="F7" s="150">
        <v>-866</v>
      </c>
      <c r="G7" s="155">
        <v>0</v>
      </c>
    </row>
    <row r="8" spans="1:48" s="62" customFormat="1" ht="12.75" customHeight="1">
      <c r="A8" s="145">
        <v>330</v>
      </c>
      <c r="B8" s="102"/>
      <c r="C8" s="103" t="s">
        <v>231</v>
      </c>
      <c r="D8" s="105">
        <v>58415.35</v>
      </c>
      <c r="E8" s="113">
        <v>68133</v>
      </c>
      <c r="F8" s="105">
        <v>64405.381000000001</v>
      </c>
      <c r="G8" s="113">
        <v>72030</v>
      </c>
    </row>
    <row r="9" spans="1:48" s="62" customFormat="1" ht="12.75" customHeight="1">
      <c r="A9" s="145">
        <v>332</v>
      </c>
      <c r="B9" s="102"/>
      <c r="C9" s="103" t="s">
        <v>232</v>
      </c>
      <c r="D9" s="105">
        <v>0</v>
      </c>
      <c r="E9" s="113">
        <v>0</v>
      </c>
      <c r="F9" s="105">
        <v>0</v>
      </c>
      <c r="G9" s="113">
        <v>0</v>
      </c>
    </row>
    <row r="10" spans="1:48" s="62" customFormat="1" ht="12.75" customHeight="1">
      <c r="A10" s="145">
        <v>339</v>
      </c>
      <c r="B10" s="102"/>
      <c r="C10" s="103" t="s">
        <v>233</v>
      </c>
      <c r="D10" s="105">
        <v>0</v>
      </c>
      <c r="E10" s="113">
        <v>0</v>
      </c>
      <c r="F10" s="105">
        <v>0</v>
      </c>
      <c r="G10" s="113">
        <v>0</v>
      </c>
    </row>
    <row r="11" spans="1:48" s="62" customFormat="1" ht="12.75" customHeight="1">
      <c r="A11" s="101">
        <v>350</v>
      </c>
      <c r="B11" s="102"/>
      <c r="C11" s="103" t="s">
        <v>234</v>
      </c>
      <c r="D11" s="105">
        <v>0</v>
      </c>
      <c r="E11" s="113">
        <v>0</v>
      </c>
      <c r="F11" s="105">
        <v>0</v>
      </c>
      <c r="G11" s="113"/>
    </row>
    <row r="12" spans="1:48" s="63" customFormat="1" ht="14">
      <c r="A12" s="114">
        <v>351</v>
      </c>
      <c r="B12" s="115"/>
      <c r="C12" s="116" t="s">
        <v>272</v>
      </c>
      <c r="D12" s="119">
        <v>10168.4</v>
      </c>
      <c r="E12" s="296">
        <v>8528.7870000000003</v>
      </c>
      <c r="F12" s="119">
        <v>4487.4949999999999</v>
      </c>
      <c r="G12" s="296">
        <v>5882.74</v>
      </c>
    </row>
    <row r="13" spans="1:48" s="62" customFormat="1" ht="12.75" customHeight="1">
      <c r="A13" s="101">
        <v>36</v>
      </c>
      <c r="B13" s="102"/>
      <c r="C13" s="103" t="s">
        <v>5</v>
      </c>
      <c r="D13" s="150">
        <v>757703.91</v>
      </c>
      <c r="E13" s="106">
        <v>824296.14</v>
      </c>
      <c r="F13" s="150">
        <v>806788.30700000003</v>
      </c>
      <c r="G13" s="106">
        <v>818001.7</v>
      </c>
    </row>
    <row r="14" spans="1:48" s="62" customFormat="1" ht="12.75" customHeight="1">
      <c r="A14" s="121" t="s">
        <v>173</v>
      </c>
      <c r="B14" s="102"/>
      <c r="C14" s="122" t="s">
        <v>174</v>
      </c>
      <c r="D14" s="150">
        <v>123072.99</v>
      </c>
      <c r="E14" s="106">
        <v>149642</v>
      </c>
      <c r="F14" s="150">
        <v>142147.30300000001</v>
      </c>
      <c r="G14" s="106">
        <v>154356.20000000001</v>
      </c>
    </row>
    <row r="15" spans="1:48" s="62" customFormat="1" ht="12.75" customHeight="1">
      <c r="A15" s="121" t="s">
        <v>175</v>
      </c>
      <c r="B15" s="102"/>
      <c r="C15" s="122" t="s">
        <v>176</v>
      </c>
      <c r="D15" s="150">
        <v>31748.66</v>
      </c>
      <c r="E15" s="106">
        <v>32317.9</v>
      </c>
      <c r="F15" s="150">
        <v>31040.768</v>
      </c>
      <c r="G15" s="106">
        <v>33663.699999999997</v>
      </c>
    </row>
    <row r="16" spans="1:48" s="64" customFormat="1" ht="26.25" customHeight="1">
      <c r="A16" s="121" t="s">
        <v>146</v>
      </c>
      <c r="B16" s="123"/>
      <c r="C16" s="122" t="s">
        <v>148</v>
      </c>
      <c r="D16" s="125">
        <v>10377.25</v>
      </c>
      <c r="E16" s="335">
        <v>11100</v>
      </c>
      <c r="F16" s="125">
        <v>10051.166999999999</v>
      </c>
      <c r="G16" s="335">
        <v>11256</v>
      </c>
    </row>
    <row r="17" spans="1:7" s="65" customFormat="1">
      <c r="A17" s="101">
        <v>37</v>
      </c>
      <c r="B17" s="102"/>
      <c r="C17" s="103" t="s">
        <v>6</v>
      </c>
      <c r="D17" s="128">
        <v>77529.919999999998</v>
      </c>
      <c r="E17" s="106">
        <v>79549.8</v>
      </c>
      <c r="F17" s="128">
        <v>80720.513000000006</v>
      </c>
      <c r="G17" s="106">
        <v>82707.8</v>
      </c>
    </row>
    <row r="18" spans="1:7" s="65" customFormat="1">
      <c r="A18" s="145" t="s">
        <v>196</v>
      </c>
      <c r="B18" s="102"/>
      <c r="C18" s="103" t="s">
        <v>197</v>
      </c>
      <c r="D18" s="129">
        <v>0</v>
      </c>
      <c r="E18" s="106">
        <v>0</v>
      </c>
      <c r="F18" s="129">
        <v>0</v>
      </c>
      <c r="G18" s="106">
        <v>0</v>
      </c>
    </row>
    <row r="19" spans="1:7" s="65" customFormat="1">
      <c r="A19" s="145" t="s">
        <v>198</v>
      </c>
      <c r="B19" s="102"/>
      <c r="C19" s="103" t="s">
        <v>199</v>
      </c>
      <c r="D19" s="129">
        <v>44605.11</v>
      </c>
      <c r="E19" s="106">
        <v>45068</v>
      </c>
      <c r="F19" s="129">
        <v>46577.745000000003</v>
      </c>
      <c r="G19" s="106">
        <v>48147</v>
      </c>
    </row>
    <row r="20" spans="1:7" s="62" customFormat="1" ht="12.75" customHeight="1">
      <c r="A20" s="131">
        <v>39</v>
      </c>
      <c r="B20" s="132"/>
      <c r="C20" s="133" t="s">
        <v>8</v>
      </c>
      <c r="D20" s="135">
        <v>3127.63</v>
      </c>
      <c r="E20" s="136">
        <v>4114.8100000000004</v>
      </c>
      <c r="F20" s="135">
        <v>3883.136</v>
      </c>
      <c r="G20" s="136">
        <v>3143.1</v>
      </c>
    </row>
    <row r="21" spans="1:7" ht="12.75" customHeight="1">
      <c r="A21" s="7"/>
      <c r="B21" s="7"/>
      <c r="C21" s="8" t="s">
        <v>475</v>
      </c>
      <c r="D21" s="15">
        <f t="shared" ref="D21:E21" si="0">D4+D5+SUM(D8:D13)+D17</f>
        <v>1310432.1200000001</v>
      </c>
      <c r="E21" s="15">
        <f t="shared" si="0"/>
        <v>1406354.507</v>
      </c>
      <c r="F21" s="15">
        <f t="shared" ref="F21:G21" si="1">F4+F5+SUM(F8:F13)+F17</f>
        <v>1367088.3190000001</v>
      </c>
      <c r="G21" s="15">
        <f t="shared" si="1"/>
        <v>1415050.169</v>
      </c>
    </row>
    <row r="22" spans="1:7" s="62" customFormat="1" ht="12.75" customHeight="1">
      <c r="A22" s="145" t="s">
        <v>416</v>
      </c>
      <c r="B22" s="102"/>
      <c r="C22" s="103" t="s">
        <v>235</v>
      </c>
      <c r="D22" s="105">
        <v>609229.9</v>
      </c>
      <c r="E22" s="141">
        <v>654900</v>
      </c>
      <c r="F22" s="105">
        <v>610501.75899999996</v>
      </c>
      <c r="G22" s="113">
        <v>661700</v>
      </c>
    </row>
    <row r="23" spans="1:7" s="62" customFormat="1" ht="12.75" customHeight="1">
      <c r="A23" s="145" t="s">
        <v>417</v>
      </c>
      <c r="B23" s="102"/>
      <c r="C23" s="103" t="s">
        <v>236</v>
      </c>
      <c r="D23" s="105">
        <v>32090.228999999999</v>
      </c>
      <c r="E23" s="141">
        <v>30412</v>
      </c>
      <c r="F23" s="105">
        <v>36414.442000000003</v>
      </c>
      <c r="G23" s="113">
        <v>32000</v>
      </c>
    </row>
    <row r="24" spans="1:7" s="67" customFormat="1" ht="12.75" customHeight="1">
      <c r="A24" s="101">
        <v>41</v>
      </c>
      <c r="B24" s="102"/>
      <c r="C24" s="103" t="s">
        <v>9</v>
      </c>
      <c r="D24" s="105">
        <v>11625.44</v>
      </c>
      <c r="E24" s="141">
        <v>11557.3</v>
      </c>
      <c r="F24" s="105">
        <v>11850.906999999999</v>
      </c>
      <c r="G24" s="113">
        <v>11658.5</v>
      </c>
    </row>
    <row r="25" spans="1:7" s="62" customFormat="1" ht="12.75" customHeight="1">
      <c r="A25" s="161">
        <v>42</v>
      </c>
      <c r="B25" s="162"/>
      <c r="C25" s="103" t="s">
        <v>10</v>
      </c>
      <c r="D25" s="105">
        <v>64760.51</v>
      </c>
      <c r="E25" s="141">
        <v>65475.199999999997</v>
      </c>
      <c r="F25" s="105">
        <v>66466.86</v>
      </c>
      <c r="G25" s="113">
        <v>65310.207999999999</v>
      </c>
    </row>
    <row r="26" spans="1:7" s="68" customFormat="1" ht="12.75" customHeight="1">
      <c r="A26" s="114">
        <v>430</v>
      </c>
      <c r="B26" s="102"/>
      <c r="C26" s="103" t="s">
        <v>11</v>
      </c>
      <c r="D26" s="128">
        <v>47.539000000000001</v>
      </c>
      <c r="E26" s="141">
        <v>45</v>
      </c>
      <c r="F26" s="128">
        <v>132.4</v>
      </c>
      <c r="G26" s="113">
        <v>75</v>
      </c>
    </row>
    <row r="27" spans="1:7" s="68" customFormat="1" ht="12.75" customHeight="1">
      <c r="A27" s="114">
        <v>431</v>
      </c>
      <c r="B27" s="102"/>
      <c r="C27" s="103" t="s">
        <v>377</v>
      </c>
      <c r="D27" s="128">
        <v>5921</v>
      </c>
      <c r="E27" s="141">
        <v>6318</v>
      </c>
      <c r="F27" s="128">
        <v>5968</v>
      </c>
      <c r="G27" s="113">
        <v>6764</v>
      </c>
    </row>
    <row r="28" spans="1:7" s="68" customFormat="1" ht="12.75" customHeight="1">
      <c r="A28" s="114">
        <v>432</v>
      </c>
      <c r="B28" s="102"/>
      <c r="C28" s="103" t="s">
        <v>378</v>
      </c>
      <c r="D28" s="128">
        <v>-4.95</v>
      </c>
      <c r="E28" s="141">
        <v>-2</v>
      </c>
      <c r="F28" s="128">
        <v>4.95</v>
      </c>
      <c r="G28" s="113">
        <v>2</v>
      </c>
    </row>
    <row r="29" spans="1:7" s="68" customFormat="1" ht="12.75" customHeight="1">
      <c r="A29" s="114">
        <v>439</v>
      </c>
      <c r="B29" s="102"/>
      <c r="C29" s="103" t="s">
        <v>379</v>
      </c>
      <c r="D29" s="128">
        <v>18.286999999999999</v>
      </c>
      <c r="E29" s="141">
        <v>14</v>
      </c>
      <c r="F29" s="128">
        <v>70.567999999999998</v>
      </c>
      <c r="G29" s="113">
        <v>59</v>
      </c>
    </row>
    <row r="30" spans="1:7" s="62" customFormat="1" ht="14">
      <c r="A30" s="114">
        <v>450</v>
      </c>
      <c r="B30" s="115"/>
      <c r="C30" s="116" t="s">
        <v>271</v>
      </c>
      <c r="D30" s="104">
        <v>0</v>
      </c>
      <c r="E30" s="106">
        <v>0</v>
      </c>
      <c r="F30" s="104">
        <v>0</v>
      </c>
      <c r="G30" s="106">
        <v>0</v>
      </c>
    </row>
    <row r="31" spans="1:7" s="63" customFormat="1" ht="14">
      <c r="A31" s="114">
        <v>451</v>
      </c>
      <c r="B31" s="115"/>
      <c r="C31" s="116" t="s">
        <v>14</v>
      </c>
      <c r="D31" s="117">
        <v>0</v>
      </c>
      <c r="E31" s="141">
        <v>0</v>
      </c>
      <c r="F31" s="117">
        <v>0</v>
      </c>
      <c r="G31" s="113">
        <v>0</v>
      </c>
    </row>
    <row r="32" spans="1:7" s="69" customFormat="1" ht="12.75" customHeight="1">
      <c r="A32" s="101">
        <v>46</v>
      </c>
      <c r="B32" s="102"/>
      <c r="C32" s="103" t="s">
        <v>15</v>
      </c>
      <c r="D32" s="163">
        <v>478479.59100000001</v>
      </c>
      <c r="E32" s="138">
        <v>451683.185</v>
      </c>
      <c r="F32" s="105">
        <v>452133.21500000003</v>
      </c>
      <c r="G32" s="106">
        <v>453237.82</v>
      </c>
    </row>
    <row r="33" spans="1:7" s="63" customFormat="1" ht="12.75" customHeight="1">
      <c r="A33" s="112" t="s">
        <v>16</v>
      </c>
      <c r="B33" s="108"/>
      <c r="C33" s="109" t="s">
        <v>17</v>
      </c>
      <c r="D33" s="150">
        <v>0</v>
      </c>
      <c r="E33" s="138">
        <v>0</v>
      </c>
      <c r="F33" s="150">
        <v>0</v>
      </c>
      <c r="G33" s="106">
        <v>0</v>
      </c>
    </row>
    <row r="34" spans="1:7" s="62" customFormat="1" ht="15" customHeight="1">
      <c r="A34" s="101">
        <v>47</v>
      </c>
      <c r="B34" s="102"/>
      <c r="C34" s="103" t="s">
        <v>6</v>
      </c>
      <c r="D34" s="105">
        <v>77529.915999999997</v>
      </c>
      <c r="E34" s="138">
        <v>79549.8</v>
      </c>
      <c r="F34" s="105">
        <v>80720.513000000006</v>
      </c>
      <c r="G34" s="106">
        <v>82707.8</v>
      </c>
    </row>
    <row r="35" spans="1:7" s="62" customFormat="1" ht="15" customHeight="1">
      <c r="A35" s="131">
        <v>49</v>
      </c>
      <c r="B35" s="132"/>
      <c r="C35" s="133" t="s">
        <v>26</v>
      </c>
      <c r="D35" s="135">
        <v>3127.625</v>
      </c>
      <c r="E35" s="151">
        <v>4114.8100000000004</v>
      </c>
      <c r="F35" s="135">
        <v>3883.136</v>
      </c>
      <c r="G35" s="136">
        <v>3143.1</v>
      </c>
    </row>
    <row r="36" spans="1:7" s="4" customFormat="1" ht="13.5" customHeight="1">
      <c r="A36" s="7"/>
      <c r="B36" s="10"/>
      <c r="C36" s="8" t="s">
        <v>476</v>
      </c>
      <c r="D36" s="15">
        <f t="shared" ref="D36:E36" si="2">D22+D23+D24+D25+D26+D27+D28+D29+D30+D31+D32+D34</f>
        <v>1279697.4620000001</v>
      </c>
      <c r="E36" s="15">
        <f t="shared" si="2"/>
        <v>1299952.4850000001</v>
      </c>
      <c r="F36" s="15">
        <f t="shared" ref="F36:G36" si="3">F22+F23+F24+F25+F26+F27+F28+F29+F30+F31+F32+F34</f>
        <v>1264263.6140000001</v>
      </c>
      <c r="G36" s="15">
        <f t="shared" si="3"/>
        <v>1313514.328</v>
      </c>
    </row>
    <row r="37" spans="1:7" s="5" customFormat="1" ht="15" customHeight="1">
      <c r="A37" s="7"/>
      <c r="B37" s="10"/>
      <c r="C37" s="8" t="s">
        <v>19</v>
      </c>
      <c r="D37" s="16">
        <f t="shared" ref="D37:E37" si="4">D36-D21</f>
        <v>-30734.658000000054</v>
      </c>
      <c r="E37" s="16">
        <f t="shared" si="4"/>
        <v>-106402.02199999988</v>
      </c>
      <c r="F37" s="16">
        <f t="shared" ref="F37:G37" si="5">F36-F21</f>
        <v>-102824.70500000007</v>
      </c>
      <c r="G37" s="16">
        <f t="shared" si="5"/>
        <v>-101535.84100000001</v>
      </c>
    </row>
    <row r="38" spans="1:7" s="63" customFormat="1" ht="15" customHeight="1">
      <c r="A38" s="145">
        <v>340</v>
      </c>
      <c r="B38" s="102"/>
      <c r="C38" s="103" t="s">
        <v>78</v>
      </c>
      <c r="D38" s="105">
        <v>33.65</v>
      </c>
      <c r="E38" s="138">
        <v>42</v>
      </c>
      <c r="F38" s="105">
        <v>27.803000000000001</v>
      </c>
      <c r="G38" s="106">
        <v>35</v>
      </c>
    </row>
    <row r="39" spans="1:7" s="63" customFormat="1" ht="15" customHeight="1">
      <c r="A39" s="145">
        <v>341</v>
      </c>
      <c r="B39" s="102"/>
      <c r="C39" s="103" t="s">
        <v>237</v>
      </c>
      <c r="D39" s="105">
        <v>7.5</v>
      </c>
      <c r="E39" s="141">
        <v>0</v>
      </c>
      <c r="F39" s="105">
        <v>96.549000000000007</v>
      </c>
      <c r="G39" s="113">
        <v>0</v>
      </c>
    </row>
    <row r="40" spans="1:7" s="63" customFormat="1" ht="15" customHeight="1">
      <c r="A40" s="145">
        <v>342</v>
      </c>
      <c r="B40" s="102"/>
      <c r="C40" s="103" t="s">
        <v>238</v>
      </c>
      <c r="D40" s="105">
        <v>0</v>
      </c>
      <c r="E40" s="141">
        <v>0</v>
      </c>
      <c r="F40" s="105">
        <v>0</v>
      </c>
      <c r="G40" s="113">
        <v>0</v>
      </c>
    </row>
    <row r="41" spans="1:7" s="63" customFormat="1" ht="15" customHeight="1">
      <c r="A41" s="145">
        <v>343</v>
      </c>
      <c r="B41" s="102"/>
      <c r="C41" s="103" t="s">
        <v>239</v>
      </c>
      <c r="D41" s="105">
        <v>1414.2</v>
      </c>
      <c r="E41" s="141">
        <v>1372.7149999999999</v>
      </c>
      <c r="F41" s="105">
        <v>917.13499999999999</v>
      </c>
      <c r="G41" s="113">
        <v>1085.952</v>
      </c>
    </row>
    <row r="42" spans="1:7" s="63" customFormat="1" ht="15" customHeight="1">
      <c r="A42" s="145">
        <v>344</v>
      </c>
      <c r="B42" s="102"/>
      <c r="C42" s="103" t="s">
        <v>83</v>
      </c>
      <c r="D42" s="105">
        <v>0</v>
      </c>
      <c r="E42" s="141">
        <v>0</v>
      </c>
      <c r="F42" s="105">
        <v>0</v>
      </c>
      <c r="G42" s="113">
        <v>0</v>
      </c>
    </row>
    <row r="43" spans="1:7" s="63" customFormat="1" ht="15" customHeight="1">
      <c r="A43" s="145">
        <v>349</v>
      </c>
      <c r="B43" s="102"/>
      <c r="C43" s="103" t="s">
        <v>240</v>
      </c>
      <c r="D43" s="105">
        <v>9684.6</v>
      </c>
      <c r="E43" s="141">
        <v>10740</v>
      </c>
      <c r="F43" s="105">
        <v>10621.29</v>
      </c>
      <c r="G43" s="113">
        <v>11250</v>
      </c>
    </row>
    <row r="44" spans="1:7" s="62" customFormat="1" ht="15" customHeight="1">
      <c r="A44" s="101">
        <v>440</v>
      </c>
      <c r="B44" s="102"/>
      <c r="C44" s="103" t="s">
        <v>79</v>
      </c>
      <c r="D44" s="105">
        <v>8907.69</v>
      </c>
      <c r="E44" s="138">
        <v>7643.4</v>
      </c>
      <c r="F44" s="105">
        <v>7449.1049999999996</v>
      </c>
      <c r="G44" s="106">
        <v>4582.8999999999996</v>
      </c>
    </row>
    <row r="45" spans="1:7" s="62" customFormat="1" ht="15" customHeight="1">
      <c r="A45" s="101">
        <v>441</v>
      </c>
      <c r="B45" s="102"/>
      <c r="C45" s="103" t="s">
        <v>80</v>
      </c>
      <c r="D45" s="105">
        <v>351.58699999999999</v>
      </c>
      <c r="E45" s="138">
        <v>0</v>
      </c>
      <c r="F45" s="105">
        <v>36.543999999999997</v>
      </c>
      <c r="G45" s="106">
        <v>0</v>
      </c>
    </row>
    <row r="46" spans="1:7" s="62" customFormat="1" ht="15" customHeight="1">
      <c r="A46" s="101">
        <v>442</v>
      </c>
      <c r="B46" s="102"/>
      <c r="C46" s="103" t="s">
        <v>81</v>
      </c>
      <c r="D46" s="105">
        <v>713</v>
      </c>
      <c r="E46" s="138">
        <v>713</v>
      </c>
      <c r="F46" s="105">
        <v>738</v>
      </c>
      <c r="G46" s="106">
        <v>738</v>
      </c>
    </row>
    <row r="47" spans="1:7" s="62" customFormat="1" ht="15" customHeight="1">
      <c r="A47" s="101">
        <v>443</v>
      </c>
      <c r="B47" s="102"/>
      <c r="C47" s="103" t="s">
        <v>82</v>
      </c>
      <c r="D47" s="105">
        <v>1661.2049999999999</v>
      </c>
      <c r="E47" s="138">
        <v>1097.1099999999999</v>
      </c>
      <c r="F47" s="105">
        <v>1107.174</v>
      </c>
      <c r="G47" s="106">
        <v>1103.33</v>
      </c>
    </row>
    <row r="48" spans="1:7" s="62" customFormat="1" ht="15" customHeight="1">
      <c r="A48" s="101">
        <v>444</v>
      </c>
      <c r="B48" s="102"/>
      <c r="C48" s="103" t="s">
        <v>83</v>
      </c>
      <c r="D48" s="105">
        <v>0</v>
      </c>
      <c r="E48" s="138">
        <v>0</v>
      </c>
      <c r="F48" s="105">
        <v>0</v>
      </c>
      <c r="G48" s="106">
        <v>0</v>
      </c>
    </row>
    <row r="49" spans="1:7" s="62" customFormat="1" ht="15" customHeight="1">
      <c r="A49" s="101">
        <v>445</v>
      </c>
      <c r="B49" s="102"/>
      <c r="C49" s="103" t="s">
        <v>84</v>
      </c>
      <c r="D49" s="105">
        <v>28560.973999999998</v>
      </c>
      <c r="E49" s="138">
        <v>28626.715</v>
      </c>
      <c r="F49" s="105">
        <v>28527.567999999999</v>
      </c>
      <c r="G49" s="106">
        <v>28498</v>
      </c>
    </row>
    <row r="50" spans="1:7" s="62" customFormat="1" ht="15" customHeight="1">
      <c r="A50" s="101">
        <v>446</v>
      </c>
      <c r="B50" s="102"/>
      <c r="C50" s="103" t="s">
        <v>85</v>
      </c>
      <c r="D50" s="105">
        <v>6</v>
      </c>
      <c r="E50" s="138">
        <v>6</v>
      </c>
      <c r="F50" s="105">
        <v>6</v>
      </c>
      <c r="G50" s="106">
        <v>6</v>
      </c>
    </row>
    <row r="51" spans="1:7" s="62" customFormat="1" ht="15" customHeight="1">
      <c r="A51" s="101">
        <v>447</v>
      </c>
      <c r="B51" s="102"/>
      <c r="C51" s="103" t="s">
        <v>86</v>
      </c>
      <c r="D51" s="105">
        <v>7197.4110000000001</v>
      </c>
      <c r="E51" s="138">
        <v>7592.0420000000004</v>
      </c>
      <c r="F51" s="105">
        <v>7780.7849999999999</v>
      </c>
      <c r="G51" s="106">
        <v>7706.3370000000004</v>
      </c>
    </row>
    <row r="52" spans="1:7" s="62" customFormat="1" ht="15" customHeight="1">
      <c r="A52" s="101">
        <v>448</v>
      </c>
      <c r="B52" s="102"/>
      <c r="C52" s="103" t="s">
        <v>87</v>
      </c>
      <c r="D52" s="105">
        <v>589.65300000000002</v>
      </c>
      <c r="E52" s="138">
        <v>568.29999999999995</v>
      </c>
      <c r="F52" s="105">
        <v>569.98699999999997</v>
      </c>
      <c r="G52" s="106">
        <v>567.20000000000005</v>
      </c>
    </row>
    <row r="53" spans="1:7" s="62" customFormat="1" ht="15" customHeight="1">
      <c r="A53" s="101">
        <v>449</v>
      </c>
      <c r="B53" s="102"/>
      <c r="C53" s="103" t="s">
        <v>88</v>
      </c>
      <c r="D53" s="105">
        <v>0</v>
      </c>
      <c r="E53" s="138">
        <v>0</v>
      </c>
      <c r="F53" s="105">
        <v>0</v>
      </c>
      <c r="G53" s="106">
        <v>0</v>
      </c>
    </row>
    <row r="54" spans="1:7" s="63" customFormat="1" ht="13.5" customHeight="1">
      <c r="A54" s="166" t="s">
        <v>12</v>
      </c>
      <c r="B54" s="167"/>
      <c r="C54" s="167" t="s">
        <v>13</v>
      </c>
      <c r="D54" s="169">
        <v>0</v>
      </c>
      <c r="E54" s="151">
        <v>0</v>
      </c>
      <c r="F54" s="169">
        <v>0</v>
      </c>
      <c r="G54" s="136">
        <v>0</v>
      </c>
    </row>
    <row r="55" spans="1:7" ht="15" customHeight="1">
      <c r="A55" s="10"/>
      <c r="B55" s="10"/>
      <c r="C55" s="8" t="s">
        <v>20</v>
      </c>
      <c r="D55" s="15">
        <f t="shared" ref="D55:E55" si="6">SUM(D44:D53)-SUM(D38:D43)</f>
        <v>36847.569999999992</v>
      </c>
      <c r="E55" s="15">
        <f t="shared" si="6"/>
        <v>34091.851999999999</v>
      </c>
      <c r="F55" s="15">
        <f t="shared" ref="F55:G55" si="7">SUM(F44:F53)-SUM(F38:F43)</f>
        <v>34552.386000000006</v>
      </c>
      <c r="G55" s="15">
        <f t="shared" si="7"/>
        <v>30830.814999999995</v>
      </c>
    </row>
    <row r="56" spans="1:7" ht="14.25" customHeight="1">
      <c r="A56" s="10"/>
      <c r="B56" s="10"/>
      <c r="C56" s="8" t="s">
        <v>21</v>
      </c>
      <c r="D56" s="15">
        <f t="shared" ref="D56:E56" si="8">D55+D37</f>
        <v>6112.9119999999384</v>
      </c>
      <c r="E56" s="15">
        <f t="shared" si="8"/>
        <v>-72310.169999999882</v>
      </c>
      <c r="F56" s="15">
        <f t="shared" ref="F56:G56" si="9">F55+F37</f>
        <v>-68272.319000000076</v>
      </c>
      <c r="G56" s="15">
        <f t="shared" si="9"/>
        <v>-70705.026000000013</v>
      </c>
    </row>
    <row r="57" spans="1:7" s="62" customFormat="1" ht="15.75" customHeight="1">
      <c r="A57" s="285">
        <v>380</v>
      </c>
      <c r="B57" s="286"/>
      <c r="C57" s="287" t="s">
        <v>484</v>
      </c>
      <c r="D57" s="288"/>
      <c r="E57" s="292"/>
      <c r="F57" s="288"/>
      <c r="G57" s="289"/>
    </row>
    <row r="58" spans="1:7" s="62" customFormat="1" ht="15.75" customHeight="1">
      <c r="A58" s="285">
        <v>381</v>
      </c>
      <c r="B58" s="286"/>
      <c r="C58" s="287" t="s">
        <v>485</v>
      </c>
      <c r="D58" s="288"/>
      <c r="E58" s="292"/>
      <c r="F58" s="288"/>
      <c r="G58" s="289"/>
    </row>
    <row r="59" spans="1:7" s="300" customFormat="1" ht="14">
      <c r="A59" s="114">
        <v>383</v>
      </c>
      <c r="B59" s="115"/>
      <c r="C59" s="116" t="s">
        <v>57</v>
      </c>
      <c r="D59" s="270">
        <v>3330</v>
      </c>
      <c r="E59" s="202">
        <v>8529</v>
      </c>
      <c r="F59" s="270">
        <v>8529</v>
      </c>
      <c r="G59" s="295">
        <v>0</v>
      </c>
    </row>
    <row r="60" spans="1:7" s="63" customFormat="1" ht="14">
      <c r="A60" s="114">
        <v>3840</v>
      </c>
      <c r="B60" s="115"/>
      <c r="C60" s="116" t="s">
        <v>241</v>
      </c>
      <c r="D60" s="118">
        <v>0</v>
      </c>
      <c r="E60" s="172">
        <v>0</v>
      </c>
      <c r="F60" s="118">
        <v>0</v>
      </c>
      <c r="G60" s="269">
        <v>0</v>
      </c>
    </row>
    <row r="61" spans="1:7" s="63" customFormat="1" ht="14">
      <c r="A61" s="114">
        <v>3841</v>
      </c>
      <c r="B61" s="115"/>
      <c r="C61" s="116" t="s">
        <v>242</v>
      </c>
      <c r="D61" s="118">
        <v>0</v>
      </c>
      <c r="E61" s="172">
        <v>0</v>
      </c>
      <c r="F61" s="118">
        <v>0</v>
      </c>
      <c r="G61" s="269">
        <v>0</v>
      </c>
    </row>
    <row r="62" spans="1:7" s="63" customFormat="1" ht="14">
      <c r="A62" s="177">
        <v>386</v>
      </c>
      <c r="B62" s="178"/>
      <c r="C62" s="179" t="s">
        <v>243</v>
      </c>
      <c r="D62" s="118">
        <v>0</v>
      </c>
      <c r="E62" s="172">
        <v>0</v>
      </c>
      <c r="F62" s="118">
        <v>0</v>
      </c>
      <c r="G62" s="269">
        <v>0</v>
      </c>
    </row>
    <row r="63" spans="1:7" s="63" customFormat="1" ht="28">
      <c r="A63" s="114">
        <v>387</v>
      </c>
      <c r="B63" s="115"/>
      <c r="C63" s="116" t="s">
        <v>58</v>
      </c>
      <c r="D63" s="118">
        <v>0</v>
      </c>
      <c r="E63" s="172">
        <v>0</v>
      </c>
      <c r="F63" s="118">
        <v>0</v>
      </c>
      <c r="G63" s="269">
        <v>0</v>
      </c>
    </row>
    <row r="64" spans="1:7" s="63" customFormat="1">
      <c r="A64" s="145">
        <v>389</v>
      </c>
      <c r="B64" s="294"/>
      <c r="C64" s="103" t="s">
        <v>7</v>
      </c>
      <c r="D64" s="105">
        <v>312.13</v>
      </c>
      <c r="E64" s="141">
        <v>402.9</v>
      </c>
      <c r="F64" s="105">
        <v>444.26299999999998</v>
      </c>
      <c r="G64" s="113">
        <v>171.1</v>
      </c>
    </row>
    <row r="65" spans="1:7" s="62" customFormat="1">
      <c r="A65" s="145" t="s">
        <v>471</v>
      </c>
      <c r="B65" s="102"/>
      <c r="C65" s="103" t="s">
        <v>244</v>
      </c>
      <c r="D65" s="105">
        <v>0</v>
      </c>
      <c r="E65" s="141">
        <v>0</v>
      </c>
      <c r="F65" s="105">
        <v>0</v>
      </c>
      <c r="G65" s="113">
        <v>0</v>
      </c>
    </row>
    <row r="66" spans="1:7" s="95" customFormat="1" ht="14">
      <c r="A66" s="221" t="s">
        <v>472</v>
      </c>
      <c r="B66" s="111"/>
      <c r="C66" s="116" t="s">
        <v>245</v>
      </c>
      <c r="D66" s="270">
        <v>0</v>
      </c>
      <c r="E66" s="165">
        <v>0</v>
      </c>
      <c r="F66" s="270">
        <v>0</v>
      </c>
      <c r="G66" s="271">
        <v>0</v>
      </c>
    </row>
    <row r="67" spans="1:7" s="62" customFormat="1">
      <c r="A67" s="110">
        <v>481</v>
      </c>
      <c r="B67" s="102"/>
      <c r="C67" s="103" t="s">
        <v>246</v>
      </c>
      <c r="D67" s="105">
        <v>0</v>
      </c>
      <c r="E67" s="141">
        <v>0</v>
      </c>
      <c r="F67" s="105">
        <v>0</v>
      </c>
      <c r="G67" s="113">
        <v>0</v>
      </c>
    </row>
    <row r="68" spans="1:7" s="62" customFormat="1">
      <c r="A68" s="110">
        <v>482</v>
      </c>
      <c r="B68" s="102"/>
      <c r="C68" s="103" t="s">
        <v>247</v>
      </c>
      <c r="D68" s="105">
        <v>0</v>
      </c>
      <c r="E68" s="141">
        <v>0</v>
      </c>
      <c r="F68" s="105">
        <v>0</v>
      </c>
      <c r="G68" s="113">
        <v>0</v>
      </c>
    </row>
    <row r="69" spans="1:7" s="62" customFormat="1">
      <c r="A69" s="110">
        <v>483</v>
      </c>
      <c r="B69" s="102"/>
      <c r="C69" s="103" t="s">
        <v>248</v>
      </c>
      <c r="D69" s="105">
        <v>0</v>
      </c>
      <c r="E69" s="141">
        <v>0</v>
      </c>
      <c r="F69" s="105">
        <v>0</v>
      </c>
      <c r="G69" s="113">
        <v>0</v>
      </c>
    </row>
    <row r="70" spans="1:7" s="62" customFormat="1">
      <c r="A70" s="110">
        <v>484</v>
      </c>
      <c r="B70" s="102"/>
      <c r="C70" s="103" t="s">
        <v>249</v>
      </c>
      <c r="D70" s="105">
        <v>0</v>
      </c>
      <c r="E70" s="141">
        <v>0</v>
      </c>
      <c r="F70" s="105">
        <v>0</v>
      </c>
      <c r="G70" s="113">
        <v>0</v>
      </c>
    </row>
    <row r="71" spans="1:7" s="62" customFormat="1">
      <c r="A71" s="110">
        <v>485</v>
      </c>
      <c r="B71" s="102"/>
      <c r="C71" s="103" t="s">
        <v>250</v>
      </c>
      <c r="D71" s="105">
        <v>0</v>
      </c>
      <c r="E71" s="141">
        <v>0</v>
      </c>
      <c r="F71" s="105">
        <v>0</v>
      </c>
      <c r="G71" s="113">
        <v>0</v>
      </c>
    </row>
    <row r="72" spans="1:7" s="62" customFormat="1">
      <c r="A72" s="110">
        <v>486</v>
      </c>
      <c r="B72" s="102"/>
      <c r="C72" s="103" t="s">
        <v>251</v>
      </c>
      <c r="D72" s="105">
        <v>0</v>
      </c>
      <c r="E72" s="141">
        <v>0</v>
      </c>
      <c r="F72" s="105">
        <v>0</v>
      </c>
      <c r="G72" s="113">
        <v>0</v>
      </c>
    </row>
    <row r="73" spans="1:7" s="63" customFormat="1">
      <c r="A73" s="110">
        <v>487</v>
      </c>
      <c r="B73" s="108"/>
      <c r="C73" s="103" t="s">
        <v>64</v>
      </c>
      <c r="D73" s="105">
        <v>0</v>
      </c>
      <c r="E73" s="138">
        <v>0</v>
      </c>
      <c r="F73" s="105">
        <v>0</v>
      </c>
      <c r="G73" s="106">
        <v>0</v>
      </c>
    </row>
    <row r="74" spans="1:7" s="63" customFormat="1">
      <c r="A74" s="110">
        <v>489</v>
      </c>
      <c r="B74" s="182"/>
      <c r="C74" s="133" t="s">
        <v>18</v>
      </c>
      <c r="D74" s="105">
        <v>3566.89</v>
      </c>
      <c r="E74" s="138">
        <v>56398.364999999998</v>
      </c>
      <c r="F74" s="105">
        <v>56741.39</v>
      </c>
      <c r="G74" s="106">
        <v>132.47499999999999</v>
      </c>
    </row>
    <row r="75" spans="1:7" s="63" customFormat="1">
      <c r="A75" s="181" t="s">
        <v>381</v>
      </c>
      <c r="B75" s="182"/>
      <c r="C75" s="167" t="s">
        <v>382</v>
      </c>
      <c r="D75" s="105"/>
      <c r="E75" s="141"/>
      <c r="F75" s="105"/>
      <c r="G75" s="113"/>
    </row>
    <row r="76" spans="1:7">
      <c r="A76" s="7"/>
      <c r="B76" s="7"/>
      <c r="C76" s="8" t="s">
        <v>22</v>
      </c>
      <c r="D76" s="15">
        <f t="shared" ref="D76:E76" si="10">SUM(D65:D74)-SUM(D57:D64)</f>
        <v>-75.240000000000236</v>
      </c>
      <c r="E76" s="15">
        <f t="shared" si="10"/>
        <v>47466.464999999997</v>
      </c>
      <c r="F76" s="15">
        <f t="shared" ref="F76:G76" si="11">SUM(F65:F74)-SUM(F57:F64)</f>
        <v>47768.127</v>
      </c>
      <c r="G76" s="15">
        <f t="shared" si="11"/>
        <v>-38.625</v>
      </c>
    </row>
    <row r="77" spans="1:7">
      <c r="A77" s="9"/>
      <c r="B77" s="9"/>
      <c r="C77" s="8" t="s">
        <v>23</v>
      </c>
      <c r="D77" s="15">
        <f t="shared" ref="D77:E77" si="12">D56+D76</f>
        <v>6037.6719999999386</v>
      </c>
      <c r="E77" s="15">
        <f t="shared" si="12"/>
        <v>-24843.704999999885</v>
      </c>
      <c r="F77" s="15">
        <f t="shared" ref="F77:G77" si="13">F56+F76</f>
        <v>-20504.192000000075</v>
      </c>
      <c r="G77" s="15">
        <f t="shared" si="13"/>
        <v>-70743.651000000013</v>
      </c>
    </row>
    <row r="78" spans="1:7">
      <c r="A78" s="35">
        <v>3</v>
      </c>
      <c r="B78" s="35"/>
      <c r="C78" s="282" t="s">
        <v>479</v>
      </c>
      <c r="D78" s="37">
        <f t="shared" ref="D78:E78" si="14">D20+D21+SUM(D38:D43)+SUM(D57:D64)</f>
        <v>1328341.8299999998</v>
      </c>
      <c r="E78" s="37">
        <f t="shared" si="14"/>
        <v>1431555.932</v>
      </c>
      <c r="F78" s="37">
        <f t="shared" ref="F78:G78" si="15">F20+F21+SUM(F38:F43)+SUM(F57:F64)</f>
        <v>1391607.4950000001</v>
      </c>
      <c r="G78" s="37">
        <f t="shared" si="15"/>
        <v>1430735.3210000002</v>
      </c>
    </row>
    <row r="79" spans="1:7">
      <c r="A79" s="35">
        <v>4</v>
      </c>
      <c r="B79" s="35"/>
      <c r="C79" s="282" t="s">
        <v>480</v>
      </c>
      <c r="D79" s="37">
        <f t="shared" ref="D79:E79" si="16">D35+D36+SUM(D44:D53)+SUM(D65:D74)</f>
        <v>1334379.497</v>
      </c>
      <c r="E79" s="37">
        <f t="shared" si="16"/>
        <v>1406712.2270000002</v>
      </c>
      <c r="F79" s="37">
        <f t="shared" ref="F79:G79" si="17">F35+F36+SUM(F44:F53)+SUM(F65:F74)</f>
        <v>1371103.3029999998</v>
      </c>
      <c r="G79" s="37">
        <f t="shared" si="17"/>
        <v>1359991.6700000002</v>
      </c>
    </row>
    <row r="80" spans="1:7">
      <c r="C80" s="11"/>
      <c r="D80" s="17"/>
      <c r="E80" s="17"/>
      <c r="F80" s="17"/>
      <c r="G80" s="17"/>
    </row>
    <row r="81" spans="1:7">
      <c r="A81" s="801" t="s">
        <v>25</v>
      </c>
      <c r="B81" s="799"/>
      <c r="C81" s="799"/>
      <c r="D81" s="88"/>
      <c r="E81" s="87"/>
      <c r="F81" s="88"/>
      <c r="G81" s="87"/>
    </row>
    <row r="82" spans="1:7" s="62" customFormat="1">
      <c r="A82" s="186">
        <v>50</v>
      </c>
      <c r="B82" s="187"/>
      <c r="C82" s="187" t="s">
        <v>252</v>
      </c>
      <c r="D82" s="105">
        <v>70084.25</v>
      </c>
      <c r="E82" s="141">
        <v>109236.2</v>
      </c>
      <c r="F82" s="105">
        <v>72328.172999999995</v>
      </c>
      <c r="G82" s="113">
        <v>100542</v>
      </c>
    </row>
    <row r="83" spans="1:7" s="62" customFormat="1">
      <c r="A83" s="186">
        <v>51</v>
      </c>
      <c r="B83" s="187"/>
      <c r="C83" s="187" t="s">
        <v>253</v>
      </c>
      <c r="D83" s="105">
        <v>0</v>
      </c>
      <c r="E83" s="141">
        <v>0</v>
      </c>
      <c r="F83" s="105">
        <v>0</v>
      </c>
      <c r="G83" s="113">
        <v>0</v>
      </c>
    </row>
    <row r="84" spans="1:7" s="62" customFormat="1">
      <c r="A84" s="186">
        <v>52</v>
      </c>
      <c r="B84" s="187"/>
      <c r="C84" s="187" t="s">
        <v>254</v>
      </c>
      <c r="D84" s="105">
        <v>0</v>
      </c>
      <c r="E84" s="141">
        <v>0</v>
      </c>
      <c r="F84" s="105">
        <v>0</v>
      </c>
      <c r="G84" s="113">
        <v>0</v>
      </c>
    </row>
    <row r="85" spans="1:7" s="62" customFormat="1">
      <c r="A85" s="188">
        <v>54</v>
      </c>
      <c r="B85" s="189"/>
      <c r="C85" s="189" t="s">
        <v>89</v>
      </c>
      <c r="D85" s="150">
        <v>3148.6</v>
      </c>
      <c r="E85" s="141">
        <v>4450</v>
      </c>
      <c r="F85" s="150">
        <v>5301.4</v>
      </c>
      <c r="G85" s="113">
        <v>3680</v>
      </c>
    </row>
    <row r="86" spans="1:7" s="62" customFormat="1">
      <c r="A86" s="188">
        <v>55</v>
      </c>
      <c r="B86" s="189"/>
      <c r="C86" s="189" t="s">
        <v>181</v>
      </c>
      <c r="D86" s="150">
        <v>1E-3</v>
      </c>
      <c r="E86" s="141">
        <v>0</v>
      </c>
      <c r="F86" s="150">
        <v>1308.001</v>
      </c>
      <c r="G86" s="113">
        <v>0</v>
      </c>
    </row>
    <row r="87" spans="1:7" s="62" customFormat="1">
      <c r="A87" s="188">
        <v>56</v>
      </c>
      <c r="B87" s="189"/>
      <c r="C87" s="189" t="s">
        <v>255</v>
      </c>
      <c r="D87" s="150">
        <v>29962.799999999999</v>
      </c>
      <c r="E87" s="141">
        <v>10388.6</v>
      </c>
      <c r="F87" s="150">
        <v>6936.3469999999998</v>
      </c>
      <c r="G87" s="113">
        <v>13028.2</v>
      </c>
    </row>
    <row r="88" spans="1:7" s="62" customFormat="1">
      <c r="A88" s="186">
        <v>57</v>
      </c>
      <c r="B88" s="187"/>
      <c r="C88" s="187" t="s">
        <v>150</v>
      </c>
      <c r="D88" s="105">
        <v>3824.31</v>
      </c>
      <c r="E88" s="141">
        <v>4100</v>
      </c>
      <c r="F88" s="105">
        <v>3446.2159999999999</v>
      </c>
      <c r="G88" s="113">
        <v>5350</v>
      </c>
    </row>
    <row r="89" spans="1:7" s="62" customFormat="1">
      <c r="A89" s="186">
        <v>580</v>
      </c>
      <c r="B89" s="187"/>
      <c r="C89" s="187" t="s">
        <v>256</v>
      </c>
      <c r="D89" s="105">
        <v>0</v>
      </c>
      <c r="E89" s="141">
        <v>0</v>
      </c>
      <c r="F89" s="105">
        <v>0</v>
      </c>
      <c r="G89" s="113">
        <v>0</v>
      </c>
    </row>
    <row r="90" spans="1:7" s="62" customFormat="1">
      <c r="A90" s="186">
        <v>582</v>
      </c>
      <c r="B90" s="187"/>
      <c r="C90" s="187" t="s">
        <v>257</v>
      </c>
      <c r="D90" s="105">
        <v>0</v>
      </c>
      <c r="E90" s="141">
        <v>0</v>
      </c>
      <c r="F90" s="105">
        <v>0</v>
      </c>
      <c r="G90" s="113">
        <v>0</v>
      </c>
    </row>
    <row r="91" spans="1:7" s="62" customFormat="1">
      <c r="A91" s="186">
        <v>584</v>
      </c>
      <c r="B91" s="187"/>
      <c r="C91" s="187" t="s">
        <v>258</v>
      </c>
      <c r="D91" s="105">
        <v>0</v>
      </c>
      <c r="E91" s="141">
        <v>0</v>
      </c>
      <c r="F91" s="105">
        <v>0</v>
      </c>
      <c r="G91" s="113">
        <v>0</v>
      </c>
    </row>
    <row r="92" spans="1:7" s="62" customFormat="1">
      <c r="A92" s="186">
        <v>585</v>
      </c>
      <c r="B92" s="187"/>
      <c r="C92" s="187" t="s">
        <v>259</v>
      </c>
      <c r="D92" s="105">
        <v>0</v>
      </c>
      <c r="E92" s="141">
        <v>0</v>
      </c>
      <c r="F92" s="105">
        <v>0</v>
      </c>
      <c r="G92" s="113">
        <v>0</v>
      </c>
    </row>
    <row r="93" spans="1:7" s="62" customFormat="1">
      <c r="A93" s="186">
        <v>586</v>
      </c>
      <c r="B93" s="187"/>
      <c r="C93" s="187" t="s">
        <v>260</v>
      </c>
      <c r="D93" s="105">
        <v>0</v>
      </c>
      <c r="E93" s="141">
        <v>0</v>
      </c>
      <c r="F93" s="105">
        <v>0</v>
      </c>
      <c r="G93" s="113">
        <v>0</v>
      </c>
    </row>
    <row r="94" spans="1:7" s="62" customFormat="1">
      <c r="A94" s="190">
        <v>589</v>
      </c>
      <c r="B94" s="191"/>
      <c r="C94" s="191" t="s">
        <v>261</v>
      </c>
      <c r="D94" s="135">
        <v>0</v>
      </c>
      <c r="E94" s="147">
        <v>0</v>
      </c>
      <c r="F94" s="135">
        <v>0</v>
      </c>
      <c r="G94" s="159">
        <v>0</v>
      </c>
    </row>
    <row r="95" spans="1:7">
      <c r="A95" s="41">
        <v>5</v>
      </c>
      <c r="B95" s="32"/>
      <c r="C95" s="32" t="s">
        <v>133</v>
      </c>
      <c r="D95" s="33">
        <f t="shared" ref="D95:E95" si="18">SUM(D82:D94)</f>
        <v>107019.96100000001</v>
      </c>
      <c r="E95" s="33">
        <f t="shared" si="18"/>
        <v>128174.8</v>
      </c>
      <c r="F95" s="33">
        <f t="shared" ref="F95:G95" si="19">SUM(F82:F94)</f>
        <v>89320.136999999988</v>
      </c>
      <c r="G95" s="33">
        <f t="shared" si="19"/>
        <v>122600.2</v>
      </c>
    </row>
    <row r="96" spans="1:7" s="62" customFormat="1">
      <c r="A96" s="186">
        <v>60</v>
      </c>
      <c r="B96" s="187"/>
      <c r="C96" s="187" t="s">
        <v>262</v>
      </c>
      <c r="D96" s="105">
        <v>12.34</v>
      </c>
      <c r="E96" s="141">
        <v>5</v>
      </c>
      <c r="F96" s="105">
        <v>242.268</v>
      </c>
      <c r="G96" s="113">
        <v>5</v>
      </c>
    </row>
    <row r="97" spans="1:7" s="62" customFormat="1">
      <c r="A97" s="186">
        <v>61</v>
      </c>
      <c r="B97" s="187"/>
      <c r="C97" s="187" t="s">
        <v>263</v>
      </c>
      <c r="D97" s="105">
        <v>0</v>
      </c>
      <c r="E97" s="141">
        <v>0</v>
      </c>
      <c r="F97" s="105">
        <v>19.782</v>
      </c>
      <c r="G97" s="113">
        <v>0</v>
      </c>
    </row>
    <row r="98" spans="1:7" s="62" customFormat="1">
      <c r="A98" s="186">
        <v>62</v>
      </c>
      <c r="B98" s="187"/>
      <c r="C98" s="187" t="s">
        <v>264</v>
      </c>
      <c r="D98" s="105">
        <v>0</v>
      </c>
      <c r="E98" s="141">
        <v>0</v>
      </c>
      <c r="F98" s="105">
        <v>0</v>
      </c>
      <c r="G98" s="113"/>
    </row>
    <row r="99" spans="1:7" s="62" customFormat="1">
      <c r="A99" s="186">
        <v>63</v>
      </c>
      <c r="B99" s="187"/>
      <c r="C99" s="187" t="s">
        <v>265</v>
      </c>
      <c r="D99" s="105">
        <v>12788.62</v>
      </c>
      <c r="E99" s="141">
        <v>12105.5</v>
      </c>
      <c r="F99" s="105">
        <v>5649.8109999999997</v>
      </c>
      <c r="G99" s="113">
        <v>15422.5</v>
      </c>
    </row>
    <row r="100" spans="1:7" s="62" customFormat="1">
      <c r="A100" s="186">
        <v>64</v>
      </c>
      <c r="B100" s="187"/>
      <c r="C100" s="187" t="s">
        <v>185</v>
      </c>
      <c r="D100" s="150">
        <v>9781.74</v>
      </c>
      <c r="E100" s="141">
        <v>3150</v>
      </c>
      <c r="F100" s="150">
        <v>2924.4050000000002</v>
      </c>
      <c r="G100" s="113">
        <v>3000</v>
      </c>
    </row>
    <row r="101" spans="1:7" s="62" customFormat="1">
      <c r="A101" s="186">
        <v>65</v>
      </c>
      <c r="B101" s="187"/>
      <c r="C101" s="187" t="s">
        <v>186</v>
      </c>
      <c r="D101" s="105">
        <v>0</v>
      </c>
      <c r="E101" s="141">
        <v>0</v>
      </c>
      <c r="F101" s="105">
        <v>0</v>
      </c>
      <c r="G101" s="113">
        <v>0</v>
      </c>
    </row>
    <row r="102" spans="1:7" s="62" customFormat="1">
      <c r="A102" s="186">
        <v>66</v>
      </c>
      <c r="B102" s="187"/>
      <c r="C102" s="187" t="s">
        <v>266</v>
      </c>
      <c r="D102" s="150">
        <v>0</v>
      </c>
      <c r="E102" s="141">
        <v>0</v>
      </c>
      <c r="F102" s="150">
        <v>0</v>
      </c>
      <c r="G102" s="113">
        <v>0</v>
      </c>
    </row>
    <row r="103" spans="1:7" s="62" customFormat="1">
      <c r="A103" s="186">
        <v>67</v>
      </c>
      <c r="B103" s="187"/>
      <c r="C103" s="187" t="s">
        <v>150</v>
      </c>
      <c r="D103" s="105">
        <v>3824.31</v>
      </c>
      <c r="E103" s="138">
        <v>4100</v>
      </c>
      <c r="F103" s="105">
        <v>3446.2159999999999</v>
      </c>
      <c r="G103" s="106">
        <v>5350</v>
      </c>
    </row>
    <row r="104" spans="1:7" s="62" customFormat="1" ht="28">
      <c r="A104" s="192" t="s">
        <v>268</v>
      </c>
      <c r="B104" s="187"/>
      <c r="C104" s="193" t="s">
        <v>267</v>
      </c>
      <c r="D104" s="104">
        <v>0</v>
      </c>
      <c r="E104" s="138">
        <v>0</v>
      </c>
      <c r="F104" s="104">
        <v>0</v>
      </c>
      <c r="G104" s="106"/>
    </row>
    <row r="105" spans="1:7" s="62" customFormat="1" ht="42">
      <c r="A105" s="194" t="s">
        <v>269</v>
      </c>
      <c r="B105" s="191"/>
      <c r="C105" s="195" t="s">
        <v>270</v>
      </c>
      <c r="D105" s="134">
        <v>0</v>
      </c>
      <c r="E105" s="151">
        <v>0</v>
      </c>
      <c r="F105" s="134">
        <v>0</v>
      </c>
      <c r="G105" s="136"/>
    </row>
    <row r="106" spans="1:7">
      <c r="A106" s="41">
        <v>6</v>
      </c>
      <c r="B106" s="32"/>
      <c r="C106" s="32" t="s">
        <v>134</v>
      </c>
      <c r="D106" s="33">
        <f t="shared" ref="D106:E106" si="20">SUM(D96:D105)</f>
        <v>26407.010000000002</v>
      </c>
      <c r="E106" s="33">
        <f t="shared" si="20"/>
        <v>19360.5</v>
      </c>
      <c r="F106" s="33">
        <f t="shared" ref="F106:G106" si="21">SUM(F96:F105)</f>
        <v>12282.482</v>
      </c>
      <c r="G106" s="33">
        <f t="shared" si="21"/>
        <v>23777.5</v>
      </c>
    </row>
    <row r="107" spans="1:7">
      <c r="A107" s="31" t="s">
        <v>387</v>
      </c>
      <c r="B107" s="31"/>
      <c r="C107" s="32" t="s">
        <v>145</v>
      </c>
      <c r="D107" s="33">
        <f t="shared" ref="D107:E107" si="22">(D95-D88)-(D106-D103)</f>
        <v>80612.951000000015</v>
      </c>
      <c r="E107" s="33">
        <f t="shared" si="22"/>
        <v>108814.3</v>
      </c>
      <c r="F107" s="33">
        <f t="shared" ref="F107:G107" si="23">(F95-F88)-(F106-F103)</f>
        <v>77037.654999999984</v>
      </c>
      <c r="G107" s="33">
        <f t="shared" si="23"/>
        <v>98822.7</v>
      </c>
    </row>
    <row r="108" spans="1:7">
      <c r="A108" s="30" t="s">
        <v>407</v>
      </c>
      <c r="B108" s="30"/>
      <c r="C108" s="49" t="s">
        <v>151</v>
      </c>
      <c r="D108" s="50">
        <f t="shared" ref="D108:E108" si="24">D107-D85-D86+D100+D101</f>
        <v>87246.090000000011</v>
      </c>
      <c r="E108" s="50">
        <f t="shared" si="24"/>
        <v>107514.3</v>
      </c>
      <c r="F108" s="50">
        <f t="shared" ref="F108:G108" si="25">F107-F85-F86+F100+F101</f>
        <v>73352.658999999985</v>
      </c>
      <c r="G108" s="50">
        <f t="shared" si="25"/>
        <v>98142.7</v>
      </c>
    </row>
    <row r="109" spans="1:7">
      <c r="C109" s="11"/>
      <c r="D109" s="17"/>
      <c r="E109" s="17"/>
      <c r="F109" s="17"/>
      <c r="G109" s="17"/>
    </row>
    <row r="110" spans="1:7">
      <c r="A110" s="21" t="s">
        <v>96</v>
      </c>
      <c r="B110" s="12"/>
      <c r="C110" s="21"/>
      <c r="D110" s="17"/>
      <c r="E110" s="17"/>
      <c r="F110" s="17"/>
      <c r="G110" s="17"/>
    </row>
    <row r="111" spans="1:7" s="62" customFormat="1">
      <c r="A111" s="252">
        <v>10</v>
      </c>
      <c r="B111" s="253"/>
      <c r="C111" s="253" t="s">
        <v>27</v>
      </c>
      <c r="D111" s="336">
        <f t="shared" ref="D111:E111" si="26">D112+D117</f>
        <v>1483467.5300000003</v>
      </c>
      <c r="E111" s="337">
        <f t="shared" si="26"/>
        <v>0</v>
      </c>
      <c r="F111" s="336">
        <f t="shared" ref="F111:G111" si="27">F112+F117</f>
        <v>1314619.8460000001</v>
      </c>
      <c r="G111" s="337">
        <f t="shared" si="27"/>
        <v>0</v>
      </c>
    </row>
    <row r="112" spans="1:7" s="62" customFormat="1">
      <c r="A112" s="254" t="s">
        <v>288</v>
      </c>
      <c r="B112" s="255"/>
      <c r="C112" s="255" t="s">
        <v>289</v>
      </c>
      <c r="D112" s="336">
        <f t="shared" ref="D112:E112" si="28">D113+D114+D115+D116</f>
        <v>1363750.2300000002</v>
      </c>
      <c r="E112" s="337">
        <f t="shared" si="28"/>
        <v>0</v>
      </c>
      <c r="F112" s="336">
        <f t="shared" ref="F112:G112" si="29">F113+F114+F115+F116</f>
        <v>1143379.7850000001</v>
      </c>
      <c r="G112" s="337">
        <f t="shared" si="29"/>
        <v>0</v>
      </c>
    </row>
    <row r="113" spans="1:7" s="62" customFormat="1">
      <c r="A113" s="212" t="s">
        <v>466</v>
      </c>
      <c r="B113" s="206"/>
      <c r="C113" s="206" t="s">
        <v>290</v>
      </c>
      <c r="D113" s="105">
        <v>795070.16</v>
      </c>
      <c r="E113" s="113"/>
      <c r="F113" s="105">
        <v>514598.42800000001</v>
      </c>
      <c r="G113" s="113"/>
    </row>
    <row r="114" spans="1:7" s="95" customFormat="1" ht="15" customHeight="1">
      <c r="A114" s="262">
        <v>102</v>
      </c>
      <c r="B114" s="265"/>
      <c r="C114" s="265" t="s">
        <v>291</v>
      </c>
      <c r="D114" s="270">
        <v>550000</v>
      </c>
      <c r="E114" s="271"/>
      <c r="F114" s="270">
        <v>610000</v>
      </c>
      <c r="G114" s="271"/>
    </row>
    <row r="115" spans="1:7" s="62" customFormat="1">
      <c r="A115" s="212">
        <v>104</v>
      </c>
      <c r="B115" s="206"/>
      <c r="C115" s="206" t="s">
        <v>273</v>
      </c>
      <c r="D115" s="105">
        <v>17514.3</v>
      </c>
      <c r="E115" s="113"/>
      <c r="F115" s="105">
        <v>17632.216</v>
      </c>
      <c r="G115" s="113"/>
    </row>
    <row r="116" spans="1:7" s="62" customFormat="1">
      <c r="A116" s="212">
        <v>106</v>
      </c>
      <c r="B116" s="206"/>
      <c r="C116" s="206" t="s">
        <v>481</v>
      </c>
      <c r="D116" s="105">
        <v>1165.77</v>
      </c>
      <c r="E116" s="113"/>
      <c r="F116" s="105">
        <v>1149.1410000000001</v>
      </c>
      <c r="G116" s="113"/>
    </row>
    <row r="117" spans="1:7" s="62" customFormat="1">
      <c r="A117" s="254" t="s">
        <v>292</v>
      </c>
      <c r="B117" s="255"/>
      <c r="C117" s="255" t="s">
        <v>293</v>
      </c>
      <c r="D117" s="336">
        <f t="shared" ref="D117:E117" si="30">D118+D119+D120</f>
        <v>119717.3</v>
      </c>
      <c r="E117" s="337">
        <f t="shared" si="30"/>
        <v>0</v>
      </c>
      <c r="F117" s="336">
        <f t="shared" ref="F117:G117" si="31">F118+F119+F120</f>
        <v>171240.06099999999</v>
      </c>
      <c r="G117" s="337">
        <f t="shared" si="31"/>
        <v>0</v>
      </c>
    </row>
    <row r="118" spans="1:7" s="62" customFormat="1">
      <c r="A118" s="212">
        <v>107</v>
      </c>
      <c r="B118" s="206"/>
      <c r="C118" s="206" t="s">
        <v>294</v>
      </c>
      <c r="D118" s="105">
        <v>29055</v>
      </c>
      <c r="E118" s="113"/>
      <c r="F118" s="105">
        <v>78928.5</v>
      </c>
      <c r="G118" s="113"/>
    </row>
    <row r="119" spans="1:7" s="62" customFormat="1">
      <c r="A119" s="212">
        <v>108</v>
      </c>
      <c r="B119" s="206"/>
      <c r="C119" s="206" t="s">
        <v>295</v>
      </c>
      <c r="D119" s="105">
        <v>90662.3</v>
      </c>
      <c r="E119" s="113"/>
      <c r="F119" s="105">
        <v>92311.561000000002</v>
      </c>
      <c r="G119" s="113"/>
    </row>
    <row r="120" spans="1:7" s="203" customFormat="1" ht="14">
      <c r="A120" s="262">
        <v>109</v>
      </c>
      <c r="B120" s="263"/>
      <c r="C120" s="263" t="s">
        <v>281</v>
      </c>
      <c r="D120" s="117">
        <v>0</v>
      </c>
      <c r="E120" s="249"/>
      <c r="F120" s="117">
        <v>0</v>
      </c>
      <c r="G120" s="249"/>
    </row>
    <row r="121" spans="1:7" s="62" customFormat="1">
      <c r="A121" s="254">
        <v>14</v>
      </c>
      <c r="B121" s="255"/>
      <c r="C121" s="255" t="s">
        <v>28</v>
      </c>
      <c r="D121" s="336">
        <f t="shared" ref="D121:E121" si="32">SUM(D122:D130)</f>
        <v>442439.37</v>
      </c>
      <c r="E121" s="336">
        <f t="shared" si="32"/>
        <v>0</v>
      </c>
      <c r="F121" s="336">
        <f t="shared" ref="F121:G121" si="33">SUM(F122:F130)</f>
        <v>436491.48799999995</v>
      </c>
      <c r="G121" s="336">
        <f t="shared" si="33"/>
        <v>0</v>
      </c>
    </row>
    <row r="122" spans="1:7" s="62" customFormat="1">
      <c r="A122" s="212" t="s">
        <v>467</v>
      </c>
      <c r="B122" s="206"/>
      <c r="C122" s="206" t="s">
        <v>274</v>
      </c>
      <c r="D122" s="105">
        <v>237489</v>
      </c>
      <c r="E122" s="113"/>
      <c r="F122" s="105">
        <v>231040</v>
      </c>
      <c r="G122" s="113"/>
    </row>
    <row r="123" spans="1:7" s="62" customFormat="1">
      <c r="A123" s="212">
        <v>144</v>
      </c>
      <c r="B123" s="206"/>
      <c r="C123" s="206" t="s">
        <v>89</v>
      </c>
      <c r="D123" s="105">
        <v>39635.370000000003</v>
      </c>
      <c r="E123" s="113"/>
      <c r="F123" s="105">
        <v>41975.474000000002</v>
      </c>
      <c r="G123" s="113"/>
    </row>
    <row r="124" spans="1:7" s="62" customFormat="1">
      <c r="A124" s="212">
        <v>145</v>
      </c>
      <c r="B124" s="206"/>
      <c r="C124" s="206" t="s">
        <v>90</v>
      </c>
      <c r="D124" s="105">
        <v>72112</v>
      </c>
      <c r="E124" s="210"/>
      <c r="F124" s="105">
        <v>73416.013000000006</v>
      </c>
      <c r="G124" s="210"/>
    </row>
    <row r="125" spans="1:7" s="62" customFormat="1">
      <c r="A125" s="212">
        <v>146</v>
      </c>
      <c r="B125" s="206"/>
      <c r="C125" s="206" t="s">
        <v>275</v>
      </c>
      <c r="D125" s="105">
        <v>93203</v>
      </c>
      <c r="E125" s="210"/>
      <c r="F125" s="105">
        <v>90060.001000000004</v>
      </c>
      <c r="G125" s="210"/>
    </row>
    <row r="126" spans="1:7" s="203" customFormat="1" ht="29.5" customHeight="1">
      <c r="A126" s="262" t="s">
        <v>468</v>
      </c>
      <c r="B126" s="263"/>
      <c r="C126" s="263" t="s">
        <v>276</v>
      </c>
      <c r="D126" s="117">
        <v>0</v>
      </c>
      <c r="E126" s="276"/>
      <c r="F126" s="117">
        <v>0</v>
      </c>
      <c r="G126" s="276"/>
    </row>
    <row r="127" spans="1:7" s="62" customFormat="1">
      <c r="A127" s="212">
        <v>1484</v>
      </c>
      <c r="B127" s="206"/>
      <c r="C127" s="206" t="s">
        <v>277</v>
      </c>
      <c r="D127" s="105">
        <v>0</v>
      </c>
      <c r="E127" s="210"/>
      <c r="F127" s="105">
        <v>0</v>
      </c>
      <c r="G127" s="210"/>
    </row>
    <row r="128" spans="1:7" s="62" customFormat="1">
      <c r="A128" s="212">
        <v>1485</v>
      </c>
      <c r="B128" s="206"/>
      <c r="C128" s="206" t="s">
        <v>278</v>
      </c>
      <c r="D128" s="105">
        <v>0</v>
      </c>
      <c r="E128" s="210"/>
      <c r="F128" s="105">
        <v>0</v>
      </c>
      <c r="G128" s="210"/>
    </row>
    <row r="129" spans="1:7" s="62" customFormat="1">
      <c r="A129" s="212">
        <v>1486</v>
      </c>
      <c r="B129" s="206"/>
      <c r="C129" s="206" t="s">
        <v>280</v>
      </c>
      <c r="D129" s="105">
        <v>0</v>
      </c>
      <c r="E129" s="210"/>
      <c r="F129" s="105">
        <v>0</v>
      </c>
      <c r="G129" s="210"/>
    </row>
    <row r="130" spans="1:7" s="62" customFormat="1">
      <c r="A130" s="266">
        <v>1489</v>
      </c>
      <c r="B130" s="214"/>
      <c r="C130" s="214" t="s">
        <v>279</v>
      </c>
      <c r="D130" s="135">
        <v>0</v>
      </c>
      <c r="E130" s="277"/>
      <c r="F130" s="135">
        <v>0</v>
      </c>
      <c r="G130" s="277"/>
    </row>
    <row r="131" spans="1:7">
      <c r="A131" s="13">
        <v>1</v>
      </c>
      <c r="B131" s="14"/>
      <c r="C131" s="13" t="s">
        <v>29</v>
      </c>
      <c r="D131" s="18">
        <f t="shared" ref="D131:E131" si="34">D111+D121</f>
        <v>1925906.9000000004</v>
      </c>
      <c r="E131" s="18">
        <f t="shared" si="34"/>
        <v>0</v>
      </c>
      <c r="F131" s="18">
        <f t="shared" ref="F131:G131" si="35">F111+F121</f>
        <v>1751111.334</v>
      </c>
      <c r="G131" s="18">
        <f t="shared" si="35"/>
        <v>0</v>
      </c>
    </row>
    <row r="132" spans="1:7">
      <c r="C132" s="11"/>
      <c r="D132" s="17"/>
      <c r="E132" s="17"/>
      <c r="F132" s="17"/>
      <c r="G132" s="17"/>
    </row>
    <row r="133" spans="1:7" s="62" customFormat="1">
      <c r="A133" s="252">
        <v>20</v>
      </c>
      <c r="B133" s="253"/>
      <c r="C133" s="253" t="s">
        <v>30</v>
      </c>
      <c r="D133" s="338">
        <f t="shared" ref="D133:E133" si="36">D134+D140</f>
        <v>721913.79</v>
      </c>
      <c r="E133" s="339">
        <f t="shared" si="36"/>
        <v>0</v>
      </c>
      <c r="F133" s="338">
        <f t="shared" ref="F133:G133" si="37">F134+F140</f>
        <v>617479.94400000013</v>
      </c>
      <c r="G133" s="339">
        <f t="shared" si="37"/>
        <v>0</v>
      </c>
    </row>
    <row r="134" spans="1:7" s="62" customFormat="1">
      <c r="A134" s="257" t="s">
        <v>286</v>
      </c>
      <c r="B134" s="255"/>
      <c r="C134" s="255" t="s">
        <v>283</v>
      </c>
      <c r="D134" s="336">
        <f t="shared" ref="D134:E134" si="38">D135+D136+D138+D139</f>
        <v>701149.9</v>
      </c>
      <c r="E134" s="337">
        <f t="shared" si="38"/>
        <v>0</v>
      </c>
      <c r="F134" s="336">
        <f t="shared" ref="F134:G134" si="39">F135+F136+F138+F139</f>
        <v>596015.58500000008</v>
      </c>
      <c r="G134" s="337">
        <f t="shared" si="39"/>
        <v>0</v>
      </c>
    </row>
    <row r="135" spans="1:7" s="63" customFormat="1">
      <c r="A135" s="208">
        <v>200</v>
      </c>
      <c r="B135" s="206"/>
      <c r="C135" s="206" t="s">
        <v>31</v>
      </c>
      <c r="D135" s="105">
        <v>636550.42000000004</v>
      </c>
      <c r="E135" s="113"/>
      <c r="F135" s="105">
        <v>524340.07900000003</v>
      </c>
      <c r="G135" s="113"/>
    </row>
    <row r="136" spans="1:7" s="63" customFormat="1">
      <c r="A136" s="208">
        <v>201</v>
      </c>
      <c r="B136" s="206"/>
      <c r="C136" s="206" t="s">
        <v>32</v>
      </c>
      <c r="D136" s="105">
        <v>0</v>
      </c>
      <c r="E136" s="113"/>
      <c r="F136" s="105">
        <v>0</v>
      </c>
      <c r="G136" s="113"/>
    </row>
    <row r="137" spans="1:7" s="63" customFormat="1">
      <c r="A137" s="204" t="s">
        <v>91</v>
      </c>
      <c r="B137" s="205"/>
      <c r="C137" s="205" t="s">
        <v>92</v>
      </c>
      <c r="D137" s="150">
        <v>0</v>
      </c>
      <c r="E137" s="155"/>
      <c r="F137" s="150">
        <v>0</v>
      </c>
      <c r="G137" s="155"/>
    </row>
    <row r="138" spans="1:7" s="63" customFormat="1">
      <c r="A138" s="208">
        <v>204</v>
      </c>
      <c r="B138" s="206"/>
      <c r="C138" s="206" t="s">
        <v>282</v>
      </c>
      <c r="D138" s="105">
        <v>54936.480000000003</v>
      </c>
      <c r="E138" s="210"/>
      <c r="F138" s="105">
        <v>61126.938999999998</v>
      </c>
      <c r="G138" s="210"/>
    </row>
    <row r="139" spans="1:7" s="63" customFormat="1">
      <c r="A139" s="208">
        <v>205</v>
      </c>
      <c r="B139" s="206"/>
      <c r="C139" s="206" t="s">
        <v>296</v>
      </c>
      <c r="D139" s="105">
        <v>9663</v>
      </c>
      <c r="E139" s="210"/>
      <c r="F139" s="105">
        <v>10548.566999999999</v>
      </c>
      <c r="G139" s="210"/>
    </row>
    <row r="140" spans="1:7" s="63" customFormat="1">
      <c r="A140" s="257" t="s">
        <v>287</v>
      </c>
      <c r="B140" s="255"/>
      <c r="C140" s="255" t="s">
        <v>284</v>
      </c>
      <c r="D140" s="336">
        <f t="shared" ref="D140:E140" si="40">D141+D143+D144</f>
        <v>20763.89</v>
      </c>
      <c r="E140" s="337">
        <f t="shared" si="40"/>
        <v>0</v>
      </c>
      <c r="F140" s="336">
        <f t="shared" ref="F140:G140" si="41">F141+F143+F144</f>
        <v>21464.359</v>
      </c>
      <c r="G140" s="337">
        <f t="shared" si="41"/>
        <v>0</v>
      </c>
    </row>
    <row r="141" spans="1:7" s="63" customFormat="1">
      <c r="A141" s="208">
        <v>206</v>
      </c>
      <c r="B141" s="206"/>
      <c r="C141" s="206" t="s">
        <v>33</v>
      </c>
      <c r="D141" s="105">
        <v>20639.39</v>
      </c>
      <c r="E141" s="210"/>
      <c r="F141" s="105">
        <v>21464.359</v>
      </c>
      <c r="G141" s="210"/>
    </row>
    <row r="142" spans="1:7" s="63" customFormat="1">
      <c r="A142" s="204" t="s">
        <v>93</v>
      </c>
      <c r="B142" s="205"/>
      <c r="C142" s="205" t="s">
        <v>94</v>
      </c>
      <c r="D142" s="150">
        <v>0</v>
      </c>
      <c r="E142" s="155"/>
      <c r="F142" s="150">
        <v>0</v>
      </c>
      <c r="G142" s="155"/>
    </row>
    <row r="143" spans="1:7" s="63" customFormat="1">
      <c r="A143" s="208">
        <v>208</v>
      </c>
      <c r="B143" s="206"/>
      <c r="C143" s="206" t="s">
        <v>297</v>
      </c>
      <c r="D143" s="105">
        <v>124.5</v>
      </c>
      <c r="E143" s="210"/>
      <c r="F143" s="105">
        <v>0</v>
      </c>
      <c r="G143" s="210"/>
    </row>
    <row r="144" spans="1:7" s="64" customFormat="1" ht="28">
      <c r="A144" s="262">
        <v>209</v>
      </c>
      <c r="B144" s="263"/>
      <c r="C144" s="263" t="s">
        <v>285</v>
      </c>
      <c r="D144" s="117">
        <v>0</v>
      </c>
      <c r="E144" s="276"/>
      <c r="F144" s="117">
        <v>0</v>
      </c>
      <c r="G144" s="276"/>
    </row>
    <row r="145" spans="1:7" s="62" customFormat="1">
      <c r="A145" s="257">
        <v>29</v>
      </c>
      <c r="B145" s="255"/>
      <c r="C145" s="255" t="s">
        <v>36</v>
      </c>
      <c r="D145" s="209">
        <v>1203993.1299999999</v>
      </c>
      <c r="E145" s="210"/>
      <c r="F145" s="209">
        <v>1133631.3910000001</v>
      </c>
      <c r="G145" s="210"/>
    </row>
    <row r="146" spans="1:7" s="62" customFormat="1">
      <c r="A146" s="211" t="s">
        <v>190</v>
      </c>
      <c r="B146" s="207"/>
      <c r="C146" s="207" t="s">
        <v>191</v>
      </c>
      <c r="D146" s="169">
        <v>515356.63</v>
      </c>
      <c r="E146" s="174"/>
      <c r="F146" s="169">
        <v>494552.59</v>
      </c>
      <c r="G146" s="174"/>
    </row>
    <row r="147" spans="1:7">
      <c r="A147" s="13">
        <v>2</v>
      </c>
      <c r="B147" s="14"/>
      <c r="C147" s="13" t="s">
        <v>34</v>
      </c>
      <c r="D147" s="18">
        <f>D133+D145</f>
        <v>1925906.92</v>
      </c>
      <c r="E147" s="18">
        <f>E133+E145</f>
        <v>0</v>
      </c>
      <c r="F147" s="18">
        <f>F133+F145</f>
        <v>1751111.3350000002</v>
      </c>
      <c r="G147" s="18">
        <f>G133+G145</f>
        <v>0</v>
      </c>
    </row>
    <row r="148" spans="1:7" ht="7.5" customHeight="1"/>
    <row r="149" spans="1:7" ht="13.5" customHeight="1">
      <c r="A149" s="232" t="s">
        <v>95</v>
      </c>
      <c r="B149" s="19"/>
      <c r="C149" s="38" t="s">
        <v>138</v>
      </c>
      <c r="D149" s="19"/>
      <c r="E149" s="19"/>
      <c r="F149" s="19"/>
      <c r="G149" s="19"/>
    </row>
    <row r="150" spans="1:7">
      <c r="A150" s="51" t="s">
        <v>402</v>
      </c>
      <c r="B150" s="46"/>
      <c r="C150" s="46" t="s">
        <v>153</v>
      </c>
      <c r="D150" s="55">
        <f t="shared" ref="D150:E150" si="42">D77+SUM(D8:D12)-D30-D31+D16-D33+D59+D63-D73+D64-D74-D54+D20-D35</f>
        <v>85073.916999999943</v>
      </c>
      <c r="E150" s="55">
        <f t="shared" si="42"/>
        <v>15451.617000000108</v>
      </c>
      <c r="F150" s="55">
        <f t="shared" ref="F150:G150" si="43">F77+SUM(F8:F12)-F30-F31+F16-F33+F59+F63-F73+F64-F74-F54+F20-F35</f>
        <v>10671.723999999944</v>
      </c>
      <c r="G150" s="55">
        <f t="shared" si="43"/>
        <v>18463.713999999993</v>
      </c>
    </row>
    <row r="151" spans="1:7">
      <c r="A151" s="38" t="s">
        <v>403</v>
      </c>
      <c r="B151" s="19"/>
      <c r="C151" s="19" t="s">
        <v>154</v>
      </c>
      <c r="D151" s="258">
        <f t="shared" ref="D151:E151" si="44">IF(D177=0,0,D150/D177)</f>
        <v>6.8050691721149997E-2</v>
      </c>
      <c r="E151" s="258">
        <f t="shared" si="44"/>
        <v>1.2198812714413624E-2</v>
      </c>
      <c r="F151" s="258">
        <f t="shared" ref="F151:G151" si="45">IF(F177=0,0,F150/F177)</f>
        <v>8.6779038713578789E-3</v>
      </c>
      <c r="G151" s="258">
        <f t="shared" si="45"/>
        <v>1.449261678472823E-2</v>
      </c>
    </row>
    <row r="152" spans="1:7" s="251" customFormat="1" ht="28">
      <c r="A152" s="58" t="s">
        <v>404</v>
      </c>
      <c r="B152" s="53"/>
      <c r="C152" s="53" t="s">
        <v>161</v>
      </c>
      <c r="D152" s="242">
        <f t="shared" ref="D152:E152" si="46">IF(D107=0,0,D150/D107)</f>
        <v>1.0553380808500601</v>
      </c>
      <c r="E152" s="242">
        <f t="shared" si="46"/>
        <v>0.14199987501642805</v>
      </c>
      <c r="F152" s="242">
        <f t="shared" ref="F152:G152" si="47">IF(F107=0,0,F150/F107)</f>
        <v>0.13852607533289982</v>
      </c>
      <c r="G152" s="242">
        <f t="shared" si="47"/>
        <v>0.18683676928478976</v>
      </c>
    </row>
    <row r="153" spans="1:7" s="251" customFormat="1" ht="28">
      <c r="A153" s="57" t="s">
        <v>404</v>
      </c>
      <c r="B153" s="54"/>
      <c r="C153" s="54" t="s">
        <v>162</v>
      </c>
      <c r="D153" s="245">
        <f t="shared" ref="D153:E153" si="48">IF(0=D108,0,D150/D108)</f>
        <v>0.97510291865228493</v>
      </c>
      <c r="E153" s="245">
        <f t="shared" si="48"/>
        <v>0.1437168544091354</v>
      </c>
      <c r="F153" s="245">
        <f t="shared" ref="F153:G153" si="49">IF(0=F108,0,F150/F108)</f>
        <v>0.14548516911977172</v>
      </c>
      <c r="G153" s="245">
        <f t="shared" si="49"/>
        <v>0.18813130268476405</v>
      </c>
    </row>
    <row r="154" spans="1:7" ht="28">
      <c r="A154" s="60" t="s">
        <v>412</v>
      </c>
      <c r="B154" s="52"/>
      <c r="C154" s="52" t="s">
        <v>163</v>
      </c>
      <c r="D154" s="56">
        <f t="shared" ref="D154:E154" si="50">D150-D107</f>
        <v>4460.9659999999276</v>
      </c>
      <c r="E154" s="56">
        <f t="shared" si="50"/>
        <v>-93362.682999999903</v>
      </c>
      <c r="F154" s="56">
        <f t="shared" ref="F154:G154" si="51">F150-F107</f>
        <v>-66365.931000000041</v>
      </c>
      <c r="G154" s="56">
        <f t="shared" si="51"/>
        <v>-80358.986000000004</v>
      </c>
    </row>
    <row r="155" spans="1:7" ht="28">
      <c r="A155" s="57" t="s">
        <v>413</v>
      </c>
      <c r="B155" s="54"/>
      <c r="C155" s="54" t="s">
        <v>164</v>
      </c>
      <c r="D155" s="59">
        <f t="shared" ref="D155:E155" si="52">D150-D108</f>
        <v>-2172.173000000068</v>
      </c>
      <c r="E155" s="59">
        <f t="shared" si="52"/>
        <v>-92062.682999999903</v>
      </c>
      <c r="F155" s="59">
        <f t="shared" ref="F155:G155" si="53">F150-F108</f>
        <v>-62680.935000000041</v>
      </c>
      <c r="G155" s="59">
        <f t="shared" si="53"/>
        <v>-79678.986000000004</v>
      </c>
    </row>
    <row r="156" spans="1:7">
      <c r="A156" s="51" t="s">
        <v>391</v>
      </c>
      <c r="B156" s="46"/>
      <c r="C156" s="46" t="s">
        <v>35</v>
      </c>
      <c r="D156" s="47">
        <f t="shared" ref="D156:E156" si="54">D135+D136-D137+D141-D142</f>
        <v>657189.81000000006</v>
      </c>
      <c r="E156" s="47">
        <f t="shared" si="54"/>
        <v>0</v>
      </c>
      <c r="F156" s="47">
        <f t="shared" ref="F156:G156" si="55">F135+F136-F137+F141-F142</f>
        <v>545804.43800000008</v>
      </c>
      <c r="G156" s="47">
        <f t="shared" si="55"/>
        <v>0</v>
      </c>
    </row>
    <row r="157" spans="1:7">
      <c r="A157" s="233" t="s">
        <v>399</v>
      </c>
      <c r="B157" s="48"/>
      <c r="C157" s="48" t="s">
        <v>132</v>
      </c>
      <c r="D157" s="241">
        <f t="shared" ref="D157:E157" si="56">IF(D177=0,0,D156/D177)</f>
        <v>0.52568663510099312</v>
      </c>
      <c r="E157" s="241">
        <f t="shared" si="56"/>
        <v>0</v>
      </c>
      <c r="F157" s="241">
        <f t="shared" ref="F157:G157" si="57">IF(F177=0,0,F156/F177)</f>
        <v>0.44383067305006546</v>
      </c>
      <c r="G157" s="241">
        <f t="shared" si="57"/>
        <v>0</v>
      </c>
    </row>
    <row r="158" spans="1:7">
      <c r="A158" s="51" t="s">
        <v>392</v>
      </c>
      <c r="B158" s="46"/>
      <c r="C158" s="46" t="s">
        <v>393</v>
      </c>
      <c r="D158" s="47">
        <f t="shared" ref="D158:E158" si="58">D133-D142-D111</f>
        <v>-761553.74000000022</v>
      </c>
      <c r="E158" s="47">
        <f t="shared" si="58"/>
        <v>0</v>
      </c>
      <c r="F158" s="47">
        <f t="shared" ref="F158:G158" si="59">F133-F142-F111</f>
        <v>-697139.902</v>
      </c>
      <c r="G158" s="47">
        <f t="shared" si="59"/>
        <v>0</v>
      </c>
    </row>
    <row r="159" spans="1:7">
      <c r="A159" s="38" t="s">
        <v>395</v>
      </c>
      <c r="B159" s="19"/>
      <c r="C159" s="19" t="s">
        <v>394</v>
      </c>
      <c r="D159" s="40">
        <f t="shared" ref="D159:E159" si="60">D121-D123-D124-D142-D145</f>
        <v>-873301.12999999989</v>
      </c>
      <c r="E159" s="40">
        <f t="shared" si="60"/>
        <v>0</v>
      </c>
      <c r="F159" s="40">
        <f t="shared" ref="F159:G159" si="61">F121-F123-F124-F142-F145</f>
        <v>-812531.39000000013</v>
      </c>
      <c r="G159" s="40">
        <f t="shared" si="61"/>
        <v>0</v>
      </c>
    </row>
    <row r="160" spans="1:7">
      <c r="A160" s="38" t="s">
        <v>400</v>
      </c>
      <c r="B160" s="19"/>
      <c r="C160" s="19" t="s">
        <v>115</v>
      </c>
      <c r="D160" s="240">
        <f t="shared" ref="D160:E160" si="62">IF(D175=0,"-",1000*D158/D175)</f>
        <v>-6533.633095685449</v>
      </c>
      <c r="E160" s="240">
        <f t="shared" si="62"/>
        <v>0</v>
      </c>
      <c r="F160" s="240">
        <f t="shared" ref="F160:G160" si="63">IF(F175=0,"-",1000*F158/F175)</f>
        <v>-5778.1048138447768</v>
      </c>
      <c r="G160" s="240">
        <f t="shared" si="63"/>
        <v>0</v>
      </c>
    </row>
    <row r="161" spans="1:7">
      <c r="A161" s="38" t="s">
        <v>400</v>
      </c>
      <c r="B161" s="19"/>
      <c r="C161" s="19" t="s">
        <v>139</v>
      </c>
      <c r="D161" s="40">
        <f t="shared" ref="D161:E161" si="64">IF(D175=0,0,1000*(D159/D175))</f>
        <v>-7492.3526282826715</v>
      </c>
      <c r="E161" s="40">
        <f t="shared" si="64"/>
        <v>0</v>
      </c>
      <c r="F161" s="40">
        <f t="shared" ref="F161:G161" si="65">IF(F175=0,0,1000*(F159/F175))</f>
        <v>-6734.5041109969179</v>
      </c>
      <c r="G161" s="40">
        <f t="shared" si="65"/>
        <v>0</v>
      </c>
    </row>
    <row r="162" spans="1:7">
      <c r="A162" s="233" t="s">
        <v>401</v>
      </c>
      <c r="B162" s="48"/>
      <c r="C162" s="48" t="s">
        <v>116</v>
      </c>
      <c r="D162" s="241">
        <f t="shared" ref="D162:E162" si="66">IF((D22+D23+D65+D66)=0,0,D158/(D22+D23+D65+D66))</f>
        <v>-1.187478305394029</v>
      </c>
      <c r="E162" s="241">
        <f t="shared" si="66"/>
        <v>0</v>
      </c>
      <c r="F162" s="241">
        <f t="shared" ref="F162:G162" si="67">IF((F22+F23+F65+F66)=0,0,F158/(F22+F23+F65+F66))</f>
        <v>-1.0776355591688143</v>
      </c>
      <c r="G162" s="241">
        <f t="shared" si="67"/>
        <v>0</v>
      </c>
    </row>
    <row r="163" spans="1:7">
      <c r="A163" s="38" t="s">
        <v>409</v>
      </c>
      <c r="B163" s="19"/>
      <c r="C163" s="19" t="s">
        <v>36</v>
      </c>
      <c r="D163" s="55">
        <f t="shared" ref="D163:E163" si="68">D145</f>
        <v>1203993.1299999999</v>
      </c>
      <c r="E163" s="55">
        <f t="shared" si="68"/>
        <v>0</v>
      </c>
      <c r="F163" s="55">
        <f t="shared" ref="F163:G163" si="69">F145</f>
        <v>1133631.3910000001</v>
      </c>
      <c r="G163" s="55">
        <f t="shared" si="69"/>
        <v>0</v>
      </c>
    </row>
    <row r="164" spans="1:7" ht="28">
      <c r="A164" s="57" t="s">
        <v>408</v>
      </c>
      <c r="B164" s="247"/>
      <c r="C164" s="247" t="s">
        <v>117</v>
      </c>
      <c r="D164" s="245">
        <f>IF(D178=0,0,D146/D178)</f>
        <v>0.4142597821142957</v>
      </c>
      <c r="E164" s="245">
        <f>IF(E178=0,0,E146/E178)</f>
        <v>0</v>
      </c>
      <c r="F164" s="245">
        <f>IF(F178=0,0,F146/F178)</f>
        <v>0.3810022633341914</v>
      </c>
      <c r="G164" s="245">
        <f>IF(G178=0,0,G146/G178)</f>
        <v>0</v>
      </c>
    </row>
    <row r="165" spans="1:7">
      <c r="A165" s="234" t="s">
        <v>493</v>
      </c>
      <c r="B165" s="34"/>
      <c r="C165" s="34" t="s">
        <v>118</v>
      </c>
      <c r="D165" s="259">
        <f t="shared" ref="D165:E165" si="70">IF(D177=0,0,D180/D177)</f>
        <v>4.7928902285470552E-2</v>
      </c>
      <c r="E165" s="259">
        <f t="shared" si="70"/>
        <v>5.6552040659161106E-2</v>
      </c>
      <c r="F165" s="259">
        <f t="shared" ref="F165:G165" si="71">IF(F177=0,0,F180/F177)</f>
        <v>5.4510913211476497E-2</v>
      </c>
      <c r="G165" s="259">
        <f t="shared" si="71"/>
        <v>6.1803443752303053E-2</v>
      </c>
    </row>
    <row r="166" spans="1:7">
      <c r="A166" s="38" t="s">
        <v>411</v>
      </c>
      <c r="B166" s="19"/>
      <c r="C166" s="19" t="s">
        <v>20</v>
      </c>
      <c r="D166" s="55">
        <f t="shared" ref="D166:E166" si="72">D55</f>
        <v>36847.569999999992</v>
      </c>
      <c r="E166" s="55">
        <f t="shared" si="72"/>
        <v>34091.851999999999</v>
      </c>
      <c r="F166" s="55">
        <f t="shared" ref="F166:G166" si="73">F55</f>
        <v>34552.386000000006</v>
      </c>
      <c r="G166" s="55">
        <f t="shared" si="73"/>
        <v>30830.814999999995</v>
      </c>
    </row>
    <row r="167" spans="1:7">
      <c r="A167" s="233" t="s">
        <v>410</v>
      </c>
      <c r="B167" s="48"/>
      <c r="C167" s="48" t="s">
        <v>119</v>
      </c>
      <c r="D167" s="241">
        <f t="shared" ref="D167:E167" si="74">IF(0=D111,0,(D44+D45+D46+D47+D48)/D111)</f>
        <v>7.8420873829304488E-3</v>
      </c>
      <c r="E167" s="241">
        <f t="shared" si="74"/>
        <v>0</v>
      </c>
      <c r="F167" s="241">
        <f t="shared" ref="F167:G167" si="75">IF(0=F111,0,(F44+F45+F46+F47+F48)/F111)</f>
        <v>7.0977347773890209E-3</v>
      </c>
      <c r="G167" s="241">
        <f t="shared" si="75"/>
        <v>0</v>
      </c>
    </row>
    <row r="168" spans="1:7">
      <c r="A168" s="38" t="s">
        <v>396</v>
      </c>
      <c r="B168" s="46"/>
      <c r="C168" s="46" t="s">
        <v>397</v>
      </c>
      <c r="D168" s="55">
        <f t="shared" ref="D168:E168" si="76">D38-D44</f>
        <v>-8874.0400000000009</v>
      </c>
      <c r="E168" s="55">
        <f t="shared" si="76"/>
        <v>-7601.4</v>
      </c>
      <c r="F168" s="55">
        <f t="shared" ref="F168:G168" si="77">F38-F44</f>
        <v>-7421.3019999999997</v>
      </c>
      <c r="G168" s="55">
        <f t="shared" si="77"/>
        <v>-4547.8999999999996</v>
      </c>
    </row>
    <row r="169" spans="1:7">
      <c r="A169" s="233" t="s">
        <v>398</v>
      </c>
      <c r="B169" s="48"/>
      <c r="C169" s="48" t="s">
        <v>120</v>
      </c>
      <c r="D169" s="258">
        <f t="shared" ref="D169:E169" si="78">IF(D177=0,0,D168/D177)</f>
        <v>-7.0983514296297703E-3</v>
      </c>
      <c r="E169" s="258">
        <f t="shared" si="78"/>
        <v>-6.0011877700141721E-3</v>
      </c>
      <c r="F169" s="258">
        <f t="shared" ref="F169:G169" si="79">IF(F177=0,0,F168/F177)</f>
        <v>-6.0347648942491675E-3</v>
      </c>
      <c r="G169" s="258">
        <f t="shared" si="79"/>
        <v>-3.5697569771317699E-3</v>
      </c>
    </row>
    <row r="170" spans="1:7">
      <c r="A170" s="38" t="s">
        <v>366</v>
      </c>
      <c r="B170" s="19"/>
      <c r="C170" s="19" t="s">
        <v>364</v>
      </c>
      <c r="D170" s="55">
        <f t="shared" ref="D170:E170" si="80">SUM(D82:D87)+SUM(D89:D94)</f>
        <v>103195.65100000001</v>
      </c>
      <c r="E170" s="55">
        <f t="shared" si="80"/>
        <v>124074.8</v>
      </c>
      <c r="F170" s="55">
        <f t="shared" ref="F170:G170" si="81">SUM(F82:F87)+SUM(F89:F94)</f>
        <v>85873.920999999988</v>
      </c>
      <c r="G170" s="55">
        <f t="shared" si="81"/>
        <v>117250.2</v>
      </c>
    </row>
    <row r="171" spans="1:7">
      <c r="A171" s="38" t="s">
        <v>367</v>
      </c>
      <c r="B171" s="19"/>
      <c r="C171" s="19" t="s">
        <v>365</v>
      </c>
      <c r="D171" s="40">
        <f t="shared" ref="D171:E171" si="82">SUM(D96:D102)+SUM(D104:D105)</f>
        <v>22582.7</v>
      </c>
      <c r="E171" s="40">
        <f t="shared" si="82"/>
        <v>15260.5</v>
      </c>
      <c r="F171" s="40">
        <f t="shared" ref="F171:G171" si="83">SUM(F96:F102)+SUM(F104:F105)</f>
        <v>8836.2659999999996</v>
      </c>
      <c r="G171" s="40">
        <f t="shared" si="83"/>
        <v>18427.5</v>
      </c>
    </row>
    <row r="172" spans="1:7">
      <c r="A172" s="234" t="s">
        <v>368</v>
      </c>
      <c r="B172" s="34"/>
      <c r="C172" s="34" t="s">
        <v>121</v>
      </c>
      <c r="D172" s="259">
        <f t="shared" ref="D172:E172" si="84">IF(D184=0,0,D170/D184)</f>
        <v>8.1512135092222271E-2</v>
      </c>
      <c r="E172" s="259">
        <f t="shared" si="84"/>
        <v>9.0218342811473562E-2</v>
      </c>
      <c r="F172" s="259">
        <f t="shared" ref="F172:G172" si="85">IF(F184=0,0,F170/F184)</f>
        <v>6.5762123501646508E-2</v>
      </c>
      <c r="G172" s="259">
        <f t="shared" si="85"/>
        <v>8.5409852676297429E-2</v>
      </c>
    </row>
    <row r="173" spans="1:7">
      <c r="A173" s="61"/>
    </row>
    <row r="174" spans="1:7">
      <c r="A174" s="235" t="s">
        <v>97</v>
      </c>
      <c r="B174" s="23"/>
      <c r="C174" s="22"/>
      <c r="D174" s="17"/>
      <c r="E174" s="17"/>
      <c r="F174" s="17"/>
      <c r="G174" s="17"/>
    </row>
    <row r="175" spans="1:7" s="62" customFormat="1">
      <c r="A175" s="236" t="s">
        <v>386</v>
      </c>
      <c r="B175" s="23"/>
      <c r="C175" s="23" t="s">
        <v>187</v>
      </c>
      <c r="D175" s="66">
        <v>116559</v>
      </c>
      <c r="E175" s="66">
        <v>116559</v>
      </c>
      <c r="F175" s="66">
        <v>120652</v>
      </c>
      <c r="G175" s="66">
        <v>120652</v>
      </c>
    </row>
    <row r="176" spans="1:7">
      <c r="A176" s="235" t="s">
        <v>98</v>
      </c>
      <c r="B176" s="23"/>
      <c r="C176" s="23"/>
      <c r="D176" s="23"/>
      <c r="E176" s="23"/>
      <c r="F176" s="23"/>
      <c r="G176" s="23"/>
    </row>
    <row r="177" spans="1:7">
      <c r="A177" s="236" t="s">
        <v>380</v>
      </c>
      <c r="B177" s="23"/>
      <c r="C177" s="23" t="s">
        <v>99</v>
      </c>
      <c r="D177" s="39">
        <f t="shared" ref="D177:E177" si="86">SUM(D22:D32)+SUM(D44:D53)+SUM(D65:D72)+D75</f>
        <v>1250155.0660000001</v>
      </c>
      <c r="E177" s="39">
        <f t="shared" si="86"/>
        <v>1266649.2520000001</v>
      </c>
      <c r="F177" s="39">
        <f t="shared" ref="F177:G177" si="87">SUM(F22:F32)+SUM(F44:F53)+SUM(F65:F72)+F75</f>
        <v>1229758.264</v>
      </c>
      <c r="G177" s="39">
        <f t="shared" si="87"/>
        <v>1274008.2949999999</v>
      </c>
    </row>
    <row r="178" spans="1:7">
      <c r="A178" s="236" t="s">
        <v>385</v>
      </c>
      <c r="B178" s="23"/>
      <c r="C178" s="23" t="s">
        <v>100</v>
      </c>
      <c r="D178" s="39">
        <f t="shared" ref="D178:E178" si="88">D78-D17-D20-D59-D63-D64</f>
        <v>1244042.1500000001</v>
      </c>
      <c r="E178" s="39">
        <f t="shared" si="88"/>
        <v>1338959.422</v>
      </c>
      <c r="F178" s="39">
        <f t="shared" ref="F178:G178" si="89">F78-F17-F20-F59-F63-F64</f>
        <v>1298030.5830000001</v>
      </c>
      <c r="G178" s="39">
        <f t="shared" si="89"/>
        <v>1344713.321</v>
      </c>
    </row>
    <row r="179" spans="1:7">
      <c r="A179" s="236"/>
      <c r="B179" s="23"/>
      <c r="C179" s="23" t="s">
        <v>388</v>
      </c>
      <c r="D179" s="39">
        <f t="shared" ref="D179:E179" si="90">D178+D170</f>
        <v>1347237.8010000002</v>
      </c>
      <c r="E179" s="39">
        <f t="shared" si="90"/>
        <v>1463034.2220000001</v>
      </c>
      <c r="F179" s="39">
        <f t="shared" ref="F179:G179" si="91">F178+F170</f>
        <v>1383904.5040000002</v>
      </c>
      <c r="G179" s="39">
        <f t="shared" si="91"/>
        <v>1461963.5209999999</v>
      </c>
    </row>
    <row r="180" spans="1:7">
      <c r="A180" s="236" t="s">
        <v>389</v>
      </c>
      <c r="B180" s="23"/>
      <c r="C180" s="23" t="s">
        <v>390</v>
      </c>
      <c r="D180" s="39">
        <f t="shared" ref="D180:E180" si="92">D38-D44+D8+D9+D10+D16-D33</f>
        <v>59918.559999999998</v>
      </c>
      <c r="E180" s="39">
        <f t="shared" si="92"/>
        <v>71631.600000000006</v>
      </c>
      <c r="F180" s="39">
        <f t="shared" ref="F180:G180" si="93">F38-F44+F8+F9+F10+F16-F33</f>
        <v>67035.245999999999</v>
      </c>
      <c r="G180" s="39">
        <f t="shared" si="93"/>
        <v>78738.100000000006</v>
      </c>
    </row>
    <row r="181" spans="1:7" ht="27.5" customHeight="1">
      <c r="A181" s="239" t="s">
        <v>376</v>
      </c>
      <c r="B181" s="71"/>
      <c r="C181" s="71" t="s">
        <v>374</v>
      </c>
      <c r="D181" s="73">
        <f t="shared" ref="D181:E181" si="94">D22+D23+D24+D25+D26+D29+SUM(D44:D47)+SUM(D49:D53)-D54+D32-D33+SUM(D65:D70)+D72</f>
        <v>1244239.0159999998</v>
      </c>
      <c r="E181" s="73">
        <f t="shared" si="94"/>
        <v>1260333.2520000001</v>
      </c>
      <c r="F181" s="73">
        <f t="shared" ref="F181:G181" si="95">F22+F23+F24+F25+F26+F29+SUM(F44:F47)+SUM(F49:F53)-F54+F32-F33+SUM(F65:F70)+F72</f>
        <v>1223785.314</v>
      </c>
      <c r="G181" s="73">
        <f t="shared" si="95"/>
        <v>1267242.2949999999</v>
      </c>
    </row>
    <row r="182" spans="1:7">
      <c r="A182" s="237" t="s">
        <v>375</v>
      </c>
      <c r="B182" s="71"/>
      <c r="C182" s="71" t="s">
        <v>170</v>
      </c>
      <c r="D182" s="73">
        <f t="shared" ref="D182:E182" si="96">D181+D171</f>
        <v>1266821.7159999998</v>
      </c>
      <c r="E182" s="73">
        <f t="shared" si="96"/>
        <v>1275593.7520000001</v>
      </c>
      <c r="F182" s="73">
        <f t="shared" ref="F182:G182" si="97">F181+F171</f>
        <v>1232621.58</v>
      </c>
      <c r="G182" s="73">
        <f t="shared" si="97"/>
        <v>1285669.7949999999</v>
      </c>
    </row>
    <row r="183" spans="1:7">
      <c r="A183" s="237" t="s">
        <v>369</v>
      </c>
      <c r="B183" s="71"/>
      <c r="C183" s="71" t="s">
        <v>370</v>
      </c>
      <c r="D183" s="73">
        <f>D4+D5-D7+D38+D39+D40+D41+D43+D13-D16+D57+D58+D60+D62</f>
        <v>1162820.1500000001</v>
      </c>
      <c r="E183" s="73">
        <f t="shared" ref="E183:G183" si="98">E4+E5-E7+E38+E39+E40+E41+E43+E13-E16+E57+E58+E60+E62</f>
        <v>1251197.635</v>
      </c>
      <c r="F183" s="73">
        <f t="shared" si="98"/>
        <v>1219952.54</v>
      </c>
      <c r="G183" s="73">
        <f t="shared" si="98"/>
        <v>1255544.581</v>
      </c>
    </row>
    <row r="184" spans="1:7">
      <c r="A184" s="237" t="s">
        <v>373</v>
      </c>
      <c r="B184" s="71"/>
      <c r="C184" s="71" t="s">
        <v>171</v>
      </c>
      <c r="D184" s="73">
        <f t="shared" ref="D184:E184" si="99">D183+D170</f>
        <v>1266015.8010000002</v>
      </c>
      <c r="E184" s="73">
        <f t="shared" si="99"/>
        <v>1375272.4350000001</v>
      </c>
      <c r="F184" s="73">
        <f t="shared" ref="F184:G184" si="100">F183+F170</f>
        <v>1305826.4610000001</v>
      </c>
      <c r="G184" s="73">
        <f t="shared" si="100"/>
        <v>1372794.781</v>
      </c>
    </row>
    <row r="185" spans="1:7">
      <c r="A185" s="237"/>
      <c r="B185" s="71"/>
      <c r="C185" s="71" t="s">
        <v>405</v>
      </c>
      <c r="D185" s="73">
        <f t="shared" ref="D185:E186" si="101">D181-D183</f>
        <v>81418.865999999689</v>
      </c>
      <c r="E185" s="73">
        <f t="shared" si="101"/>
        <v>9135.6170000000857</v>
      </c>
      <c r="F185" s="73">
        <f t="shared" ref="F185:G185" si="102">F181-F183</f>
        <v>3832.7739999999758</v>
      </c>
      <c r="G185" s="73">
        <f t="shared" si="102"/>
        <v>11697.71399999992</v>
      </c>
    </row>
    <row r="186" spans="1:7">
      <c r="A186" s="237"/>
      <c r="B186" s="71"/>
      <c r="C186" s="71" t="s">
        <v>406</v>
      </c>
      <c r="D186" s="73">
        <f t="shared" si="101"/>
        <v>805.91499999957159</v>
      </c>
      <c r="E186" s="73">
        <f t="shared" si="101"/>
        <v>-99678.682999999961</v>
      </c>
      <c r="F186" s="73">
        <f t="shared" ref="F186:G186" si="103">F182-F184</f>
        <v>-73204.881000000052</v>
      </c>
      <c r="G186" s="73">
        <f t="shared" si="103"/>
        <v>-87124.986000000034</v>
      </c>
    </row>
  </sheetData>
  <sheetProtection selectLockedCells="1" sort="0" autoFilter="0" pivotTables="0"/>
  <mergeCells count="2">
    <mergeCell ref="A3:C3"/>
    <mergeCell ref="A81:C81"/>
  </mergeCells>
  <phoneticPr fontId="8" type="noConversion"/>
  <printOptions headings="1" gridLines="1"/>
  <pageMargins left="0.23622047244094491" right="0.23622047244094491" top="0.74803149606299213" bottom="0.74803149606299213" header="0.31496062992125984" footer="0.31496062992125984"/>
  <pageSetup paperSize="8" fitToHeight="0" orientation="landscape" r:id="rId1"/>
  <headerFooter alignWithMargins="0">
    <oddHeader>&amp;LFachgruppe für kantonale Finanzfragen (FkF)
Groupe d'études pour les finances cantonales
&amp;CRechnung 2012 - Budget 2014
Compte 2012 - Budget 2014&amp;RZürich, &amp;D</oddHeader>
    <oddFooter>&amp;LQuelle/Source: FkF Mai 2014&amp;RBlatt &amp;P / &amp;N</oddFooter>
  </headerFooter>
  <rowBreaks count="2" manualBreakCount="2">
    <brk id="79" max="16383" man="1"/>
    <brk id="14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64</vt:i4>
      </vt:variant>
    </vt:vector>
  </HeadingPairs>
  <TitlesOfParts>
    <vt:vector size="107" baseType="lpstr">
      <vt:lpstr>ZH HRM2</vt:lpstr>
      <vt:lpstr>BE HRM1</vt:lpstr>
      <vt:lpstr>LU HRM2</vt:lpstr>
      <vt:lpstr>UR HRM2</vt:lpstr>
      <vt:lpstr>SZ HRM1</vt:lpstr>
      <vt:lpstr>OW HRM2</vt:lpstr>
      <vt:lpstr>NW HRM2</vt:lpstr>
      <vt:lpstr>GL HRM2</vt:lpstr>
      <vt:lpstr>ZG HRM2</vt:lpstr>
      <vt:lpstr>FR HRM2</vt:lpstr>
      <vt:lpstr>SO HRM2</vt:lpstr>
      <vt:lpstr>BS HRM1</vt:lpstr>
      <vt:lpstr>BS HRM2</vt:lpstr>
      <vt:lpstr>BL HRM2</vt:lpstr>
      <vt:lpstr>SH HRM1</vt:lpstr>
      <vt:lpstr>AR HRM1</vt:lpstr>
      <vt:lpstr>AR HRM2</vt:lpstr>
      <vt:lpstr>AI HRM1</vt:lpstr>
      <vt:lpstr>SG HRM1</vt:lpstr>
      <vt:lpstr>SG HRM2</vt:lpstr>
      <vt:lpstr>GR HRM1</vt:lpstr>
      <vt:lpstr>GR HRM2</vt:lpstr>
      <vt:lpstr>AG HRM1</vt:lpstr>
      <vt:lpstr>AG HRM2</vt:lpstr>
      <vt:lpstr>TG HRM2</vt:lpstr>
      <vt:lpstr>TI MCH1</vt:lpstr>
      <vt:lpstr>TI MCH2</vt:lpstr>
      <vt:lpstr>VD MCH1</vt:lpstr>
      <vt:lpstr>VD MCH2</vt:lpstr>
      <vt:lpstr>VS MCH1</vt:lpstr>
      <vt:lpstr>NE MCH1</vt:lpstr>
      <vt:lpstr>GE MCH1</vt:lpstr>
      <vt:lpstr>GE IPSAS</vt:lpstr>
      <vt:lpstr>JU MCH2</vt:lpstr>
      <vt:lpstr>Rechnung 2012</vt:lpstr>
      <vt:lpstr>Budget 2013</vt:lpstr>
      <vt:lpstr>Rechnung 2013</vt:lpstr>
      <vt:lpstr>Budget 2014</vt:lpstr>
      <vt:lpstr>Übersicht Saldo L. R. </vt:lpstr>
      <vt:lpstr>Finanzierungsfehlbetrag</vt:lpstr>
      <vt:lpstr>Selbstfinanzierungsgrad</vt:lpstr>
      <vt:lpstr>CHF</vt:lpstr>
      <vt:lpstr>CHD</vt:lpstr>
      <vt:lpstr>'Budget 2014'!Abschluss_d</vt:lpstr>
      <vt:lpstr>Finanzierungsfehlbetrag!Abschluss_d</vt:lpstr>
      <vt:lpstr>'Rechnung 2012'!Abschluss_d</vt:lpstr>
      <vt:lpstr>'Rechnung 2013'!Abschluss_d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'Übersicht Saldo L. R. '!Abschluss_f</vt:lpstr>
      <vt:lpstr>ErgC</vt:lpstr>
      <vt:lpstr>ErgE</vt:lpstr>
      <vt:lpstr>ErgG</vt:lpstr>
      <vt:lpstr>'Budget 2014'!ErgI</vt:lpstr>
      <vt:lpstr>FI</vt:lpstr>
      <vt:lpstr>find</vt:lpstr>
      <vt:lpstr>LRd</vt:lpstr>
      <vt:lpstr>md</vt:lpstr>
      <vt:lpstr>'Budget 2014'!od</vt:lpstr>
      <vt:lpstr>'Budget 2013'!Print_Area</vt:lpstr>
      <vt:lpstr>'Budget 2014'!Print_Area</vt:lpstr>
      <vt:lpstr>Finanzierungsfehlbetrag!Print_Area</vt:lpstr>
      <vt:lpstr>'OW HRM2'!Print_Area</vt:lpstr>
      <vt:lpstr>'Rechnung 2012'!Print_Area</vt:lpstr>
      <vt:lpstr>'Rechnung 2013'!Print_Area</vt:lpstr>
      <vt:lpstr>Selbstfinanzierungsgrad!Print_Area</vt:lpstr>
      <vt:lpstr>'Übersicht Saldo L. R. '!Print_Area</vt:lpstr>
      <vt:lpstr>'ZH HRM2'!Print_Area</vt:lpstr>
      <vt:lpstr>'AG HRM2'!Print_Titles</vt:lpstr>
      <vt:lpstr>'AR HRM2'!Print_Titles</vt:lpstr>
      <vt:lpstr>'BL HRM2'!Print_Titles</vt:lpstr>
      <vt:lpstr>'BS HRM2'!Print_Titles</vt:lpstr>
      <vt:lpstr>'FR HRM2'!Print_Titles</vt:lpstr>
      <vt:lpstr>'GE IPSAS'!Print_Titles</vt:lpstr>
      <vt:lpstr>'GL HRM2'!Print_Titles</vt:lpstr>
      <vt:lpstr>'GR HRM2'!Print_Titles</vt:lpstr>
      <vt:lpstr>'JU MCH2'!Print_Titles</vt:lpstr>
      <vt:lpstr>'LU HRM2'!Print_Titles</vt:lpstr>
      <vt:lpstr>'NW HRM2'!Print_Titles</vt:lpstr>
      <vt:lpstr>'OW HRM2'!Print_Titles</vt:lpstr>
      <vt:lpstr>'SG HRM2'!Print_Titles</vt:lpstr>
      <vt:lpstr>'SO HRM2'!Print_Titles</vt:lpstr>
      <vt:lpstr>'TG HRM2'!Print_Titles</vt:lpstr>
      <vt:lpstr>'TI MCH2'!Print_Titles</vt:lpstr>
      <vt:lpstr>'UR HRM2'!Print_Titles</vt:lpstr>
      <vt:lpstr>'VD MCH2'!Print_Titles</vt:lpstr>
      <vt:lpstr>'ZG HRM2'!Print_Titles</vt:lpstr>
      <vt:lpstr>'ZH HRM2'!Print_Titles</vt:lpstr>
      <vt:lpstr>qd</vt:lpstr>
      <vt:lpstr>Saldo</vt:lpstr>
      <vt:lpstr>SaldoLR</vt:lpstr>
      <vt:lpstr>sd</vt:lpstr>
      <vt:lpstr>SF</vt:lpstr>
      <vt:lpstr>'Budget 2013'!SF_GradR</vt:lpstr>
      <vt:lpstr>'Budget 2014'!SF_GradR</vt:lpstr>
      <vt:lpstr>Finanzierungsfehlbetrag!SF_GradR</vt:lpstr>
      <vt:lpstr>'Rechnung 2012'!SF_GradR</vt:lpstr>
      <vt:lpstr>'Rechnung 2013'!SF_GradR</vt:lpstr>
      <vt:lpstr>Selbstfinanzierungsgrad!SF_GradR</vt:lpstr>
      <vt:lpstr>'Übersicht Saldo L. R. '!SF_GradR</vt:lpstr>
      <vt:lpstr>SFd</vt:lpstr>
      <vt:lpstr>TIFI</vt:lpstr>
      <vt:lpstr>TILR</vt:lpstr>
      <vt:lpstr>TISF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Gholam</dc:creator>
  <cp:lastModifiedBy>Grau, MarcChristopher</cp:lastModifiedBy>
  <cp:lastPrinted>2014-05-20T14:22:09Z</cp:lastPrinted>
  <dcterms:created xsi:type="dcterms:W3CDTF">2000-10-12T07:44:49Z</dcterms:created>
  <dcterms:modified xsi:type="dcterms:W3CDTF">2024-01-24T16:46:40Z</dcterms:modified>
</cp:coreProperties>
</file>