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marcgrau/Projects/work/xai-budgeting/data/raw/"/>
    </mc:Choice>
  </mc:AlternateContent>
  <xr:revisionPtr revIDLastSave="0" documentId="13_ncr:1_{1A51CA12-7957-6C42-BD35-AEDD7DBD6259}" xr6:coauthVersionLast="47" xr6:coauthVersionMax="47" xr10:uidLastSave="{00000000-0000-0000-0000-000000000000}"/>
  <bookViews>
    <workbookView xWindow="0" yWindow="760" windowWidth="29840" windowHeight="14460" tabRatio="967" activeTab="5" xr2:uid="{00000000-000D-0000-FFFF-FFFF00000000}"/>
  </bookViews>
  <sheets>
    <sheet name="ZH_HRM2" sheetId="63" r:id="rId1"/>
    <sheet name="BE HRM1" sheetId="13" r:id="rId2"/>
    <sheet name="LU_HRM2" sheetId="52" r:id="rId3"/>
    <sheet name="UR_HRM2" sheetId="60" r:id="rId4"/>
    <sheet name="SZ HRM1" sheetId="16" r:id="rId5"/>
    <sheet name="SZ_HRM2" sheetId="57" r:id="rId6"/>
    <sheet name="OW_HRM2" sheetId="53" r:id="rId7"/>
    <sheet name="NW_HRM2" sheetId="54" r:id="rId8"/>
    <sheet name="GL_HRM2" sheetId="49" r:id="rId9"/>
    <sheet name="ZG_HRM2" sheetId="62" r:id="rId10"/>
    <sheet name="FR_HRM2" sheetId="47" r:id="rId11"/>
    <sheet name="SO_HRM2" sheetId="56" r:id="rId12"/>
    <sheet name="BS_HRM2" sheetId="46" r:id="rId13"/>
    <sheet name="BL_HRM2" sheetId="45" r:id="rId14"/>
    <sheet name="SH HRM1" sheetId="25" r:id="rId15"/>
    <sheet name="AR_HRM2 " sheetId="44" r:id="rId16"/>
    <sheet name="AI HRM1" sheetId="27" r:id="rId17"/>
    <sheet name="AI_HRM2" sheetId="43" r:id="rId18"/>
    <sheet name="SG_HRM2" sheetId="55" r:id="rId19"/>
    <sheet name="GR_HRM2" sheetId="50" r:id="rId20"/>
    <sheet name="AG_HRM2" sheetId="42" r:id="rId21"/>
    <sheet name="TG_HRM2" sheetId="58" r:id="rId22"/>
    <sheet name="TI_HRM2" sheetId="59" r:id="rId23"/>
    <sheet name="VD_HRM2" sheetId="61" r:id="rId24"/>
    <sheet name="VS HRM1" sheetId="34" r:id="rId25"/>
    <sheet name="NE HRM1" sheetId="35" r:id="rId26"/>
    <sheet name="GE_HRM2" sheetId="48" r:id="rId27"/>
    <sheet name="JU_HRM2" sheetId="51" r:id="rId28"/>
    <sheet name="CHF" sheetId="38" r:id="rId29"/>
    <sheet name="CHD" sheetId="39" r:id="rId30"/>
    <sheet name="Ergebnisse Rechnung 2014" sheetId="71" r:id="rId31"/>
    <sheet name="Ergebnisse Budgets 2015" sheetId="72" r:id="rId32"/>
    <sheet name="Ergebnisse Rechnung 2015" sheetId="73" r:id="rId33"/>
    <sheet name="Budget 2016" sheetId="74" r:id="rId34"/>
    <sheet name="Übersicht Saldo L. R. " sheetId="75" r:id="rId35"/>
    <sheet name="Finanzierungsfehlbetrag" sheetId="76" r:id="rId36"/>
    <sheet name="Selbstfinanzierungsgrad" sheetId="77" r:id="rId37"/>
  </sheets>
  <definedNames>
    <definedName name="_xlnm._FilterDatabase" localSheetId="20" hidden="1">AG_HRM2!$A$1:$G$79</definedName>
    <definedName name="_xlnm._FilterDatabase" localSheetId="26" hidden="1">GE_HRM2!$A$1:$F$1</definedName>
    <definedName name="_xlnm._FilterDatabase" localSheetId="19" hidden="1">GR_HRM2!$A$1:$F$1</definedName>
    <definedName name="_xlnm._FilterDatabase" localSheetId="18" hidden="1">SG_HRM2!$A$1:$F$1</definedName>
    <definedName name="_xlnm._FilterDatabase" localSheetId="11" hidden="1">SO_HRM2!$A$1:$G$79</definedName>
    <definedName name="_xlnm._FilterDatabase" localSheetId="21" hidden="1">TG_HRM2!$A$1:$G$1</definedName>
    <definedName name="_xlnm._FilterDatabase" localSheetId="22" hidden="1">TI_HRM2!$A$1:$G$1</definedName>
    <definedName name="_xlnm._FilterDatabase" localSheetId="3" hidden="1">UR_HRM2!$A$1:$F$1</definedName>
    <definedName name="_xlnm._FilterDatabase" localSheetId="9" hidden="1">ZG_HRM2!$A$1:$F$1</definedName>
    <definedName name="_xlnm._FilterDatabase" localSheetId="0" hidden="1">ZH_HRM2!$A$1:$F$79</definedName>
    <definedName name="Abschluss_d" localSheetId="31">'Ergebnisse Budgets 2015'!$A$3:$E$38</definedName>
    <definedName name="Abschluss_d" localSheetId="32">'Ergebnisse Rechnung 2015'!$A$3:$E$38</definedName>
    <definedName name="Abschluss_d" localSheetId="35">Finanzierungsfehlbetrag!$A$2:$E$35</definedName>
    <definedName name="Abschluss_d" localSheetId="36">Selbstfinanzierungsgrad!$A$2:$E$34</definedName>
    <definedName name="Abschluss_d" localSheetId="34">'Übersicht Saldo L. R. '!$A$2:$E$35</definedName>
    <definedName name="Abschluss_d">#REF!</definedName>
    <definedName name="Abschluss_f" localSheetId="31">'Ergebnisse Budgets 2015'!#REF!</definedName>
    <definedName name="Abschluss_f" localSheetId="32">'Ergebnisse Rechnung 2015'!#REF!</definedName>
    <definedName name="Abschluss_f" localSheetId="35">Finanzierungsfehlbetrag!$I$2:$N$35</definedName>
    <definedName name="Abschluss_f" localSheetId="36">Selbstfinanzierungsgrad!$I$2:$N$34</definedName>
    <definedName name="Abschluss_f" localSheetId="34">'Übersicht Saldo L. R. '!#REF!</definedName>
    <definedName name="Abschluss_f">#REF!</definedName>
    <definedName name="AG">#REF!</definedName>
    <definedName name="AI">#REF!</definedName>
    <definedName name="AR">#REF!</definedName>
    <definedName name="BE">#REF!</definedName>
    <definedName name="BL">#REF!</definedName>
    <definedName name="BS">#REF!</definedName>
    <definedName name="CH">#REF!</definedName>
    <definedName name="CHF">#REF!</definedName>
    <definedName name="Dtext">#REF!</definedName>
    <definedName name="find">#REF!</definedName>
    <definedName name="FR">#REF!</definedName>
    <definedName name="Ftext">#REF!</definedName>
    <definedName name="GE">#REF!</definedName>
    <definedName name="GL">#REF!</definedName>
    <definedName name="GR">#REF!</definedName>
    <definedName name="head">#REF!</definedName>
    <definedName name="JU">#REF!</definedName>
    <definedName name="Kanton">#REF!</definedName>
    <definedName name="kantone" localSheetId="35">#REF!</definedName>
    <definedName name="kantone" localSheetId="36">#REF!</definedName>
    <definedName name="kantone" localSheetId="34">#REF!</definedName>
    <definedName name="kantone">#REF!</definedName>
    <definedName name="keywordtitel">#REF!</definedName>
    <definedName name="last">#REF!</definedName>
    <definedName name="LR" localSheetId="35">#REF!</definedName>
    <definedName name="LR" localSheetId="36">#REF!</definedName>
    <definedName name="LR">#REF!</definedName>
    <definedName name="LRd">#REF!</definedName>
    <definedName name="LU">#REF!</definedName>
    <definedName name="md">#REF!</definedName>
    <definedName name="mf">#REF!</definedName>
    <definedName name="Name">#REF!</definedName>
    <definedName name="Nameeinf" localSheetId="35">#REF!</definedName>
    <definedName name="Nameeinf" localSheetId="36">#REF!</definedName>
    <definedName name="NE">#REF!</definedName>
    <definedName name="NW">#REF!</definedName>
    <definedName name="od">#REF!</definedName>
    <definedName name="of">#REF!</definedName>
    <definedName name="OW">#REF!</definedName>
    <definedName name="_xlnm.Print_Area" localSheetId="20">AG_HRM2!$A$1:$C$179</definedName>
    <definedName name="_xlnm.Print_Area" localSheetId="17">AI_HRM2!$A$1:$C$108</definedName>
    <definedName name="_xlnm.Print_Area" localSheetId="15">'AR_HRM2 '!$A$1:$C$179</definedName>
    <definedName name="_xlnm.Print_Area" localSheetId="13">BL_HRM2!$A$1:$C$186</definedName>
    <definedName name="_xlnm.Print_Area" localSheetId="12">BS_HRM2!$A$1:$C$179</definedName>
    <definedName name="_xlnm.Print_Area" localSheetId="33">'Budget 2016'!$A$1:$F$39</definedName>
    <definedName name="_xlnm.Print_Area" localSheetId="29">CHD!$A$1:$I$43</definedName>
    <definedName name="_xlnm.Print_Area" localSheetId="28">CHF!$A$1:$I$43</definedName>
    <definedName name="_xlnm.Print_Area" localSheetId="31">'Ergebnisse Budgets 2015'!$A$1:$F$39</definedName>
    <definedName name="_xlnm.Print_Area" localSheetId="30">'Ergebnisse Rechnung 2014'!$A$2:$F$39</definedName>
    <definedName name="_xlnm.Print_Area" localSheetId="32">'Ergebnisse Rechnung 2015'!$A$2:$F$40</definedName>
    <definedName name="_xlnm.Print_Area" localSheetId="35">Finanzierungsfehlbetrag!$A$1:$G$33</definedName>
    <definedName name="_xlnm.Print_Area" localSheetId="10">FR_HRM2!$A$1:$C$186</definedName>
    <definedName name="_xlnm.Print_Area" localSheetId="26">GE_HRM2!$A$1:$C$186</definedName>
    <definedName name="_xlnm.Print_Area" localSheetId="8">GL_HRM2!$A$1:$C$179</definedName>
    <definedName name="_xlnm.Print_Area" localSheetId="19">GR_HRM2!$A$1:$C$179</definedName>
    <definedName name="_xlnm.Print_Area" localSheetId="27">JU_HRM2!$A$1:$C$179</definedName>
    <definedName name="_xlnm.Print_Area" localSheetId="2">LU_HRM2!$A$1:$C$179</definedName>
    <definedName name="_xlnm.Print_Area" localSheetId="7">NW_HRM2!$A$1:$C$79</definedName>
    <definedName name="_xlnm.Print_Area" localSheetId="6">OW_HRM2!$A$1:$C$179</definedName>
    <definedName name="_xlnm.Print_Area" localSheetId="36">Selbstfinanzierungsgrad!$A$1:$G$36</definedName>
    <definedName name="_xlnm.Print_Area" localSheetId="5">SZ_HRM2!$A$1:$C$108</definedName>
    <definedName name="_xlnm.Print_Area" localSheetId="21">TG_HRM2!$A$1:$C$179</definedName>
    <definedName name="_xlnm.Print_Area" localSheetId="22">TI_HRM2!$A$1:$C$186</definedName>
    <definedName name="_xlnm.Print_Area" localSheetId="34">'Übersicht Saldo L. R. '!$A$1:$G$34</definedName>
    <definedName name="_xlnm.Print_Area" localSheetId="3">UR_HRM2!$A$1:$C$179</definedName>
    <definedName name="_xlnm.Print_Area" localSheetId="23">VD_HRM2!$A$1:$G$81</definedName>
    <definedName name="_xlnm.Print_Area" localSheetId="0">ZH_HRM2!$A$1:$C$108</definedName>
    <definedName name="_xlnm.Print_Titles" localSheetId="20">AG_HRM2!$1:$2</definedName>
    <definedName name="_xlnm.Print_Titles" localSheetId="17">AI_HRM2!$A:$C,AI_HRM2!$1:$2</definedName>
    <definedName name="_xlnm.Print_Titles" localSheetId="15">'AR_HRM2 '!$1:$2</definedName>
    <definedName name="_xlnm.Print_Titles" localSheetId="13">BL_HRM2!$1:$2</definedName>
    <definedName name="_xlnm.Print_Titles" localSheetId="12">BS_HRM2!$1:$2</definedName>
    <definedName name="_xlnm.Print_Titles" localSheetId="10">FR_HRM2!$1:$2</definedName>
    <definedName name="_xlnm.Print_Titles" localSheetId="26">GE_HRM2!$1:$2</definedName>
    <definedName name="_xlnm.Print_Titles" localSheetId="8">GL_HRM2!$1:$2</definedName>
    <definedName name="_xlnm.Print_Titles" localSheetId="19">GR_HRM2!$1:$2</definedName>
    <definedName name="_xlnm.Print_Titles" localSheetId="27">JU_HRM2!$1:$2</definedName>
    <definedName name="_xlnm.Print_Titles" localSheetId="2">LU_HRM2!$1:$2</definedName>
    <definedName name="_xlnm.Print_Titles" localSheetId="7">NW_HRM2!$1:$2</definedName>
    <definedName name="_xlnm.Print_Titles" localSheetId="6">OW_HRM2!$1:$2</definedName>
    <definedName name="_xlnm.Print_Titles" localSheetId="18">SG_HRM2!$1:$2</definedName>
    <definedName name="_xlnm.Print_Titles" localSheetId="11">SO_HRM2!$1:$2</definedName>
    <definedName name="_xlnm.Print_Titles" localSheetId="5">SZ_HRM2!$A:$C,SZ_HRM2!$1:$2</definedName>
    <definedName name="_xlnm.Print_Titles" localSheetId="21">TG_HRM2!$1:$2</definedName>
    <definedName name="_xlnm.Print_Titles" localSheetId="22">TI_HRM2!$1:$2</definedName>
    <definedName name="_xlnm.Print_Titles" localSheetId="3">UR_HRM2!$1:$2</definedName>
    <definedName name="_xlnm.Print_Titles" localSheetId="23">VD_HRM2!$1:$2</definedName>
    <definedName name="_xlnm.Print_Titles" localSheetId="9">ZG_HRM2!$1:$2</definedName>
    <definedName name="_xlnm.Print_Titles" localSheetId="0">ZH_HRM2!$A:$C,ZH_HRM2!$1:$2</definedName>
    <definedName name="qd">#REF!</definedName>
    <definedName name="qf">#REF!</definedName>
    <definedName name="sd">#REF!</definedName>
    <definedName name="sf">#REF!</definedName>
    <definedName name="SF_GradR" localSheetId="31">'Ergebnisse Budgets 2015'!$A$3:$E$38</definedName>
    <definedName name="SF_GradR" localSheetId="30">'Ergebnisse Rechnung 2014'!$A$3:$E$38</definedName>
    <definedName name="SF_GradR" localSheetId="32">'Ergebnisse Rechnung 2015'!$A$3:$E$38</definedName>
    <definedName name="SF_GradR" localSheetId="35">Finanzierungsfehlbetrag!$A$2:$E$35</definedName>
    <definedName name="SF_GradR" localSheetId="36">Selbstfinanzierungsgrad!$A$2:$E$34</definedName>
    <definedName name="SF_GradR" localSheetId="34">'Übersicht Saldo L. R. '!$A$2:$E$35</definedName>
    <definedName name="SF_GradR">#REF!</definedName>
    <definedName name="SFd">#REF!</definedName>
    <definedName name="SFmitohne" localSheetId="35">#REF!</definedName>
    <definedName name="SFmitohne" localSheetId="36">#REF!</definedName>
    <definedName name="SG">#REF!</definedName>
    <definedName name="SH">#REF!</definedName>
    <definedName name="so">#REF!</definedName>
    <definedName name="sotxt">#REF!</definedName>
    <definedName name="SZ">#REF!</definedName>
    <definedName name="Text" localSheetId="35">#REF!</definedName>
    <definedName name="Text" localSheetId="36">#REF!</definedName>
    <definedName name="TG">#REF!</definedName>
    <definedName name="TI">#REF!</definedName>
    <definedName name="Umfrage" localSheetId="35">#REF!</definedName>
    <definedName name="Umfrage" localSheetId="36">#REF!</definedName>
    <definedName name="UR">#REF!</definedName>
    <definedName name="VD">#REF!</definedName>
    <definedName name="Verweis" localSheetId="35">#REF!</definedName>
    <definedName name="Verweis" localSheetId="36">#REF!</definedName>
    <definedName name="VS">#REF!</definedName>
    <definedName name="ZG">#REF!</definedName>
    <definedName name="ZH">#REF!</definedName>
    <definedName name="ZIANT" localSheetId="35">#REF!</definedName>
    <definedName name="ZIANT" localSheetId="36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3" i="63" l="1"/>
  <c r="G184" i="63" s="1"/>
  <c r="G172" i="63" s="1"/>
  <c r="F183" i="63"/>
  <c r="E183" i="63"/>
  <c r="D183" i="63"/>
  <c r="G181" i="63"/>
  <c r="F181" i="63"/>
  <c r="F185" i="63" s="1"/>
  <c r="E181" i="63"/>
  <c r="E185" i="63" s="1"/>
  <c r="D181" i="63"/>
  <c r="G180" i="63"/>
  <c r="G165" i="63" s="1"/>
  <c r="F180" i="63"/>
  <c r="E180" i="63"/>
  <c r="D180" i="63"/>
  <c r="G177" i="63"/>
  <c r="G157" i="63" s="1"/>
  <c r="F177" i="63"/>
  <c r="F165" i="63" s="1"/>
  <c r="E177" i="63"/>
  <c r="E165" i="63" s="1"/>
  <c r="D177" i="63"/>
  <c r="D157" i="63" s="1"/>
  <c r="G171" i="63"/>
  <c r="F171" i="63"/>
  <c r="E171" i="63"/>
  <c r="D171" i="63"/>
  <c r="G170" i="63"/>
  <c r="F170" i="63"/>
  <c r="E170" i="63"/>
  <c r="D170" i="63"/>
  <c r="G168" i="63"/>
  <c r="F168" i="63"/>
  <c r="F169" i="63" s="1"/>
  <c r="E168" i="63"/>
  <c r="D168" i="63"/>
  <c r="G163" i="63"/>
  <c r="F163" i="63"/>
  <c r="E163" i="63"/>
  <c r="D163" i="63"/>
  <c r="G159" i="63"/>
  <c r="G161" i="63" s="1"/>
  <c r="G156" i="63"/>
  <c r="F156" i="63"/>
  <c r="E156" i="63"/>
  <c r="D156" i="63"/>
  <c r="G140" i="63"/>
  <c r="F140" i="63"/>
  <c r="F133" i="63" s="1"/>
  <c r="F158" i="63" s="1"/>
  <c r="E140" i="63"/>
  <c r="E133" i="63" s="1"/>
  <c r="E158" i="63" s="1"/>
  <c r="D140" i="63"/>
  <c r="G134" i="63"/>
  <c r="G133" i="63" s="1"/>
  <c r="F134" i="63"/>
  <c r="E134" i="63"/>
  <c r="D134" i="63"/>
  <c r="D133" i="63"/>
  <c r="G121" i="63"/>
  <c r="F121" i="63"/>
  <c r="F159" i="63" s="1"/>
  <c r="F161" i="63" s="1"/>
  <c r="E121" i="63"/>
  <c r="E159" i="63" s="1"/>
  <c r="E161" i="63" s="1"/>
  <c r="D121" i="63"/>
  <c r="D159" i="63" s="1"/>
  <c r="D161" i="63" s="1"/>
  <c r="G117" i="63"/>
  <c r="F117" i="63"/>
  <c r="E117" i="63"/>
  <c r="D117" i="63"/>
  <c r="G112" i="63"/>
  <c r="G111" i="63" s="1"/>
  <c r="F112" i="63"/>
  <c r="F111" i="63" s="1"/>
  <c r="F167" i="63" s="1"/>
  <c r="E112" i="63"/>
  <c r="E111" i="63" s="1"/>
  <c r="E167" i="63" s="1"/>
  <c r="D112" i="63"/>
  <c r="D111" i="63" s="1"/>
  <c r="D167" i="63" s="1"/>
  <c r="G106" i="63"/>
  <c r="G107" i="63" s="1"/>
  <c r="G108" i="63" s="1"/>
  <c r="F106" i="63"/>
  <c r="E106" i="63"/>
  <c r="D106" i="63"/>
  <c r="G95" i="63"/>
  <c r="F95" i="63"/>
  <c r="E95" i="63"/>
  <c r="D95" i="63"/>
  <c r="G76" i="63"/>
  <c r="F76" i="63"/>
  <c r="E76" i="63"/>
  <c r="D76" i="63"/>
  <c r="G55" i="63"/>
  <c r="G166" i="63" s="1"/>
  <c r="F55" i="63"/>
  <c r="F166" i="63" s="1"/>
  <c r="E55" i="63"/>
  <c r="E166" i="63" s="1"/>
  <c r="D55" i="63"/>
  <c r="D166" i="63" s="1"/>
  <c r="G36" i="63"/>
  <c r="F36" i="63"/>
  <c r="F79" i="63" s="1"/>
  <c r="E36" i="63"/>
  <c r="E79" i="63" s="1"/>
  <c r="D36" i="63"/>
  <c r="D37" i="63" s="1"/>
  <c r="G21" i="63"/>
  <c r="G78" i="63" s="1"/>
  <c r="G178" i="63" s="1"/>
  <c r="F21" i="63"/>
  <c r="F78" i="63" s="1"/>
  <c r="F178" i="63" s="1"/>
  <c r="E21" i="63"/>
  <c r="E78" i="63" s="1"/>
  <c r="E178" i="63" s="1"/>
  <c r="D21" i="63"/>
  <c r="D78" i="63" s="1"/>
  <c r="D178" i="63" s="1"/>
  <c r="G183" i="62"/>
  <c r="G184" i="62" s="1"/>
  <c r="G172" i="62" s="1"/>
  <c r="F183" i="62"/>
  <c r="F184" i="62" s="1"/>
  <c r="F172" i="62" s="1"/>
  <c r="E183" i="62"/>
  <c r="D183" i="62"/>
  <c r="D184" i="62" s="1"/>
  <c r="D172" i="62" s="1"/>
  <c r="G181" i="62"/>
  <c r="F181" i="62"/>
  <c r="F185" i="62" s="1"/>
  <c r="E181" i="62"/>
  <c r="E185" i="62" s="1"/>
  <c r="D181" i="62"/>
  <c r="G180" i="62"/>
  <c r="G165" i="62" s="1"/>
  <c r="F180" i="62"/>
  <c r="E180" i="62"/>
  <c r="D180" i="62"/>
  <c r="G177" i="62"/>
  <c r="F177" i="62"/>
  <c r="E177" i="62"/>
  <c r="D177" i="62"/>
  <c r="D157" i="62" s="1"/>
  <c r="G171" i="62"/>
  <c r="F171" i="62"/>
  <c r="E171" i="62"/>
  <c r="D171" i="62"/>
  <c r="G170" i="62"/>
  <c r="F170" i="62"/>
  <c r="E170" i="62"/>
  <c r="D170" i="62"/>
  <c r="G168" i="62"/>
  <c r="F168" i="62"/>
  <c r="F169" i="62" s="1"/>
  <c r="E168" i="62"/>
  <c r="D168" i="62"/>
  <c r="F165" i="62"/>
  <c r="E165" i="62"/>
  <c r="G163" i="62"/>
  <c r="F163" i="62"/>
  <c r="E163" i="62"/>
  <c r="D163" i="62"/>
  <c r="G156" i="62"/>
  <c r="F156" i="62"/>
  <c r="E156" i="62"/>
  <c r="E157" i="62" s="1"/>
  <c r="D156" i="62"/>
  <c r="G140" i="62"/>
  <c r="F140" i="62"/>
  <c r="F133" i="62" s="1"/>
  <c r="E140" i="62"/>
  <c r="D140" i="62"/>
  <c r="G134" i="62"/>
  <c r="F134" i="62"/>
  <c r="E134" i="62"/>
  <c r="D134" i="62"/>
  <c r="G133" i="62"/>
  <c r="E133" i="62"/>
  <c r="D133" i="62"/>
  <c r="G121" i="62"/>
  <c r="G159" i="62" s="1"/>
  <c r="G161" i="62" s="1"/>
  <c r="F121" i="62"/>
  <c r="F159" i="62" s="1"/>
  <c r="F161" i="62" s="1"/>
  <c r="E121" i="62"/>
  <c r="E159" i="62" s="1"/>
  <c r="E161" i="62" s="1"/>
  <c r="D121" i="62"/>
  <c r="D159" i="62" s="1"/>
  <c r="D161" i="62" s="1"/>
  <c r="G117" i="62"/>
  <c r="F117" i="62"/>
  <c r="E117" i="62"/>
  <c r="E111" i="62" s="1"/>
  <c r="D117" i="62"/>
  <c r="D113" i="62"/>
  <c r="D112" i="62" s="1"/>
  <c r="D111" i="62" s="1"/>
  <c r="G112" i="62"/>
  <c r="F112" i="62"/>
  <c r="F111" i="62" s="1"/>
  <c r="F167" i="62" s="1"/>
  <c r="E112" i="62"/>
  <c r="G106" i="62"/>
  <c r="F106" i="62"/>
  <c r="E106" i="62"/>
  <c r="E107" i="62" s="1"/>
  <c r="D106" i="62"/>
  <c r="G95" i="62"/>
  <c r="F95" i="62"/>
  <c r="E95" i="62"/>
  <c r="D95" i="62"/>
  <c r="D107" i="62" s="1"/>
  <c r="E78" i="62"/>
  <c r="E178" i="62" s="1"/>
  <c r="G76" i="62"/>
  <c r="F76" i="62"/>
  <c r="E76" i="62"/>
  <c r="D76" i="62"/>
  <c r="G55" i="62"/>
  <c r="G166" i="62" s="1"/>
  <c r="F55" i="62"/>
  <c r="F166" i="62" s="1"/>
  <c r="E55" i="62"/>
  <c r="E166" i="62" s="1"/>
  <c r="D55" i="62"/>
  <c r="D166" i="62" s="1"/>
  <c r="G36" i="62"/>
  <c r="G79" i="62" s="1"/>
  <c r="F36" i="62"/>
  <c r="F79" i="62" s="1"/>
  <c r="E36" i="62"/>
  <c r="E79" i="62" s="1"/>
  <c r="D36" i="62"/>
  <c r="D37" i="62" s="1"/>
  <c r="G21" i="62"/>
  <c r="G78" i="62" s="1"/>
  <c r="G178" i="62" s="1"/>
  <c r="G179" i="62" s="1"/>
  <c r="F21" i="62"/>
  <c r="F78" i="62" s="1"/>
  <c r="F178" i="62" s="1"/>
  <c r="E21" i="62"/>
  <c r="D21" i="62"/>
  <c r="D78" i="62" s="1"/>
  <c r="D178" i="62" s="1"/>
  <c r="G183" i="61"/>
  <c r="F183" i="61"/>
  <c r="E183" i="61"/>
  <c r="E184" i="61" s="1"/>
  <c r="E172" i="61" s="1"/>
  <c r="D183" i="61"/>
  <c r="G181" i="61"/>
  <c r="G185" i="61" s="1"/>
  <c r="F181" i="61"/>
  <c r="F185" i="61" s="1"/>
  <c r="E181" i="61"/>
  <c r="D181" i="61"/>
  <c r="G180" i="61"/>
  <c r="F180" i="61"/>
  <c r="E180" i="61"/>
  <c r="D180" i="61"/>
  <c r="G177" i="61"/>
  <c r="F177" i="61"/>
  <c r="F165" i="61" s="1"/>
  <c r="E177" i="61"/>
  <c r="E165" i="61" s="1"/>
  <c r="D177" i="61"/>
  <c r="G171" i="61"/>
  <c r="F171" i="61"/>
  <c r="E171" i="61"/>
  <c r="D171" i="61"/>
  <c r="G170" i="61"/>
  <c r="F170" i="61"/>
  <c r="E170" i="61"/>
  <c r="D170" i="61"/>
  <c r="G168" i="61"/>
  <c r="F168" i="61"/>
  <c r="E168" i="61"/>
  <c r="D168" i="61"/>
  <c r="G165" i="61"/>
  <c r="G163" i="61"/>
  <c r="F163" i="61"/>
  <c r="E163" i="61"/>
  <c r="D163" i="61"/>
  <c r="G156" i="61"/>
  <c r="G157" i="61" s="1"/>
  <c r="F156" i="61"/>
  <c r="F157" i="61" s="1"/>
  <c r="E156" i="61"/>
  <c r="E157" i="61" s="1"/>
  <c r="D156" i="61"/>
  <c r="G140" i="61"/>
  <c r="F140" i="61"/>
  <c r="E140" i="61"/>
  <c r="D140" i="61"/>
  <c r="G134" i="61"/>
  <c r="G133" i="61" s="1"/>
  <c r="F134" i="61"/>
  <c r="F133" i="61" s="1"/>
  <c r="F147" i="61" s="1"/>
  <c r="E134" i="61"/>
  <c r="E133" i="61" s="1"/>
  <c r="D134" i="61"/>
  <c r="D133" i="61" s="1"/>
  <c r="G121" i="61"/>
  <c r="G159" i="61" s="1"/>
  <c r="G161" i="61" s="1"/>
  <c r="F121" i="61"/>
  <c r="F159" i="61" s="1"/>
  <c r="F161" i="61" s="1"/>
  <c r="E121" i="61"/>
  <c r="E159" i="61" s="1"/>
  <c r="E161" i="61" s="1"/>
  <c r="D121" i="61"/>
  <c r="D159" i="61" s="1"/>
  <c r="D161" i="61" s="1"/>
  <c r="G117" i="61"/>
  <c r="G111" i="61" s="1"/>
  <c r="F117" i="61"/>
  <c r="E117" i="61"/>
  <c r="D117" i="61"/>
  <c r="G112" i="61"/>
  <c r="F112" i="61"/>
  <c r="E112" i="61"/>
  <c r="D112" i="61"/>
  <c r="D111" i="61" s="1"/>
  <c r="D167" i="61" s="1"/>
  <c r="F111" i="61"/>
  <c r="E111" i="61"/>
  <c r="E131" i="61" s="1"/>
  <c r="G106" i="61"/>
  <c r="F106" i="61"/>
  <c r="E106" i="61"/>
  <c r="D106" i="61"/>
  <c r="G95" i="61"/>
  <c r="G107" i="61" s="1"/>
  <c r="F95" i="61"/>
  <c r="F107" i="61" s="1"/>
  <c r="E95" i="61"/>
  <c r="E107" i="61" s="1"/>
  <c r="D95" i="61"/>
  <c r="D107" i="61" s="1"/>
  <c r="F79" i="61"/>
  <c r="G76" i="61"/>
  <c r="F76" i="61"/>
  <c r="E76" i="61"/>
  <c r="D76" i="61"/>
  <c r="G55" i="61"/>
  <c r="G166" i="61" s="1"/>
  <c r="F55" i="61"/>
  <c r="E55" i="61"/>
  <c r="D55" i="61"/>
  <c r="D166" i="61" s="1"/>
  <c r="F37" i="61"/>
  <c r="G36" i="61"/>
  <c r="F36" i="61"/>
  <c r="E36" i="61"/>
  <c r="E79" i="61" s="1"/>
  <c r="D36" i="61"/>
  <c r="D79" i="61" s="1"/>
  <c r="G21" i="61"/>
  <c r="G78" i="61" s="1"/>
  <c r="G178" i="61" s="1"/>
  <c r="F21" i="61"/>
  <c r="F78" i="61" s="1"/>
  <c r="F178" i="61" s="1"/>
  <c r="E21" i="61"/>
  <c r="E78" i="61" s="1"/>
  <c r="E178" i="61" s="1"/>
  <c r="E164" i="61" s="1"/>
  <c r="D21" i="61"/>
  <c r="D78" i="61" s="1"/>
  <c r="D178" i="61" s="1"/>
  <c r="G183" i="60"/>
  <c r="G184" i="60" s="1"/>
  <c r="G172" i="60" s="1"/>
  <c r="F183" i="60"/>
  <c r="E183" i="60"/>
  <c r="D183" i="60"/>
  <c r="G181" i="60"/>
  <c r="F181" i="60"/>
  <c r="G180" i="60"/>
  <c r="F180" i="60"/>
  <c r="E180" i="60"/>
  <c r="D180" i="60"/>
  <c r="G177" i="60"/>
  <c r="F177" i="60"/>
  <c r="G171" i="60"/>
  <c r="F171" i="60"/>
  <c r="F182" i="60" s="1"/>
  <c r="E171" i="60"/>
  <c r="D171" i="60"/>
  <c r="G170" i="60"/>
  <c r="F170" i="60"/>
  <c r="E170" i="60"/>
  <c r="D170" i="60"/>
  <c r="F169" i="60"/>
  <c r="G168" i="60"/>
  <c r="F168" i="60"/>
  <c r="E168" i="60"/>
  <c r="D168" i="60"/>
  <c r="G165" i="60"/>
  <c r="G163" i="60"/>
  <c r="F163" i="60"/>
  <c r="E163" i="60"/>
  <c r="D163" i="60"/>
  <c r="F159" i="60"/>
  <c r="F161" i="60" s="1"/>
  <c r="F157" i="60"/>
  <c r="G156" i="60"/>
  <c r="G157" i="60" s="1"/>
  <c r="F156" i="60"/>
  <c r="E156" i="60"/>
  <c r="D156" i="60"/>
  <c r="G140" i="60"/>
  <c r="F140" i="60"/>
  <c r="E140" i="60"/>
  <c r="D140" i="60"/>
  <c r="G134" i="60"/>
  <c r="G133" i="60" s="1"/>
  <c r="F134" i="60"/>
  <c r="F133" i="60" s="1"/>
  <c r="E134" i="60"/>
  <c r="E133" i="60" s="1"/>
  <c r="D134" i="60"/>
  <c r="D133" i="60" s="1"/>
  <c r="D122" i="60"/>
  <c r="D121" i="60" s="1"/>
  <c r="D159" i="60" s="1"/>
  <c r="D161" i="60" s="1"/>
  <c r="G121" i="60"/>
  <c r="G159" i="60" s="1"/>
  <c r="G161" i="60" s="1"/>
  <c r="F121" i="60"/>
  <c r="E121" i="60"/>
  <c r="E159" i="60" s="1"/>
  <c r="E161" i="60" s="1"/>
  <c r="G117" i="60"/>
  <c r="F117" i="60"/>
  <c r="E117" i="60"/>
  <c r="D117" i="60"/>
  <c r="D113" i="60"/>
  <c r="D112" i="60" s="1"/>
  <c r="D111" i="60" s="1"/>
  <c r="G112" i="60"/>
  <c r="F112" i="60"/>
  <c r="F111" i="60" s="1"/>
  <c r="E112" i="60"/>
  <c r="E111" i="60" s="1"/>
  <c r="G106" i="60"/>
  <c r="F106" i="60"/>
  <c r="E106" i="60"/>
  <c r="D106" i="60"/>
  <c r="G95" i="60"/>
  <c r="G107" i="60" s="1"/>
  <c r="G108" i="60" s="1"/>
  <c r="F95" i="60"/>
  <c r="F107" i="60" s="1"/>
  <c r="F108" i="60" s="1"/>
  <c r="E95" i="60"/>
  <c r="D95" i="60"/>
  <c r="G76" i="60"/>
  <c r="F76" i="60"/>
  <c r="E76" i="60"/>
  <c r="D76" i="60"/>
  <c r="G55" i="60"/>
  <c r="F55" i="60"/>
  <c r="F166" i="60" s="1"/>
  <c r="E55" i="60"/>
  <c r="E166" i="60" s="1"/>
  <c r="D55" i="60"/>
  <c r="D166" i="60" s="1"/>
  <c r="G36" i="60"/>
  <c r="G79" i="60" s="1"/>
  <c r="F36" i="60"/>
  <c r="F79" i="60" s="1"/>
  <c r="E23" i="60"/>
  <c r="D23" i="60"/>
  <c r="E22" i="60"/>
  <c r="D22" i="60"/>
  <c r="G21" i="60"/>
  <c r="G78" i="60" s="1"/>
  <c r="G178" i="60" s="1"/>
  <c r="F21" i="60"/>
  <c r="F78" i="60" s="1"/>
  <c r="F178" i="60" s="1"/>
  <c r="F179" i="60" s="1"/>
  <c r="E21" i="60"/>
  <c r="E78" i="60" s="1"/>
  <c r="E178" i="60" s="1"/>
  <c r="D21" i="60"/>
  <c r="D78" i="60" s="1"/>
  <c r="D178" i="60" s="1"/>
  <c r="G183" i="59"/>
  <c r="F183" i="59"/>
  <c r="E183" i="59"/>
  <c r="D183" i="59"/>
  <c r="G181" i="59"/>
  <c r="F181" i="59"/>
  <c r="E181" i="59"/>
  <c r="E185" i="59" s="1"/>
  <c r="D181" i="59"/>
  <c r="D185" i="59" s="1"/>
  <c r="G180" i="59"/>
  <c r="G165" i="59" s="1"/>
  <c r="F180" i="59"/>
  <c r="F165" i="59" s="1"/>
  <c r="E180" i="59"/>
  <c r="E165" i="59" s="1"/>
  <c r="D180" i="59"/>
  <c r="D165" i="59" s="1"/>
  <c r="G177" i="59"/>
  <c r="F177" i="59"/>
  <c r="E177" i="59"/>
  <c r="D177" i="59"/>
  <c r="G171" i="59"/>
  <c r="F171" i="59"/>
  <c r="E171" i="59"/>
  <c r="D171" i="59"/>
  <c r="G170" i="59"/>
  <c r="F170" i="59"/>
  <c r="E170" i="59"/>
  <c r="D170" i="59"/>
  <c r="G168" i="59"/>
  <c r="F168" i="59"/>
  <c r="F169" i="59" s="1"/>
  <c r="E168" i="59"/>
  <c r="E169" i="59" s="1"/>
  <c r="D168" i="59"/>
  <c r="D169" i="59" s="1"/>
  <c r="E166" i="59"/>
  <c r="G163" i="59"/>
  <c r="F163" i="59"/>
  <c r="E163" i="59"/>
  <c r="D163" i="59"/>
  <c r="G156" i="59"/>
  <c r="G157" i="59" s="1"/>
  <c r="F156" i="59"/>
  <c r="F157" i="59" s="1"/>
  <c r="E156" i="59"/>
  <c r="D156" i="59"/>
  <c r="G140" i="59"/>
  <c r="F140" i="59"/>
  <c r="E140" i="59"/>
  <c r="D140" i="59"/>
  <c r="G134" i="59"/>
  <c r="F134" i="59"/>
  <c r="F133" i="59" s="1"/>
  <c r="F158" i="59" s="1"/>
  <c r="E134" i="59"/>
  <c r="E133" i="59" s="1"/>
  <c r="E158" i="59" s="1"/>
  <c r="D134" i="59"/>
  <c r="D133" i="59" s="1"/>
  <c r="D158" i="59" s="1"/>
  <c r="G133" i="59"/>
  <c r="G121" i="59"/>
  <c r="G159" i="59" s="1"/>
  <c r="G161" i="59" s="1"/>
  <c r="F121" i="59"/>
  <c r="F159" i="59" s="1"/>
  <c r="F161" i="59" s="1"/>
  <c r="E121" i="59"/>
  <c r="E159" i="59" s="1"/>
  <c r="E161" i="59" s="1"/>
  <c r="D121" i="59"/>
  <c r="D159" i="59" s="1"/>
  <c r="D161" i="59" s="1"/>
  <c r="G117" i="59"/>
  <c r="F117" i="59"/>
  <c r="E117" i="59"/>
  <c r="D117" i="59"/>
  <c r="G112" i="59"/>
  <c r="G111" i="59" s="1"/>
  <c r="G167" i="59" s="1"/>
  <c r="F112" i="59"/>
  <c r="E112" i="59"/>
  <c r="D112" i="59"/>
  <c r="F111" i="59"/>
  <c r="F167" i="59" s="1"/>
  <c r="E111" i="59"/>
  <c r="E167" i="59" s="1"/>
  <c r="D111" i="59"/>
  <c r="D167" i="59" s="1"/>
  <c r="G106" i="59"/>
  <c r="F106" i="59"/>
  <c r="E106" i="59"/>
  <c r="D106" i="59"/>
  <c r="G95" i="59"/>
  <c r="F95" i="59"/>
  <c r="E95" i="59"/>
  <c r="D95" i="59"/>
  <c r="D107" i="59" s="1"/>
  <c r="E79" i="59"/>
  <c r="D79" i="59"/>
  <c r="G76" i="59"/>
  <c r="F76" i="59"/>
  <c r="E76" i="59"/>
  <c r="D76" i="59"/>
  <c r="G55" i="59"/>
  <c r="G166" i="59" s="1"/>
  <c r="F55" i="59"/>
  <c r="F166" i="59" s="1"/>
  <c r="E55" i="59"/>
  <c r="D55" i="59"/>
  <c r="D166" i="59" s="1"/>
  <c r="G36" i="59"/>
  <c r="G79" i="59" s="1"/>
  <c r="F36" i="59"/>
  <c r="F79" i="59" s="1"/>
  <c r="E36" i="59"/>
  <c r="E37" i="59" s="1"/>
  <c r="D36" i="59"/>
  <c r="D37" i="59" s="1"/>
  <c r="G21" i="59"/>
  <c r="G78" i="59" s="1"/>
  <c r="G178" i="59" s="1"/>
  <c r="F21" i="59"/>
  <c r="F78" i="59" s="1"/>
  <c r="F178" i="59" s="1"/>
  <c r="E21" i="59"/>
  <c r="E78" i="59" s="1"/>
  <c r="E178" i="59" s="1"/>
  <c r="D21" i="59"/>
  <c r="D78" i="59" s="1"/>
  <c r="D178" i="59" s="1"/>
  <c r="G183" i="58"/>
  <c r="F183" i="58"/>
  <c r="E183" i="58"/>
  <c r="D183" i="58"/>
  <c r="G181" i="58"/>
  <c r="G185" i="58" s="1"/>
  <c r="F181" i="58"/>
  <c r="E181" i="58"/>
  <c r="D181" i="58"/>
  <c r="G180" i="58"/>
  <c r="F180" i="58"/>
  <c r="E180" i="58"/>
  <c r="D180" i="58"/>
  <c r="D165" i="58" s="1"/>
  <c r="G177" i="58"/>
  <c r="G165" i="58" s="1"/>
  <c r="F177" i="58"/>
  <c r="F165" i="58" s="1"/>
  <c r="E177" i="58"/>
  <c r="D177" i="58"/>
  <c r="G171" i="58"/>
  <c r="F171" i="58"/>
  <c r="E171" i="58"/>
  <c r="D171" i="58"/>
  <c r="G170" i="58"/>
  <c r="F170" i="58"/>
  <c r="E170" i="58"/>
  <c r="D170" i="58"/>
  <c r="G168" i="58"/>
  <c r="F168" i="58"/>
  <c r="E168" i="58"/>
  <c r="D168" i="58"/>
  <c r="D169" i="58" s="1"/>
  <c r="G163" i="58"/>
  <c r="F163" i="58"/>
  <c r="E163" i="58"/>
  <c r="D163" i="58"/>
  <c r="G161" i="58"/>
  <c r="G160" i="58"/>
  <c r="G156" i="58"/>
  <c r="F156" i="58"/>
  <c r="E156" i="58"/>
  <c r="D156" i="58"/>
  <c r="D157" i="58" s="1"/>
  <c r="G140" i="58"/>
  <c r="F140" i="58"/>
  <c r="E140" i="58"/>
  <c r="D140" i="58"/>
  <c r="G134" i="58"/>
  <c r="F134" i="58"/>
  <c r="E134" i="58"/>
  <c r="D134" i="58"/>
  <c r="G133" i="58"/>
  <c r="F133" i="58"/>
  <c r="E133" i="58"/>
  <c r="D133" i="58"/>
  <c r="G121" i="58"/>
  <c r="G159" i="58" s="1"/>
  <c r="F121" i="58"/>
  <c r="F159" i="58" s="1"/>
  <c r="F161" i="58" s="1"/>
  <c r="E121" i="58"/>
  <c r="E159" i="58" s="1"/>
  <c r="E161" i="58" s="1"/>
  <c r="D121" i="58"/>
  <c r="D159" i="58" s="1"/>
  <c r="D161" i="58" s="1"/>
  <c r="G117" i="58"/>
  <c r="F117" i="58"/>
  <c r="E117" i="58"/>
  <c r="D117" i="58"/>
  <c r="G112" i="58"/>
  <c r="G111" i="58" s="1"/>
  <c r="G167" i="58" s="1"/>
  <c r="F112" i="58"/>
  <c r="F111" i="58" s="1"/>
  <c r="F167" i="58" s="1"/>
  <c r="E112" i="58"/>
  <c r="E111" i="58" s="1"/>
  <c r="E167" i="58" s="1"/>
  <c r="D112" i="58"/>
  <c r="D111" i="58" s="1"/>
  <c r="D167" i="58" s="1"/>
  <c r="G106" i="58"/>
  <c r="F106" i="58"/>
  <c r="E106" i="58"/>
  <c r="E107" i="58" s="1"/>
  <c r="D106" i="58"/>
  <c r="G95" i="58"/>
  <c r="F95" i="58"/>
  <c r="E95" i="58"/>
  <c r="D95" i="58"/>
  <c r="D78" i="58"/>
  <c r="D178" i="58" s="1"/>
  <c r="G76" i="58"/>
  <c r="F76" i="58"/>
  <c r="E76" i="58"/>
  <c r="D76" i="58"/>
  <c r="G55" i="58"/>
  <c r="G166" i="58" s="1"/>
  <c r="F55" i="58"/>
  <c r="F166" i="58" s="1"/>
  <c r="E55" i="58"/>
  <c r="E166" i="58" s="1"/>
  <c r="D55" i="58"/>
  <c r="D166" i="58" s="1"/>
  <c r="G36" i="58"/>
  <c r="G79" i="58" s="1"/>
  <c r="F36" i="58"/>
  <c r="F79" i="58" s="1"/>
  <c r="E36" i="58"/>
  <c r="E79" i="58" s="1"/>
  <c r="D36" i="58"/>
  <c r="D79" i="58" s="1"/>
  <c r="G21" i="58"/>
  <c r="G78" i="58" s="1"/>
  <c r="G178" i="58" s="1"/>
  <c r="F21" i="58"/>
  <c r="F78" i="58" s="1"/>
  <c r="F178" i="58" s="1"/>
  <c r="E21" i="58"/>
  <c r="E78" i="58" s="1"/>
  <c r="E178" i="58" s="1"/>
  <c r="D21" i="58"/>
  <c r="G183" i="57"/>
  <c r="F183" i="57"/>
  <c r="E183" i="57"/>
  <c r="D183" i="57"/>
  <c r="G181" i="57"/>
  <c r="G185" i="57" s="1"/>
  <c r="F181" i="57"/>
  <c r="F185" i="57" s="1"/>
  <c r="E181" i="57"/>
  <c r="D181" i="57"/>
  <c r="G180" i="57"/>
  <c r="F180" i="57"/>
  <c r="E180" i="57"/>
  <c r="D180" i="57"/>
  <c r="G177" i="57"/>
  <c r="G165" i="57" s="1"/>
  <c r="F177" i="57"/>
  <c r="F151" i="57" s="1"/>
  <c r="E177" i="57"/>
  <c r="E151" i="57" s="1"/>
  <c r="D177" i="57"/>
  <c r="D151" i="57" s="1"/>
  <c r="G171" i="57"/>
  <c r="F171" i="57"/>
  <c r="E171" i="57"/>
  <c r="D171" i="57"/>
  <c r="G170" i="57"/>
  <c r="F170" i="57"/>
  <c r="E170" i="57"/>
  <c r="D170" i="57"/>
  <c r="E169" i="57"/>
  <c r="G168" i="57"/>
  <c r="F168" i="57"/>
  <c r="E168" i="57"/>
  <c r="D168" i="57"/>
  <c r="E165" i="57"/>
  <c r="G163" i="57"/>
  <c r="F163" i="57"/>
  <c r="E163" i="57"/>
  <c r="D163" i="57"/>
  <c r="F162" i="57"/>
  <c r="E162" i="57"/>
  <c r="D162" i="57"/>
  <c r="G161" i="57"/>
  <c r="F161" i="57"/>
  <c r="E161" i="57"/>
  <c r="D161" i="57"/>
  <c r="G160" i="57"/>
  <c r="F160" i="57"/>
  <c r="E160" i="57"/>
  <c r="D160" i="57"/>
  <c r="F157" i="57"/>
  <c r="E157" i="57"/>
  <c r="D157" i="57"/>
  <c r="G156" i="57"/>
  <c r="F156" i="57"/>
  <c r="E156" i="57"/>
  <c r="D156" i="57"/>
  <c r="G140" i="57"/>
  <c r="F140" i="57"/>
  <c r="E140" i="57"/>
  <c r="D140" i="57"/>
  <c r="G134" i="57"/>
  <c r="G133" i="57" s="1"/>
  <c r="F134" i="57"/>
  <c r="E134" i="57"/>
  <c r="D134" i="57"/>
  <c r="F133" i="57"/>
  <c r="E133" i="57"/>
  <c r="E147" i="57" s="1"/>
  <c r="D133" i="57"/>
  <c r="D147" i="57" s="1"/>
  <c r="G121" i="57"/>
  <c r="G159" i="57" s="1"/>
  <c r="F121" i="57"/>
  <c r="F159" i="57" s="1"/>
  <c r="E121" i="57"/>
  <c r="E159" i="57" s="1"/>
  <c r="D121" i="57"/>
  <c r="D159" i="57" s="1"/>
  <c r="G117" i="57"/>
  <c r="F117" i="57"/>
  <c r="E117" i="57"/>
  <c r="D117" i="57"/>
  <c r="G112" i="57"/>
  <c r="G111" i="57" s="1"/>
  <c r="G167" i="57" s="1"/>
  <c r="F112" i="57"/>
  <c r="F111" i="57" s="1"/>
  <c r="F167" i="57" s="1"/>
  <c r="E112" i="57"/>
  <c r="E111" i="57" s="1"/>
  <c r="E167" i="57" s="1"/>
  <c r="D112" i="57"/>
  <c r="D111" i="57" s="1"/>
  <c r="G106" i="57"/>
  <c r="F106" i="57"/>
  <c r="E106" i="57"/>
  <c r="D106" i="57"/>
  <c r="G95" i="57"/>
  <c r="G107" i="57" s="1"/>
  <c r="F95" i="57"/>
  <c r="E95" i="57"/>
  <c r="D95" i="57"/>
  <c r="G76" i="57"/>
  <c r="F76" i="57"/>
  <c r="E76" i="57"/>
  <c r="D76" i="57"/>
  <c r="G55" i="57"/>
  <c r="G166" i="57" s="1"/>
  <c r="F55" i="57"/>
  <c r="F166" i="57" s="1"/>
  <c r="E55" i="57"/>
  <c r="E166" i="57" s="1"/>
  <c r="D55" i="57"/>
  <c r="D166" i="57" s="1"/>
  <c r="G36" i="57"/>
  <c r="G79" i="57" s="1"/>
  <c r="F36" i="57"/>
  <c r="F79" i="57" s="1"/>
  <c r="E36" i="57"/>
  <c r="E79" i="57" s="1"/>
  <c r="D36" i="57"/>
  <c r="D79" i="57" s="1"/>
  <c r="G21" i="57"/>
  <c r="G78" i="57" s="1"/>
  <c r="G178" i="57" s="1"/>
  <c r="F21" i="57"/>
  <c r="F78" i="57" s="1"/>
  <c r="F178" i="57" s="1"/>
  <c r="E21" i="57"/>
  <c r="E78" i="57" s="1"/>
  <c r="E178" i="57" s="1"/>
  <c r="E164" i="57" s="1"/>
  <c r="D21" i="57"/>
  <c r="D78" i="57" s="1"/>
  <c r="D178" i="57" s="1"/>
  <c r="G183" i="56"/>
  <c r="F183" i="56"/>
  <c r="E183" i="56"/>
  <c r="D183" i="56"/>
  <c r="G181" i="56"/>
  <c r="F181" i="56"/>
  <c r="F185" i="56" s="1"/>
  <c r="E181" i="56"/>
  <c r="E185" i="56" s="1"/>
  <c r="D181" i="56"/>
  <c r="D185" i="56" s="1"/>
  <c r="G180" i="56"/>
  <c r="F180" i="56"/>
  <c r="E180" i="56"/>
  <c r="D180" i="56"/>
  <c r="G177" i="56"/>
  <c r="F177" i="56"/>
  <c r="E177" i="56"/>
  <c r="D177" i="56"/>
  <c r="D165" i="56" s="1"/>
  <c r="G171" i="56"/>
  <c r="F171" i="56"/>
  <c r="E171" i="56"/>
  <c r="D171" i="56"/>
  <c r="G170" i="56"/>
  <c r="F170" i="56"/>
  <c r="E170" i="56"/>
  <c r="D170" i="56"/>
  <c r="G168" i="56"/>
  <c r="G169" i="56" s="1"/>
  <c r="F168" i="56"/>
  <c r="F169" i="56" s="1"/>
  <c r="E168" i="56"/>
  <c r="E169" i="56" s="1"/>
  <c r="D168" i="56"/>
  <c r="G165" i="56"/>
  <c r="F165" i="56"/>
  <c r="E165" i="56"/>
  <c r="G163" i="56"/>
  <c r="F163" i="56"/>
  <c r="E163" i="56"/>
  <c r="D163" i="56"/>
  <c r="G156" i="56"/>
  <c r="G157" i="56" s="1"/>
  <c r="F156" i="56"/>
  <c r="F157" i="56" s="1"/>
  <c r="E156" i="56"/>
  <c r="D156" i="56"/>
  <c r="G140" i="56"/>
  <c r="F140" i="56"/>
  <c r="E140" i="56"/>
  <c r="D140" i="56"/>
  <c r="G134" i="56"/>
  <c r="G133" i="56" s="1"/>
  <c r="G158" i="56" s="1"/>
  <c r="F134" i="56"/>
  <c r="F133" i="56" s="1"/>
  <c r="E134" i="56"/>
  <c r="D134" i="56"/>
  <c r="D133" i="56"/>
  <c r="G121" i="56"/>
  <c r="G159" i="56" s="1"/>
  <c r="G161" i="56" s="1"/>
  <c r="F121" i="56"/>
  <c r="F159" i="56" s="1"/>
  <c r="F161" i="56" s="1"/>
  <c r="E121" i="56"/>
  <c r="E159" i="56" s="1"/>
  <c r="E161" i="56" s="1"/>
  <c r="D121" i="56"/>
  <c r="D159" i="56" s="1"/>
  <c r="D161" i="56" s="1"/>
  <c r="G117" i="56"/>
  <c r="F117" i="56"/>
  <c r="E117" i="56"/>
  <c r="D117" i="56"/>
  <c r="G112" i="56"/>
  <c r="F112" i="56"/>
  <c r="F111" i="56" s="1"/>
  <c r="F167" i="56" s="1"/>
  <c r="E112" i="56"/>
  <c r="E111" i="56" s="1"/>
  <c r="E167" i="56" s="1"/>
  <c r="D112" i="56"/>
  <c r="D111" i="56" s="1"/>
  <c r="D167" i="56" s="1"/>
  <c r="G111" i="56"/>
  <c r="G167" i="56" s="1"/>
  <c r="G106" i="56"/>
  <c r="F106" i="56"/>
  <c r="E106" i="56"/>
  <c r="D106" i="56"/>
  <c r="G95" i="56"/>
  <c r="G107" i="56" s="1"/>
  <c r="F95" i="56"/>
  <c r="F107" i="56" s="1"/>
  <c r="E95" i="56"/>
  <c r="E107" i="56" s="1"/>
  <c r="D95" i="56"/>
  <c r="G76" i="56"/>
  <c r="F76" i="56"/>
  <c r="E76" i="56"/>
  <c r="D76" i="56"/>
  <c r="G55" i="56"/>
  <c r="G166" i="56" s="1"/>
  <c r="F55" i="56"/>
  <c r="F166" i="56" s="1"/>
  <c r="E55" i="56"/>
  <c r="E166" i="56" s="1"/>
  <c r="D55" i="56"/>
  <c r="D166" i="56" s="1"/>
  <c r="G36" i="56"/>
  <c r="F36" i="56"/>
  <c r="E36" i="56"/>
  <c r="E79" i="56" s="1"/>
  <c r="D36" i="56"/>
  <c r="D79" i="56" s="1"/>
  <c r="G21" i="56"/>
  <c r="G78" i="56" s="1"/>
  <c r="G178" i="56" s="1"/>
  <c r="F21" i="56"/>
  <c r="F78" i="56" s="1"/>
  <c r="F178" i="56" s="1"/>
  <c r="E21" i="56"/>
  <c r="E78" i="56" s="1"/>
  <c r="E178" i="56" s="1"/>
  <c r="D21" i="56"/>
  <c r="D78" i="56" s="1"/>
  <c r="D178" i="56" s="1"/>
  <c r="G184" i="55"/>
  <c r="G183" i="55"/>
  <c r="F183" i="55"/>
  <c r="F184" i="55" s="1"/>
  <c r="F172" i="55" s="1"/>
  <c r="E183" i="55"/>
  <c r="D183" i="55"/>
  <c r="G181" i="55"/>
  <c r="F181" i="55"/>
  <c r="E181" i="55"/>
  <c r="E185" i="55" s="1"/>
  <c r="D181" i="55"/>
  <c r="D185" i="55" s="1"/>
  <c r="G180" i="55"/>
  <c r="G165" i="55" s="1"/>
  <c r="F180" i="55"/>
  <c r="F165" i="55" s="1"/>
  <c r="E180" i="55"/>
  <c r="D180" i="55"/>
  <c r="G177" i="55"/>
  <c r="F177" i="55"/>
  <c r="E177" i="55"/>
  <c r="E165" i="55" s="1"/>
  <c r="D177" i="55"/>
  <c r="D165" i="55" s="1"/>
  <c r="G172" i="55"/>
  <c r="G171" i="55"/>
  <c r="F171" i="55"/>
  <c r="E171" i="55"/>
  <c r="D171" i="55"/>
  <c r="G170" i="55"/>
  <c r="F170" i="55"/>
  <c r="E170" i="55"/>
  <c r="D170" i="55"/>
  <c r="G168" i="55"/>
  <c r="F168" i="55"/>
  <c r="E168" i="55"/>
  <c r="E169" i="55" s="1"/>
  <c r="D168" i="55"/>
  <c r="G163" i="55"/>
  <c r="F163" i="55"/>
  <c r="E163" i="55"/>
  <c r="D163" i="55"/>
  <c r="G156" i="55"/>
  <c r="G157" i="55" s="1"/>
  <c r="F156" i="55"/>
  <c r="F157" i="55" s="1"/>
  <c r="E156" i="55"/>
  <c r="E157" i="55" s="1"/>
  <c r="D156" i="55"/>
  <c r="G140" i="55"/>
  <c r="F140" i="55"/>
  <c r="E140" i="55"/>
  <c r="D140" i="55"/>
  <c r="G134" i="55"/>
  <c r="F134" i="55"/>
  <c r="E134" i="55"/>
  <c r="D134" i="55"/>
  <c r="D133" i="55" s="1"/>
  <c r="E133" i="55"/>
  <c r="G121" i="55"/>
  <c r="G159" i="55" s="1"/>
  <c r="G161" i="55" s="1"/>
  <c r="F121" i="55"/>
  <c r="F159" i="55" s="1"/>
  <c r="F161" i="55" s="1"/>
  <c r="E121" i="55"/>
  <c r="E159" i="55" s="1"/>
  <c r="E161" i="55" s="1"/>
  <c r="D121" i="55"/>
  <c r="D159" i="55" s="1"/>
  <c r="D161" i="55" s="1"/>
  <c r="G117" i="55"/>
  <c r="F117" i="55"/>
  <c r="E117" i="55"/>
  <c r="D117" i="55"/>
  <c r="G112" i="55"/>
  <c r="G111" i="55" s="1"/>
  <c r="F112" i="55"/>
  <c r="E112" i="55"/>
  <c r="E111" i="55" s="1"/>
  <c r="E167" i="55" s="1"/>
  <c r="D112" i="55"/>
  <c r="D111" i="55"/>
  <c r="D167" i="55" s="1"/>
  <c r="G107" i="55"/>
  <c r="G108" i="55" s="1"/>
  <c r="F107" i="55"/>
  <c r="F108" i="55" s="1"/>
  <c r="G106" i="55"/>
  <c r="F106" i="55"/>
  <c r="E106" i="55"/>
  <c r="D106" i="55"/>
  <c r="G95" i="55"/>
  <c r="F95" i="55"/>
  <c r="E95" i="55"/>
  <c r="D95" i="55"/>
  <c r="D107" i="55" s="1"/>
  <c r="G76" i="55"/>
  <c r="F76" i="55"/>
  <c r="E76" i="55"/>
  <c r="D76" i="55"/>
  <c r="G55" i="55"/>
  <c r="G166" i="55" s="1"/>
  <c r="F55" i="55"/>
  <c r="F166" i="55" s="1"/>
  <c r="E55" i="55"/>
  <c r="E166" i="55" s="1"/>
  <c r="D55" i="55"/>
  <c r="D166" i="55" s="1"/>
  <c r="G36" i="55"/>
  <c r="F36" i="55"/>
  <c r="E36" i="55"/>
  <c r="E79" i="55" s="1"/>
  <c r="D36" i="55"/>
  <c r="D79" i="55" s="1"/>
  <c r="G21" i="55"/>
  <c r="G78" i="55" s="1"/>
  <c r="G178" i="55" s="1"/>
  <c r="F21" i="55"/>
  <c r="F78" i="55" s="1"/>
  <c r="F178" i="55" s="1"/>
  <c r="E21" i="55"/>
  <c r="E78" i="55" s="1"/>
  <c r="E178" i="55" s="1"/>
  <c r="D21" i="55"/>
  <c r="D78" i="55" s="1"/>
  <c r="D178" i="55" s="1"/>
  <c r="G183" i="54"/>
  <c r="G184" i="54" s="1"/>
  <c r="G172" i="54" s="1"/>
  <c r="F183" i="54"/>
  <c r="F184" i="54" s="1"/>
  <c r="F172" i="54" s="1"/>
  <c r="E183" i="54"/>
  <c r="D183" i="54"/>
  <c r="G181" i="54"/>
  <c r="F181" i="54"/>
  <c r="G180" i="54"/>
  <c r="F180" i="54"/>
  <c r="E180" i="54"/>
  <c r="D180" i="54"/>
  <c r="G177" i="54"/>
  <c r="G165" i="54" s="1"/>
  <c r="F177" i="54"/>
  <c r="F165" i="54" s="1"/>
  <c r="G171" i="54"/>
  <c r="F171" i="54"/>
  <c r="E171" i="54"/>
  <c r="D171" i="54"/>
  <c r="G170" i="54"/>
  <c r="F170" i="54"/>
  <c r="E170" i="54"/>
  <c r="D170" i="54"/>
  <c r="G168" i="54"/>
  <c r="F168" i="54"/>
  <c r="E168" i="54"/>
  <c r="D168" i="54"/>
  <c r="G163" i="54"/>
  <c r="F163" i="54"/>
  <c r="E163" i="54"/>
  <c r="D163" i="54"/>
  <c r="G156" i="54"/>
  <c r="G157" i="54" s="1"/>
  <c r="F156" i="54"/>
  <c r="F157" i="54" s="1"/>
  <c r="E156" i="54"/>
  <c r="D156" i="54"/>
  <c r="D144" i="54"/>
  <c r="G140" i="54"/>
  <c r="F140" i="54"/>
  <c r="E140" i="54"/>
  <c r="D140" i="54"/>
  <c r="G134" i="54"/>
  <c r="G133" i="54" s="1"/>
  <c r="F134" i="54"/>
  <c r="E134" i="54"/>
  <c r="E133" i="54" s="1"/>
  <c r="D134" i="54"/>
  <c r="F133" i="54"/>
  <c r="F158" i="54" s="1"/>
  <c r="F162" i="54" s="1"/>
  <c r="D122" i="54"/>
  <c r="D121" i="54" s="1"/>
  <c r="D159" i="54" s="1"/>
  <c r="D161" i="54" s="1"/>
  <c r="G121" i="54"/>
  <c r="G159" i="54" s="1"/>
  <c r="G161" i="54" s="1"/>
  <c r="F121" i="54"/>
  <c r="F159" i="54" s="1"/>
  <c r="F161" i="54" s="1"/>
  <c r="E121" i="54"/>
  <c r="E159" i="54" s="1"/>
  <c r="E161" i="54" s="1"/>
  <c r="G117" i="54"/>
  <c r="F117" i="54"/>
  <c r="E117" i="54"/>
  <c r="D117" i="54"/>
  <c r="D113" i="54"/>
  <c r="G112" i="54"/>
  <c r="G111" i="54" s="1"/>
  <c r="F112" i="54"/>
  <c r="F111" i="54" s="1"/>
  <c r="E112" i="54"/>
  <c r="D112" i="54"/>
  <c r="E111" i="54"/>
  <c r="G106" i="54"/>
  <c r="F106" i="54"/>
  <c r="E106" i="54"/>
  <c r="D106" i="54"/>
  <c r="G95" i="54"/>
  <c r="G107" i="54" s="1"/>
  <c r="G108" i="54" s="1"/>
  <c r="F95" i="54"/>
  <c r="F107" i="54" s="1"/>
  <c r="E95" i="54"/>
  <c r="D95" i="54"/>
  <c r="G76" i="54"/>
  <c r="F76" i="54"/>
  <c r="E76" i="54"/>
  <c r="D76" i="54"/>
  <c r="G55" i="54"/>
  <c r="G166" i="54" s="1"/>
  <c r="F55" i="54"/>
  <c r="F166" i="54" s="1"/>
  <c r="E55" i="54"/>
  <c r="D55" i="54"/>
  <c r="G36" i="54"/>
  <c r="G79" i="54" s="1"/>
  <c r="F36" i="54"/>
  <c r="E23" i="54"/>
  <c r="D23" i="54"/>
  <c r="E22" i="54"/>
  <c r="D22" i="54"/>
  <c r="G21" i="54"/>
  <c r="G78" i="54" s="1"/>
  <c r="G178" i="54" s="1"/>
  <c r="F21" i="54"/>
  <c r="F78" i="54" s="1"/>
  <c r="F178" i="54" s="1"/>
  <c r="E21" i="54"/>
  <c r="E78" i="54" s="1"/>
  <c r="E178" i="54" s="1"/>
  <c r="D21" i="54"/>
  <c r="D78" i="54" s="1"/>
  <c r="D178" i="54" s="1"/>
  <c r="E184" i="53"/>
  <c r="E172" i="53" s="1"/>
  <c r="G183" i="53"/>
  <c r="F183" i="53"/>
  <c r="E183" i="53"/>
  <c r="D183" i="53"/>
  <c r="D184" i="53" s="1"/>
  <c r="D172" i="53" s="1"/>
  <c r="G181" i="53"/>
  <c r="G185" i="53" s="1"/>
  <c r="F181" i="53"/>
  <c r="F185" i="53" s="1"/>
  <c r="E181" i="53"/>
  <c r="D181" i="53"/>
  <c r="G180" i="53"/>
  <c r="F180" i="53"/>
  <c r="E180" i="53"/>
  <c r="D180" i="53"/>
  <c r="E179" i="53"/>
  <c r="G177" i="53"/>
  <c r="G165" i="53" s="1"/>
  <c r="F177" i="53"/>
  <c r="E177" i="53"/>
  <c r="D177" i="53"/>
  <c r="E175" i="53"/>
  <c r="G171" i="53"/>
  <c r="F171" i="53"/>
  <c r="E171" i="53"/>
  <c r="D171" i="53"/>
  <c r="G170" i="53"/>
  <c r="F170" i="53"/>
  <c r="F184" i="53" s="1"/>
  <c r="F172" i="53" s="1"/>
  <c r="E170" i="53"/>
  <c r="D170" i="53"/>
  <c r="G168" i="53"/>
  <c r="F168" i="53"/>
  <c r="E168" i="53"/>
  <c r="D168" i="53"/>
  <c r="F167" i="53"/>
  <c r="F165" i="53"/>
  <c r="D165" i="53"/>
  <c r="G163" i="53"/>
  <c r="F163" i="53"/>
  <c r="E163" i="53"/>
  <c r="D163" i="53"/>
  <c r="F157" i="53"/>
  <c r="G156" i="53"/>
  <c r="F156" i="53"/>
  <c r="E156" i="53"/>
  <c r="D156" i="53"/>
  <c r="D157" i="53" s="1"/>
  <c r="G140" i="53"/>
  <c r="F140" i="53"/>
  <c r="E140" i="53"/>
  <c r="D140" i="53"/>
  <c r="G134" i="53"/>
  <c r="G133" i="53" s="1"/>
  <c r="G147" i="53" s="1"/>
  <c r="F134" i="53"/>
  <c r="F133" i="53" s="1"/>
  <c r="E134" i="53"/>
  <c r="E133" i="53" s="1"/>
  <c r="D134" i="53"/>
  <c r="D122" i="53"/>
  <c r="D121" i="53" s="1"/>
  <c r="D159" i="53" s="1"/>
  <c r="D161" i="53" s="1"/>
  <c r="G121" i="53"/>
  <c r="G159" i="53" s="1"/>
  <c r="G161" i="53" s="1"/>
  <c r="F121" i="53"/>
  <c r="F159" i="53" s="1"/>
  <c r="F161" i="53" s="1"/>
  <c r="E121" i="53"/>
  <c r="E159" i="53" s="1"/>
  <c r="E161" i="53" s="1"/>
  <c r="G117" i="53"/>
  <c r="F117" i="53"/>
  <c r="E117" i="53"/>
  <c r="D117" i="53"/>
  <c r="D113" i="53"/>
  <c r="G112" i="53"/>
  <c r="F112" i="53"/>
  <c r="F111" i="53" s="1"/>
  <c r="F131" i="53" s="1"/>
  <c r="E112" i="53"/>
  <c r="E111" i="53" s="1"/>
  <c r="D112" i="53"/>
  <c r="G106" i="53"/>
  <c r="F106" i="53"/>
  <c r="E106" i="53"/>
  <c r="D106" i="53"/>
  <c r="G95" i="53"/>
  <c r="F95" i="53"/>
  <c r="F107" i="53" s="1"/>
  <c r="F108" i="53" s="1"/>
  <c r="E95" i="53"/>
  <c r="E107" i="53" s="1"/>
  <c r="D95" i="53"/>
  <c r="D107" i="53" s="1"/>
  <c r="E78" i="53"/>
  <c r="E178" i="53" s="1"/>
  <c r="E164" i="53" s="1"/>
  <c r="G76" i="53"/>
  <c r="F76" i="53"/>
  <c r="E76" i="53"/>
  <c r="D76" i="53"/>
  <c r="G55" i="53"/>
  <c r="G166" i="53" s="1"/>
  <c r="F55" i="53"/>
  <c r="F166" i="53" s="1"/>
  <c r="E55" i="53"/>
  <c r="E166" i="53" s="1"/>
  <c r="D55" i="53"/>
  <c r="D166" i="53" s="1"/>
  <c r="G36" i="53"/>
  <c r="G79" i="53" s="1"/>
  <c r="F36" i="53"/>
  <c r="F79" i="53" s="1"/>
  <c r="E36" i="53"/>
  <c r="E79" i="53" s="1"/>
  <c r="D36" i="53"/>
  <c r="D79" i="53" s="1"/>
  <c r="E22" i="53"/>
  <c r="G21" i="53"/>
  <c r="G78" i="53" s="1"/>
  <c r="G178" i="53" s="1"/>
  <c r="F21" i="53"/>
  <c r="F78" i="53" s="1"/>
  <c r="F178" i="53" s="1"/>
  <c r="E21" i="53"/>
  <c r="D21" i="53"/>
  <c r="D78" i="53" s="1"/>
  <c r="D178" i="53" s="1"/>
  <c r="G183" i="52"/>
  <c r="G184" i="52" s="1"/>
  <c r="G172" i="52" s="1"/>
  <c r="F183" i="52"/>
  <c r="E183" i="52"/>
  <c r="D183" i="52"/>
  <c r="D184" i="52" s="1"/>
  <c r="D172" i="52" s="1"/>
  <c r="G181" i="52"/>
  <c r="F181" i="52"/>
  <c r="D181" i="52"/>
  <c r="G180" i="52"/>
  <c r="G165" i="52" s="1"/>
  <c r="F180" i="52"/>
  <c r="E180" i="52"/>
  <c r="D180" i="52"/>
  <c r="D165" i="52" s="1"/>
  <c r="G177" i="52"/>
  <c r="F177" i="52"/>
  <c r="D177" i="52"/>
  <c r="G171" i="52"/>
  <c r="F171" i="52"/>
  <c r="E171" i="52"/>
  <c r="D171" i="52"/>
  <c r="G170" i="52"/>
  <c r="F170" i="52"/>
  <c r="F184" i="52" s="1"/>
  <c r="F172" i="52" s="1"/>
  <c r="E170" i="52"/>
  <c r="D170" i="52"/>
  <c r="F169" i="52"/>
  <c r="G168" i="52"/>
  <c r="F168" i="52"/>
  <c r="E168" i="52"/>
  <c r="D168" i="52"/>
  <c r="D169" i="52" s="1"/>
  <c r="F167" i="52"/>
  <c r="F165" i="52"/>
  <c r="G163" i="52"/>
  <c r="F163" i="52"/>
  <c r="E163" i="52"/>
  <c r="D163" i="52"/>
  <c r="F159" i="52"/>
  <c r="F161" i="52" s="1"/>
  <c r="F157" i="52"/>
  <c r="G156" i="52"/>
  <c r="G157" i="52" s="1"/>
  <c r="F156" i="52"/>
  <c r="E156" i="52"/>
  <c r="D156" i="52"/>
  <c r="D157" i="52" s="1"/>
  <c r="G140" i="52"/>
  <c r="F140" i="52"/>
  <c r="E140" i="52"/>
  <c r="E133" i="52" s="1"/>
  <c r="E147" i="52" s="1"/>
  <c r="D140" i="52"/>
  <c r="G134" i="52"/>
  <c r="F134" i="52"/>
  <c r="F133" i="52" s="1"/>
  <c r="F147" i="52" s="1"/>
  <c r="E134" i="52"/>
  <c r="D134" i="52"/>
  <c r="G133" i="52"/>
  <c r="G121" i="52"/>
  <c r="G159" i="52" s="1"/>
  <c r="G161" i="52" s="1"/>
  <c r="F121" i="52"/>
  <c r="E121" i="52"/>
  <c r="E159" i="52" s="1"/>
  <c r="E161" i="52" s="1"/>
  <c r="D121" i="52"/>
  <c r="D159" i="52" s="1"/>
  <c r="D161" i="52" s="1"/>
  <c r="G117" i="52"/>
  <c r="F117" i="52"/>
  <c r="E117" i="52"/>
  <c r="D117" i="52"/>
  <c r="G112" i="52"/>
  <c r="F112" i="52"/>
  <c r="F111" i="52" s="1"/>
  <c r="E112" i="52"/>
  <c r="E111" i="52" s="1"/>
  <c r="D112" i="52"/>
  <c r="G111" i="52"/>
  <c r="G167" i="52" s="1"/>
  <c r="D111" i="52"/>
  <c r="D167" i="52" s="1"/>
  <c r="G106" i="52"/>
  <c r="F106" i="52"/>
  <c r="E106" i="52"/>
  <c r="D106" i="52"/>
  <c r="G95" i="52"/>
  <c r="G107" i="52" s="1"/>
  <c r="F95" i="52"/>
  <c r="F107" i="52" s="1"/>
  <c r="F108" i="52" s="1"/>
  <c r="E95" i="52"/>
  <c r="D95" i="52"/>
  <c r="F79" i="52"/>
  <c r="G76" i="52"/>
  <c r="F76" i="52"/>
  <c r="E76" i="52"/>
  <c r="D76" i="52"/>
  <c r="G55" i="52"/>
  <c r="G166" i="52" s="1"/>
  <c r="F55" i="52"/>
  <c r="F166" i="52" s="1"/>
  <c r="E55" i="52"/>
  <c r="D55" i="52"/>
  <c r="D166" i="52" s="1"/>
  <c r="G36" i="52"/>
  <c r="G79" i="52" s="1"/>
  <c r="F36" i="52"/>
  <c r="F37" i="52" s="1"/>
  <c r="E36" i="52"/>
  <c r="E79" i="52" s="1"/>
  <c r="D36" i="52"/>
  <c r="D79" i="52" s="1"/>
  <c r="E23" i="52"/>
  <c r="E22" i="52"/>
  <c r="E181" i="52" s="1"/>
  <c r="G21" i="52"/>
  <c r="G78" i="52" s="1"/>
  <c r="G178" i="52" s="1"/>
  <c r="F21" i="52"/>
  <c r="F78" i="52" s="1"/>
  <c r="F178" i="52" s="1"/>
  <c r="F164" i="52" s="1"/>
  <c r="E21" i="52"/>
  <c r="E78" i="52" s="1"/>
  <c r="E178" i="52" s="1"/>
  <c r="D21" i="52"/>
  <c r="D78" i="52" s="1"/>
  <c r="D178" i="52" s="1"/>
  <c r="G183" i="51"/>
  <c r="G184" i="51" s="1"/>
  <c r="G172" i="51" s="1"/>
  <c r="F183" i="51"/>
  <c r="E183" i="51"/>
  <c r="E184" i="51" s="1"/>
  <c r="E172" i="51" s="1"/>
  <c r="D183" i="51"/>
  <c r="D184" i="51" s="1"/>
  <c r="D172" i="51" s="1"/>
  <c r="G181" i="51"/>
  <c r="G182" i="51" s="1"/>
  <c r="F181" i="51"/>
  <c r="E181" i="51"/>
  <c r="D181" i="51"/>
  <c r="G180" i="51"/>
  <c r="G165" i="51" s="1"/>
  <c r="F180" i="51"/>
  <c r="E180" i="51"/>
  <c r="D180" i="51"/>
  <c r="D165" i="51" s="1"/>
  <c r="G177" i="51"/>
  <c r="F177" i="51"/>
  <c r="E177" i="51"/>
  <c r="E165" i="51" s="1"/>
  <c r="D177" i="51"/>
  <c r="G171" i="51"/>
  <c r="F171" i="51"/>
  <c r="E171" i="51"/>
  <c r="D171" i="51"/>
  <c r="G170" i="51"/>
  <c r="F170" i="51"/>
  <c r="E170" i="51"/>
  <c r="D170" i="51"/>
  <c r="G169" i="51"/>
  <c r="G168" i="51"/>
  <c r="F168" i="51"/>
  <c r="F169" i="51" s="1"/>
  <c r="E168" i="51"/>
  <c r="D168" i="51"/>
  <c r="D169" i="51" s="1"/>
  <c r="G166" i="51"/>
  <c r="F165" i="51"/>
  <c r="G163" i="51"/>
  <c r="F163" i="51"/>
  <c r="E163" i="51"/>
  <c r="D163" i="51"/>
  <c r="G156" i="51"/>
  <c r="G157" i="51" s="1"/>
  <c r="F156" i="51"/>
  <c r="F157" i="51" s="1"/>
  <c r="E156" i="51"/>
  <c r="D156" i="51"/>
  <c r="D157" i="51" s="1"/>
  <c r="G140" i="51"/>
  <c r="F140" i="51"/>
  <c r="E140" i="51"/>
  <c r="D140" i="51"/>
  <c r="G134" i="51"/>
  <c r="F134" i="51"/>
  <c r="E134" i="51"/>
  <c r="E133" i="51" s="1"/>
  <c r="D134" i="51"/>
  <c r="G133" i="51"/>
  <c r="G147" i="51" s="1"/>
  <c r="D133" i="51"/>
  <c r="G121" i="51"/>
  <c r="G159" i="51" s="1"/>
  <c r="G161" i="51" s="1"/>
  <c r="F121" i="51"/>
  <c r="F159" i="51" s="1"/>
  <c r="F161" i="51" s="1"/>
  <c r="E121" i="51"/>
  <c r="E159" i="51" s="1"/>
  <c r="E161" i="51" s="1"/>
  <c r="D121" i="51"/>
  <c r="D159" i="51" s="1"/>
  <c r="D161" i="51" s="1"/>
  <c r="G117" i="51"/>
  <c r="F117" i="51"/>
  <c r="E117" i="51"/>
  <c r="D117" i="51"/>
  <c r="G112" i="51"/>
  <c r="F112" i="51"/>
  <c r="F111" i="51" s="1"/>
  <c r="F167" i="51" s="1"/>
  <c r="E112" i="51"/>
  <c r="D112" i="51"/>
  <c r="D111" i="51" s="1"/>
  <c r="E111" i="51"/>
  <c r="E167" i="51" s="1"/>
  <c r="G106" i="51"/>
  <c r="F106" i="51"/>
  <c r="E106" i="51"/>
  <c r="D106" i="51"/>
  <c r="G95" i="51"/>
  <c r="F95" i="51"/>
  <c r="F107" i="51" s="1"/>
  <c r="E95" i="51"/>
  <c r="D95" i="51"/>
  <c r="D107" i="51" s="1"/>
  <c r="D78" i="51"/>
  <c r="D178" i="51" s="1"/>
  <c r="G76" i="51"/>
  <c r="F76" i="51"/>
  <c r="E76" i="51"/>
  <c r="D76" i="51"/>
  <c r="G55" i="51"/>
  <c r="F55" i="51"/>
  <c r="F166" i="51" s="1"/>
  <c r="E55" i="51"/>
  <c r="E166" i="51" s="1"/>
  <c r="D55" i="51"/>
  <c r="D166" i="51" s="1"/>
  <c r="G36" i="51"/>
  <c r="F36" i="51"/>
  <c r="F79" i="51" s="1"/>
  <c r="E36" i="51"/>
  <c r="E79" i="51" s="1"/>
  <c r="D36" i="51"/>
  <c r="D79" i="51" s="1"/>
  <c r="G21" i="51"/>
  <c r="G78" i="51" s="1"/>
  <c r="G178" i="51" s="1"/>
  <c r="F21" i="51"/>
  <c r="F78" i="51" s="1"/>
  <c r="F178" i="51" s="1"/>
  <c r="E21" i="51"/>
  <c r="E78" i="51" s="1"/>
  <c r="E178" i="51" s="1"/>
  <c r="D21" i="51"/>
  <c r="G183" i="50"/>
  <c r="G184" i="50" s="1"/>
  <c r="G172" i="50" s="1"/>
  <c r="F183" i="50"/>
  <c r="E183" i="50"/>
  <c r="D183" i="50"/>
  <c r="D184" i="50" s="1"/>
  <c r="D172" i="50" s="1"/>
  <c r="G181" i="50"/>
  <c r="G182" i="50" s="1"/>
  <c r="G186" i="50" s="1"/>
  <c r="F181" i="50"/>
  <c r="F185" i="50" s="1"/>
  <c r="E181" i="50"/>
  <c r="D181" i="50"/>
  <c r="G180" i="50"/>
  <c r="F180" i="50"/>
  <c r="E180" i="50"/>
  <c r="D180" i="50"/>
  <c r="D165" i="50" s="1"/>
  <c r="G177" i="50"/>
  <c r="G165" i="50" s="1"/>
  <c r="F177" i="50"/>
  <c r="E177" i="50"/>
  <c r="E165" i="50" s="1"/>
  <c r="D177" i="50"/>
  <c r="G171" i="50"/>
  <c r="F171" i="50"/>
  <c r="E171" i="50"/>
  <c r="D171" i="50"/>
  <c r="G170" i="50"/>
  <c r="F170" i="50"/>
  <c r="E170" i="50"/>
  <c r="D170" i="50"/>
  <c r="G169" i="50"/>
  <c r="G168" i="50"/>
  <c r="F168" i="50"/>
  <c r="E168" i="50"/>
  <c r="D168" i="50"/>
  <c r="F165" i="50"/>
  <c r="G163" i="50"/>
  <c r="F163" i="50"/>
  <c r="E163" i="50"/>
  <c r="D163" i="50"/>
  <c r="G156" i="50"/>
  <c r="F156" i="50"/>
  <c r="F157" i="50" s="1"/>
  <c r="E156" i="50"/>
  <c r="D156" i="50"/>
  <c r="D157" i="50" s="1"/>
  <c r="G140" i="50"/>
  <c r="F140" i="50"/>
  <c r="F133" i="50" s="1"/>
  <c r="F158" i="50" s="1"/>
  <c r="E140" i="50"/>
  <c r="D140" i="50"/>
  <c r="G134" i="50"/>
  <c r="G133" i="50" s="1"/>
  <c r="G147" i="50" s="1"/>
  <c r="F134" i="50"/>
  <c r="E134" i="50"/>
  <c r="E133" i="50" s="1"/>
  <c r="E158" i="50" s="1"/>
  <c r="D134" i="50"/>
  <c r="D133" i="50"/>
  <c r="G121" i="50"/>
  <c r="G159" i="50" s="1"/>
  <c r="G161" i="50" s="1"/>
  <c r="F121" i="50"/>
  <c r="F159" i="50" s="1"/>
  <c r="F161" i="50" s="1"/>
  <c r="E121" i="50"/>
  <c r="E159" i="50" s="1"/>
  <c r="E161" i="50" s="1"/>
  <c r="D121" i="50"/>
  <c r="D159" i="50" s="1"/>
  <c r="D161" i="50" s="1"/>
  <c r="G117" i="50"/>
  <c r="F117" i="50"/>
  <c r="E117" i="50"/>
  <c r="E111" i="50" s="1"/>
  <c r="E167" i="50" s="1"/>
  <c r="D117" i="50"/>
  <c r="G112" i="50"/>
  <c r="F112" i="50"/>
  <c r="F111" i="50" s="1"/>
  <c r="F167" i="50" s="1"/>
  <c r="E112" i="50"/>
  <c r="D112" i="50"/>
  <c r="G111" i="50"/>
  <c r="G106" i="50"/>
  <c r="F106" i="50"/>
  <c r="E106" i="50"/>
  <c r="D106" i="50"/>
  <c r="G95" i="50"/>
  <c r="G107" i="50" s="1"/>
  <c r="F95" i="50"/>
  <c r="E95" i="50"/>
  <c r="D95" i="50"/>
  <c r="D107" i="50" s="1"/>
  <c r="D78" i="50"/>
  <c r="D178" i="50" s="1"/>
  <c r="G76" i="50"/>
  <c r="F76" i="50"/>
  <c r="E76" i="50"/>
  <c r="D76" i="50"/>
  <c r="G55" i="50"/>
  <c r="G166" i="50" s="1"/>
  <c r="F55" i="50"/>
  <c r="F166" i="50" s="1"/>
  <c r="E55" i="50"/>
  <c r="E166" i="50" s="1"/>
  <c r="D55" i="50"/>
  <c r="D166" i="50" s="1"/>
  <c r="G36" i="50"/>
  <c r="G79" i="50" s="1"/>
  <c r="F36" i="50"/>
  <c r="F79" i="50" s="1"/>
  <c r="E36" i="50"/>
  <c r="E79" i="50" s="1"/>
  <c r="D36" i="50"/>
  <c r="D79" i="50" s="1"/>
  <c r="G21" i="50"/>
  <c r="G78" i="50" s="1"/>
  <c r="G178" i="50" s="1"/>
  <c r="F21" i="50"/>
  <c r="F78" i="50" s="1"/>
  <c r="F178" i="50" s="1"/>
  <c r="E21" i="50"/>
  <c r="E78" i="50" s="1"/>
  <c r="E178" i="50" s="1"/>
  <c r="D21" i="50"/>
  <c r="G183" i="49"/>
  <c r="G184" i="49" s="1"/>
  <c r="G172" i="49" s="1"/>
  <c r="F183" i="49"/>
  <c r="G181" i="49"/>
  <c r="F181" i="49"/>
  <c r="F185" i="49" s="1"/>
  <c r="G180" i="49"/>
  <c r="F180" i="49"/>
  <c r="G177" i="49"/>
  <c r="F177" i="49"/>
  <c r="F165" i="49" s="1"/>
  <c r="G171" i="49"/>
  <c r="F171" i="49"/>
  <c r="E171" i="49"/>
  <c r="D171" i="49"/>
  <c r="G170" i="49"/>
  <c r="F170" i="49"/>
  <c r="E170" i="49"/>
  <c r="D170" i="49"/>
  <c r="G168" i="49"/>
  <c r="G169" i="49" s="1"/>
  <c r="F168" i="49"/>
  <c r="E168" i="49"/>
  <c r="D168" i="49"/>
  <c r="D166" i="49"/>
  <c r="G163" i="49"/>
  <c r="F163" i="49"/>
  <c r="E163" i="49"/>
  <c r="D163" i="49"/>
  <c r="G156" i="49"/>
  <c r="F156" i="49"/>
  <c r="E156" i="49"/>
  <c r="D156" i="49"/>
  <c r="G147" i="49"/>
  <c r="G140" i="49"/>
  <c r="G133" i="49" s="1"/>
  <c r="G158" i="49" s="1"/>
  <c r="G160" i="49" s="1"/>
  <c r="F140" i="49"/>
  <c r="E140" i="49"/>
  <c r="D140" i="49"/>
  <c r="G134" i="49"/>
  <c r="F134" i="49"/>
  <c r="F133" i="49" s="1"/>
  <c r="E134" i="49"/>
  <c r="D134" i="49"/>
  <c r="E133" i="49"/>
  <c r="E158" i="49" s="1"/>
  <c r="E160" i="49" s="1"/>
  <c r="D126" i="49"/>
  <c r="D122" i="49"/>
  <c r="G121" i="49"/>
  <c r="G159" i="49" s="1"/>
  <c r="G161" i="49" s="1"/>
  <c r="F121" i="49"/>
  <c r="F159" i="49" s="1"/>
  <c r="F161" i="49" s="1"/>
  <c r="E121" i="49"/>
  <c r="E159" i="49" s="1"/>
  <c r="E161" i="49" s="1"/>
  <c r="G117" i="49"/>
  <c r="F117" i="49"/>
  <c r="E117" i="49"/>
  <c r="E111" i="49" s="1"/>
  <c r="D117" i="49"/>
  <c r="D113" i="49"/>
  <c r="D112" i="49" s="1"/>
  <c r="G112" i="49"/>
  <c r="F112" i="49"/>
  <c r="F111" i="49" s="1"/>
  <c r="E112" i="49"/>
  <c r="G111" i="49"/>
  <c r="G131" i="49" s="1"/>
  <c r="G106" i="49"/>
  <c r="F106" i="49"/>
  <c r="E106" i="49"/>
  <c r="D106" i="49"/>
  <c r="G95" i="49"/>
  <c r="F95" i="49"/>
  <c r="F107" i="49" s="1"/>
  <c r="E95" i="49"/>
  <c r="D95" i="49"/>
  <c r="G79" i="49"/>
  <c r="G76" i="49"/>
  <c r="F76" i="49"/>
  <c r="E76" i="49"/>
  <c r="D76" i="49"/>
  <c r="G55" i="49"/>
  <c r="G166" i="49" s="1"/>
  <c r="F55" i="49"/>
  <c r="E55" i="49"/>
  <c r="D55" i="49"/>
  <c r="G36" i="49"/>
  <c r="F36" i="49"/>
  <c r="F79" i="49" s="1"/>
  <c r="E23" i="49"/>
  <c r="D23" i="49"/>
  <c r="E22" i="49"/>
  <c r="D22" i="49"/>
  <c r="G21" i="49"/>
  <c r="G78" i="49" s="1"/>
  <c r="G178" i="49" s="1"/>
  <c r="F21" i="49"/>
  <c r="F78" i="49" s="1"/>
  <c r="F178" i="49" s="1"/>
  <c r="E21" i="49"/>
  <c r="E78" i="49" s="1"/>
  <c r="E178" i="49" s="1"/>
  <c r="D21" i="49"/>
  <c r="D78" i="49" s="1"/>
  <c r="D178" i="49" s="1"/>
  <c r="D164" i="49" s="1"/>
  <c r="E16" i="49"/>
  <c r="D16" i="49"/>
  <c r="G183" i="48"/>
  <c r="G184" i="48" s="1"/>
  <c r="G172" i="48" s="1"/>
  <c r="F183" i="48"/>
  <c r="E183" i="48"/>
  <c r="E184" i="48" s="1"/>
  <c r="E172" i="48" s="1"/>
  <c r="D183" i="48"/>
  <c r="D184" i="48" s="1"/>
  <c r="D172" i="48" s="1"/>
  <c r="G181" i="48"/>
  <c r="F181" i="48"/>
  <c r="F185" i="48" s="1"/>
  <c r="E181" i="48"/>
  <c r="D181" i="48"/>
  <c r="G180" i="48"/>
  <c r="F180" i="48"/>
  <c r="E180" i="48"/>
  <c r="D180" i="48"/>
  <c r="D178" i="48"/>
  <c r="G177" i="48"/>
  <c r="G165" i="48" s="1"/>
  <c r="F177" i="48"/>
  <c r="E177" i="48"/>
  <c r="E157" i="48" s="1"/>
  <c r="D177" i="48"/>
  <c r="G171" i="48"/>
  <c r="F171" i="48"/>
  <c r="E171" i="48"/>
  <c r="D171" i="48"/>
  <c r="G170" i="48"/>
  <c r="F170" i="48"/>
  <c r="E170" i="48"/>
  <c r="D170" i="48"/>
  <c r="G168" i="48"/>
  <c r="F168" i="48"/>
  <c r="E168" i="48"/>
  <c r="D168" i="48"/>
  <c r="F165" i="48"/>
  <c r="G163" i="48"/>
  <c r="F163" i="48"/>
  <c r="E163" i="48"/>
  <c r="D163" i="48"/>
  <c r="G156" i="48"/>
  <c r="F156" i="48"/>
  <c r="E156" i="48"/>
  <c r="D156" i="48"/>
  <c r="G140" i="48"/>
  <c r="G133" i="48" s="1"/>
  <c r="F140" i="48"/>
  <c r="F133" i="48" s="1"/>
  <c r="E140" i="48"/>
  <c r="D140" i="48"/>
  <c r="D133" i="48" s="1"/>
  <c r="D158" i="48" s="1"/>
  <c r="G134" i="48"/>
  <c r="F134" i="48"/>
  <c r="E134" i="48"/>
  <c r="E133" i="48" s="1"/>
  <c r="E158" i="48" s="1"/>
  <c r="D134" i="48"/>
  <c r="G121" i="48"/>
  <c r="G159" i="48" s="1"/>
  <c r="G161" i="48" s="1"/>
  <c r="F121" i="48"/>
  <c r="F159" i="48" s="1"/>
  <c r="F161" i="48" s="1"/>
  <c r="E121" i="48"/>
  <c r="E159" i="48" s="1"/>
  <c r="E161" i="48" s="1"/>
  <c r="D121" i="48"/>
  <c r="D159" i="48" s="1"/>
  <c r="D161" i="48" s="1"/>
  <c r="G117" i="48"/>
  <c r="F117" i="48"/>
  <c r="E117" i="48"/>
  <c r="D117" i="48"/>
  <c r="G112" i="48"/>
  <c r="F112" i="48"/>
  <c r="F111" i="48" s="1"/>
  <c r="F167" i="48" s="1"/>
  <c r="E112" i="48"/>
  <c r="D112" i="48"/>
  <c r="D111" i="48" s="1"/>
  <c r="D167" i="48" s="1"/>
  <c r="E111" i="48"/>
  <c r="E167" i="48" s="1"/>
  <c r="G106" i="48"/>
  <c r="F106" i="48"/>
  <c r="E106" i="48"/>
  <c r="D106" i="48"/>
  <c r="G95" i="48"/>
  <c r="F95" i="48"/>
  <c r="F107" i="48" s="1"/>
  <c r="E95" i="48"/>
  <c r="D95" i="48"/>
  <c r="G76" i="48"/>
  <c r="F76" i="48"/>
  <c r="E76" i="48"/>
  <c r="D76" i="48"/>
  <c r="G55" i="48"/>
  <c r="G166" i="48" s="1"/>
  <c r="F55" i="48"/>
  <c r="F166" i="48" s="1"/>
  <c r="E55" i="48"/>
  <c r="E166" i="48" s="1"/>
  <c r="D55" i="48"/>
  <c r="D166" i="48" s="1"/>
  <c r="G36" i="48"/>
  <c r="G79" i="48" s="1"/>
  <c r="F36" i="48"/>
  <c r="F79" i="48" s="1"/>
  <c r="E36" i="48"/>
  <c r="E79" i="48" s="1"/>
  <c r="D36" i="48"/>
  <c r="D79" i="48" s="1"/>
  <c r="G21" i="48"/>
  <c r="G78" i="48" s="1"/>
  <c r="G178" i="48" s="1"/>
  <c r="F21" i="48"/>
  <c r="F78" i="48" s="1"/>
  <c r="F178" i="48" s="1"/>
  <c r="E21" i="48"/>
  <c r="E78" i="48" s="1"/>
  <c r="E178" i="48" s="1"/>
  <c r="D21" i="48"/>
  <c r="D78" i="48" s="1"/>
  <c r="G183" i="47"/>
  <c r="G184" i="47" s="1"/>
  <c r="G172" i="47" s="1"/>
  <c r="F183" i="47"/>
  <c r="F184" i="47" s="1"/>
  <c r="F172" i="47" s="1"/>
  <c r="E183" i="47"/>
  <c r="D183" i="47"/>
  <c r="D184" i="47" s="1"/>
  <c r="D172" i="47" s="1"/>
  <c r="G181" i="47"/>
  <c r="F181" i="47"/>
  <c r="F185" i="47" s="1"/>
  <c r="E181" i="47"/>
  <c r="E182" i="47" s="1"/>
  <c r="D181" i="47"/>
  <c r="D182" i="47" s="1"/>
  <c r="G180" i="47"/>
  <c r="F180" i="47"/>
  <c r="F165" i="47" s="1"/>
  <c r="E180" i="47"/>
  <c r="D180" i="47"/>
  <c r="G177" i="47"/>
  <c r="F177" i="47"/>
  <c r="E177" i="47"/>
  <c r="D177" i="47"/>
  <c r="D157" i="47" s="1"/>
  <c r="G171" i="47"/>
  <c r="F171" i="47"/>
  <c r="E171" i="47"/>
  <c r="D171" i="47"/>
  <c r="G170" i="47"/>
  <c r="F170" i="47"/>
  <c r="E170" i="47"/>
  <c r="D170" i="47"/>
  <c r="G168" i="47"/>
  <c r="G169" i="47" s="1"/>
  <c r="F168" i="47"/>
  <c r="F169" i="47" s="1"/>
  <c r="E168" i="47"/>
  <c r="E169" i="47" s="1"/>
  <c r="D168" i="47"/>
  <c r="D166" i="47"/>
  <c r="G163" i="47"/>
  <c r="F163" i="47"/>
  <c r="E163" i="47"/>
  <c r="D163" i="47"/>
  <c r="G156" i="47"/>
  <c r="G157" i="47" s="1"/>
  <c r="F156" i="47"/>
  <c r="F157" i="47" s="1"/>
  <c r="E156" i="47"/>
  <c r="D156" i="47"/>
  <c r="G140" i="47"/>
  <c r="F140" i="47"/>
  <c r="E140" i="47"/>
  <c r="D140" i="47"/>
  <c r="G134" i="47"/>
  <c r="F134" i="47"/>
  <c r="F133" i="47" s="1"/>
  <c r="F158" i="47" s="1"/>
  <c r="E134" i="47"/>
  <c r="E133" i="47" s="1"/>
  <c r="D134" i="47"/>
  <c r="D133" i="47" s="1"/>
  <c r="G133" i="47"/>
  <c r="G158" i="47" s="1"/>
  <c r="G121" i="47"/>
  <c r="G159" i="47" s="1"/>
  <c r="G161" i="47" s="1"/>
  <c r="F121" i="47"/>
  <c r="F159" i="47" s="1"/>
  <c r="F161" i="47" s="1"/>
  <c r="E121" i="47"/>
  <c r="E159" i="47" s="1"/>
  <c r="E161" i="47" s="1"/>
  <c r="D121" i="47"/>
  <c r="D159" i="47" s="1"/>
  <c r="D161" i="47" s="1"/>
  <c r="G117" i="47"/>
  <c r="F117" i="47"/>
  <c r="E117" i="47"/>
  <c r="D117" i="47"/>
  <c r="D111" i="47" s="1"/>
  <c r="D167" i="47" s="1"/>
  <c r="G112" i="47"/>
  <c r="F112" i="47"/>
  <c r="E112" i="47"/>
  <c r="E111" i="47" s="1"/>
  <c r="E167" i="47" s="1"/>
  <c r="D112" i="47"/>
  <c r="G111" i="47"/>
  <c r="G167" i="47" s="1"/>
  <c r="F111" i="47"/>
  <c r="F167" i="47" s="1"/>
  <c r="G106" i="47"/>
  <c r="F106" i="47"/>
  <c r="E106" i="47"/>
  <c r="D106" i="47"/>
  <c r="G95" i="47"/>
  <c r="F95" i="47"/>
  <c r="E95" i="47"/>
  <c r="E107" i="47" s="1"/>
  <c r="D95" i="47"/>
  <c r="D107" i="47" s="1"/>
  <c r="G76" i="47"/>
  <c r="F76" i="47"/>
  <c r="E76" i="47"/>
  <c r="D76" i="47"/>
  <c r="G55" i="47"/>
  <c r="G166" i="47" s="1"/>
  <c r="F55" i="47"/>
  <c r="F166" i="47" s="1"/>
  <c r="E55" i="47"/>
  <c r="E166" i="47" s="1"/>
  <c r="D55" i="47"/>
  <c r="G36" i="47"/>
  <c r="G79" i="47" s="1"/>
  <c r="F36" i="47"/>
  <c r="F79" i="47" s="1"/>
  <c r="E36" i="47"/>
  <c r="E79" i="47" s="1"/>
  <c r="D36" i="47"/>
  <c r="D79" i="47" s="1"/>
  <c r="G21" i="47"/>
  <c r="G78" i="47" s="1"/>
  <c r="G178" i="47" s="1"/>
  <c r="F21" i="47"/>
  <c r="F78" i="47" s="1"/>
  <c r="F178" i="47" s="1"/>
  <c r="E21" i="47"/>
  <c r="E78" i="47" s="1"/>
  <c r="E178" i="47" s="1"/>
  <c r="D21" i="47"/>
  <c r="D78" i="47" s="1"/>
  <c r="D178" i="47" s="1"/>
  <c r="G183" i="46"/>
  <c r="G184" i="46" s="1"/>
  <c r="G172" i="46" s="1"/>
  <c r="F183" i="46"/>
  <c r="E183" i="46"/>
  <c r="E184" i="46" s="1"/>
  <c r="E172" i="46" s="1"/>
  <c r="G181" i="46"/>
  <c r="G185" i="46" s="1"/>
  <c r="F181" i="46"/>
  <c r="F185" i="46" s="1"/>
  <c r="G180" i="46"/>
  <c r="F180" i="46"/>
  <c r="F165" i="46" s="1"/>
  <c r="G177" i="46"/>
  <c r="G165" i="46" s="1"/>
  <c r="F177" i="46"/>
  <c r="D177" i="46"/>
  <c r="D157" i="46" s="1"/>
  <c r="G171" i="46"/>
  <c r="F171" i="46"/>
  <c r="E171" i="46"/>
  <c r="D171" i="46"/>
  <c r="G170" i="46"/>
  <c r="F170" i="46"/>
  <c r="E170" i="46"/>
  <c r="D170" i="46"/>
  <c r="G168" i="46"/>
  <c r="F168" i="46"/>
  <c r="F169" i="46" s="1"/>
  <c r="E168" i="46"/>
  <c r="D168" i="46"/>
  <c r="D166" i="46"/>
  <c r="G163" i="46"/>
  <c r="F163" i="46"/>
  <c r="E163" i="46"/>
  <c r="D163" i="46"/>
  <c r="G156" i="46"/>
  <c r="F156" i="46"/>
  <c r="F157" i="46" s="1"/>
  <c r="E156" i="46"/>
  <c r="D156" i="46"/>
  <c r="G140" i="46"/>
  <c r="F140" i="46"/>
  <c r="E140" i="46"/>
  <c r="D140" i="46"/>
  <c r="G134" i="46"/>
  <c r="F134" i="46"/>
  <c r="E134" i="46"/>
  <c r="E133" i="46" s="1"/>
  <c r="D134" i="46"/>
  <c r="D133" i="46" s="1"/>
  <c r="D158" i="46" s="1"/>
  <c r="G133" i="46"/>
  <c r="D122" i="46"/>
  <c r="D121" i="46" s="1"/>
  <c r="D159" i="46" s="1"/>
  <c r="D161" i="46" s="1"/>
  <c r="G121" i="46"/>
  <c r="G159" i="46" s="1"/>
  <c r="G161" i="46" s="1"/>
  <c r="F121" i="46"/>
  <c r="F159" i="46" s="1"/>
  <c r="F161" i="46" s="1"/>
  <c r="E121" i="46"/>
  <c r="E159" i="46" s="1"/>
  <c r="E161" i="46" s="1"/>
  <c r="G117" i="46"/>
  <c r="F117" i="46"/>
  <c r="E117" i="46"/>
  <c r="D117" i="46"/>
  <c r="D113" i="46"/>
  <c r="G112" i="46"/>
  <c r="G111" i="46" s="1"/>
  <c r="F112" i="46"/>
  <c r="F111" i="46" s="1"/>
  <c r="E112" i="46"/>
  <c r="D112" i="46"/>
  <c r="D111" i="46" s="1"/>
  <c r="D167" i="46" s="1"/>
  <c r="G106" i="46"/>
  <c r="F106" i="46"/>
  <c r="E106" i="46"/>
  <c r="D106" i="46"/>
  <c r="G95" i="46"/>
  <c r="G107" i="46" s="1"/>
  <c r="F95" i="46"/>
  <c r="F107" i="46" s="1"/>
  <c r="E95" i="46"/>
  <c r="E107" i="46" s="1"/>
  <c r="E108" i="46" s="1"/>
  <c r="D95" i="46"/>
  <c r="D107" i="46" s="1"/>
  <c r="F78" i="46"/>
  <c r="F178" i="46" s="1"/>
  <c r="G76" i="46"/>
  <c r="F76" i="46"/>
  <c r="E76" i="46"/>
  <c r="D76" i="46"/>
  <c r="G55" i="46"/>
  <c r="F55" i="46"/>
  <c r="F166" i="46" s="1"/>
  <c r="E55" i="46"/>
  <c r="E166" i="46" s="1"/>
  <c r="D55" i="46"/>
  <c r="G36" i="46"/>
  <c r="F36" i="46"/>
  <c r="E32" i="46"/>
  <c r="D32" i="46"/>
  <c r="E23" i="46"/>
  <c r="D23" i="46"/>
  <c r="E22" i="46"/>
  <c r="D22" i="46"/>
  <c r="G21" i="46"/>
  <c r="G78" i="46" s="1"/>
  <c r="G178" i="46" s="1"/>
  <c r="F21" i="46"/>
  <c r="E16" i="46"/>
  <c r="E15" i="46"/>
  <c r="D15" i="46"/>
  <c r="E14" i="46"/>
  <c r="D14" i="46"/>
  <c r="E13" i="46"/>
  <c r="D13" i="46"/>
  <c r="D183" i="46" s="1"/>
  <c r="E9" i="46"/>
  <c r="D9" i="46"/>
  <c r="E8" i="46"/>
  <c r="E180" i="46" s="1"/>
  <c r="D8" i="46"/>
  <c r="D180" i="46" s="1"/>
  <c r="G185" i="45"/>
  <c r="G183" i="45"/>
  <c r="F183" i="45"/>
  <c r="F184" i="45" s="1"/>
  <c r="F172" i="45" s="1"/>
  <c r="E183" i="45"/>
  <c r="D183" i="45"/>
  <c r="D184" i="45" s="1"/>
  <c r="D172" i="45" s="1"/>
  <c r="G181" i="45"/>
  <c r="F181" i="45"/>
  <c r="E181" i="45"/>
  <c r="E185" i="45" s="1"/>
  <c r="D181" i="45"/>
  <c r="G180" i="45"/>
  <c r="F180" i="45"/>
  <c r="F165" i="45" s="1"/>
  <c r="E180" i="45"/>
  <c r="E165" i="45" s="1"/>
  <c r="D180" i="45"/>
  <c r="G177" i="45"/>
  <c r="F177" i="45"/>
  <c r="E177" i="45"/>
  <c r="D177" i="45"/>
  <c r="G171" i="45"/>
  <c r="F171" i="45"/>
  <c r="E171" i="45"/>
  <c r="D171" i="45"/>
  <c r="G170" i="45"/>
  <c r="F170" i="45"/>
  <c r="E170" i="45"/>
  <c r="D170" i="45"/>
  <c r="G168" i="45"/>
  <c r="F168" i="45"/>
  <c r="E168" i="45"/>
  <c r="E169" i="45" s="1"/>
  <c r="D168" i="45"/>
  <c r="D166" i="45"/>
  <c r="G165" i="45"/>
  <c r="G163" i="45"/>
  <c r="F163" i="45"/>
  <c r="E163" i="45"/>
  <c r="D163" i="45"/>
  <c r="G161" i="45"/>
  <c r="G160" i="45"/>
  <c r="F159" i="45"/>
  <c r="F161" i="45" s="1"/>
  <c r="G157" i="45"/>
  <c r="G156" i="45"/>
  <c r="F156" i="45"/>
  <c r="F157" i="45" s="1"/>
  <c r="E156" i="45"/>
  <c r="D156" i="45"/>
  <c r="G140" i="45"/>
  <c r="F140" i="45"/>
  <c r="E140" i="45"/>
  <c r="D140" i="45"/>
  <c r="G134" i="45"/>
  <c r="F134" i="45"/>
  <c r="E134" i="45"/>
  <c r="D134" i="45"/>
  <c r="E133" i="45"/>
  <c r="D133" i="45"/>
  <c r="G121" i="45"/>
  <c r="G159" i="45" s="1"/>
  <c r="F121" i="45"/>
  <c r="E121" i="45"/>
  <c r="E159" i="45" s="1"/>
  <c r="E161" i="45" s="1"/>
  <c r="D121" i="45"/>
  <c r="D159" i="45" s="1"/>
  <c r="D161" i="45" s="1"/>
  <c r="G117" i="45"/>
  <c r="F117" i="45"/>
  <c r="E117" i="45"/>
  <c r="D117" i="45"/>
  <c r="G112" i="45"/>
  <c r="G111" i="45" s="1"/>
  <c r="G167" i="45" s="1"/>
  <c r="F112" i="45"/>
  <c r="F111" i="45" s="1"/>
  <c r="F167" i="45" s="1"/>
  <c r="E112" i="45"/>
  <c r="E111" i="45" s="1"/>
  <c r="E167" i="45" s="1"/>
  <c r="D112" i="45"/>
  <c r="G107" i="45"/>
  <c r="G108" i="45" s="1"/>
  <c r="G106" i="45"/>
  <c r="F106" i="45"/>
  <c r="F107" i="45" s="1"/>
  <c r="E106" i="45"/>
  <c r="D106" i="45"/>
  <c r="G95" i="45"/>
  <c r="F95" i="45"/>
  <c r="E95" i="45"/>
  <c r="D95" i="45"/>
  <c r="G76" i="45"/>
  <c r="F76" i="45"/>
  <c r="E76" i="45"/>
  <c r="D76" i="45"/>
  <c r="G55" i="45"/>
  <c r="G166" i="45" s="1"/>
  <c r="F55" i="45"/>
  <c r="F166" i="45" s="1"/>
  <c r="E55" i="45"/>
  <c r="E166" i="45" s="1"/>
  <c r="D55" i="45"/>
  <c r="G36" i="45"/>
  <c r="G79" i="45" s="1"/>
  <c r="F36" i="45"/>
  <c r="F79" i="45" s="1"/>
  <c r="E36" i="45"/>
  <c r="E79" i="45" s="1"/>
  <c r="D36" i="45"/>
  <c r="D79" i="45" s="1"/>
  <c r="G21" i="45"/>
  <c r="G78" i="45" s="1"/>
  <c r="G178" i="45" s="1"/>
  <c r="F21" i="45"/>
  <c r="F78" i="45" s="1"/>
  <c r="F178" i="45" s="1"/>
  <c r="E21" i="45"/>
  <c r="E78" i="45" s="1"/>
  <c r="E178" i="45" s="1"/>
  <c r="D21" i="45"/>
  <c r="D78" i="45" s="1"/>
  <c r="D178" i="45" s="1"/>
  <c r="G183" i="44"/>
  <c r="G184" i="44" s="1"/>
  <c r="F183" i="44"/>
  <c r="E183" i="44"/>
  <c r="D183" i="44"/>
  <c r="D184" i="44" s="1"/>
  <c r="D172" i="44" s="1"/>
  <c r="G181" i="44"/>
  <c r="G185" i="44" s="1"/>
  <c r="F181" i="44"/>
  <c r="F185" i="44" s="1"/>
  <c r="E181" i="44"/>
  <c r="E185" i="44" s="1"/>
  <c r="D181" i="44"/>
  <c r="D185" i="44" s="1"/>
  <c r="G180" i="44"/>
  <c r="G165" i="44" s="1"/>
  <c r="F180" i="44"/>
  <c r="E180" i="44"/>
  <c r="D180" i="44"/>
  <c r="G177" i="44"/>
  <c r="F177" i="44"/>
  <c r="E177" i="44"/>
  <c r="E165" i="44" s="1"/>
  <c r="D177" i="44"/>
  <c r="G172" i="44"/>
  <c r="F172" i="44"/>
  <c r="G171" i="44"/>
  <c r="F171" i="44"/>
  <c r="E171" i="44"/>
  <c r="D171" i="44"/>
  <c r="G170" i="44"/>
  <c r="F170" i="44"/>
  <c r="F184" i="44" s="1"/>
  <c r="E170" i="44"/>
  <c r="D170" i="44"/>
  <c r="G168" i="44"/>
  <c r="F168" i="44"/>
  <c r="E168" i="44"/>
  <c r="D168" i="44"/>
  <c r="G166" i="44"/>
  <c r="F165" i="44"/>
  <c r="D165" i="44"/>
  <c r="G163" i="44"/>
  <c r="F163" i="44"/>
  <c r="E163" i="44"/>
  <c r="D163" i="44"/>
  <c r="G159" i="44"/>
  <c r="G161" i="44" s="1"/>
  <c r="G157" i="44"/>
  <c r="F157" i="44"/>
  <c r="G156" i="44"/>
  <c r="F156" i="44"/>
  <c r="E156" i="44"/>
  <c r="D156" i="44"/>
  <c r="G140" i="44"/>
  <c r="G133" i="44" s="1"/>
  <c r="G158" i="44" s="1"/>
  <c r="F140" i="44"/>
  <c r="E140" i="44"/>
  <c r="D140" i="44"/>
  <c r="G134" i="44"/>
  <c r="F134" i="44"/>
  <c r="F133" i="44" s="1"/>
  <c r="E134" i="44"/>
  <c r="D134" i="44"/>
  <c r="D133" i="44"/>
  <c r="F131" i="44"/>
  <c r="D122" i="44"/>
  <c r="G121" i="44"/>
  <c r="F121" i="44"/>
  <c r="F159" i="44" s="1"/>
  <c r="F161" i="44" s="1"/>
  <c r="E121" i="44"/>
  <c r="E159" i="44" s="1"/>
  <c r="E161" i="44" s="1"/>
  <c r="D121" i="44"/>
  <c r="D159" i="44" s="1"/>
  <c r="D161" i="44" s="1"/>
  <c r="G117" i="44"/>
  <c r="F117" i="44"/>
  <c r="E117" i="44"/>
  <c r="D117" i="44"/>
  <c r="G112" i="44"/>
  <c r="G111" i="44" s="1"/>
  <c r="F112" i="44"/>
  <c r="E112" i="44"/>
  <c r="E111" i="44" s="1"/>
  <c r="E167" i="44" s="1"/>
  <c r="D112" i="44"/>
  <c r="D111" i="44" s="1"/>
  <c r="F111" i="44"/>
  <c r="F167" i="44" s="1"/>
  <c r="G106" i="44"/>
  <c r="F106" i="44"/>
  <c r="E106" i="44"/>
  <c r="D106" i="44"/>
  <c r="G95" i="44"/>
  <c r="G107" i="44" s="1"/>
  <c r="F95" i="44"/>
  <c r="E95" i="44"/>
  <c r="D95" i="44"/>
  <c r="D107" i="44" s="1"/>
  <c r="G76" i="44"/>
  <c r="F76" i="44"/>
  <c r="E76" i="44"/>
  <c r="D74" i="44"/>
  <c r="D76" i="44" s="1"/>
  <c r="G55" i="44"/>
  <c r="F55" i="44"/>
  <c r="F166" i="44" s="1"/>
  <c r="E55" i="44"/>
  <c r="E166" i="44" s="1"/>
  <c r="D55" i="44"/>
  <c r="D166" i="44" s="1"/>
  <c r="G36" i="44"/>
  <c r="F36" i="44"/>
  <c r="F79" i="44" s="1"/>
  <c r="E36" i="44"/>
  <c r="E79" i="44" s="1"/>
  <c r="D36" i="44"/>
  <c r="G21" i="44"/>
  <c r="G78" i="44" s="1"/>
  <c r="G178" i="44" s="1"/>
  <c r="F21" i="44"/>
  <c r="F78" i="44" s="1"/>
  <c r="F178" i="44" s="1"/>
  <c r="E21" i="44"/>
  <c r="E78" i="44" s="1"/>
  <c r="E178" i="44" s="1"/>
  <c r="D21" i="44"/>
  <c r="D78" i="44" s="1"/>
  <c r="D178" i="44" s="1"/>
  <c r="G183" i="43"/>
  <c r="F183" i="43"/>
  <c r="E183" i="43"/>
  <c r="D183" i="43"/>
  <c r="G181" i="43"/>
  <c r="F181" i="43"/>
  <c r="F185" i="43" s="1"/>
  <c r="E181" i="43"/>
  <c r="E185" i="43" s="1"/>
  <c r="D181" i="43"/>
  <c r="D185" i="43" s="1"/>
  <c r="G180" i="43"/>
  <c r="F180" i="43"/>
  <c r="E180" i="43"/>
  <c r="D180" i="43"/>
  <c r="G177" i="43"/>
  <c r="G165" i="43" s="1"/>
  <c r="F177" i="43"/>
  <c r="E177" i="43"/>
  <c r="D177" i="43"/>
  <c r="D169" i="43" s="1"/>
  <c r="G171" i="43"/>
  <c r="F171" i="43"/>
  <c r="E171" i="43"/>
  <c r="D171" i="43"/>
  <c r="G170" i="43"/>
  <c r="F170" i="43"/>
  <c r="E170" i="43"/>
  <c r="D170" i="43"/>
  <c r="G168" i="43"/>
  <c r="F168" i="43"/>
  <c r="F169" i="43" s="1"/>
  <c r="E168" i="43"/>
  <c r="D168" i="43"/>
  <c r="F165" i="43"/>
  <c r="E165" i="43"/>
  <c r="G163" i="43"/>
  <c r="F163" i="43"/>
  <c r="E163" i="43"/>
  <c r="D163" i="43"/>
  <c r="D162" i="43"/>
  <c r="G161" i="43"/>
  <c r="G160" i="43"/>
  <c r="G156" i="43"/>
  <c r="F156" i="43"/>
  <c r="F157" i="43" s="1"/>
  <c r="E156" i="43"/>
  <c r="E157" i="43" s="1"/>
  <c r="D156" i="43"/>
  <c r="G140" i="43"/>
  <c r="F140" i="43"/>
  <c r="E140" i="43"/>
  <c r="D140" i="43"/>
  <c r="G134" i="43"/>
  <c r="G133" i="43" s="1"/>
  <c r="G158" i="43" s="1"/>
  <c r="G162" i="43" s="1"/>
  <c r="F134" i="43"/>
  <c r="E134" i="43"/>
  <c r="E133" i="43" s="1"/>
  <c r="D134" i="43"/>
  <c r="F133" i="43"/>
  <c r="G121" i="43"/>
  <c r="G159" i="43" s="1"/>
  <c r="F121" i="43"/>
  <c r="F159" i="43" s="1"/>
  <c r="F161" i="43" s="1"/>
  <c r="E121" i="43"/>
  <c r="E159" i="43" s="1"/>
  <c r="E161" i="43" s="1"/>
  <c r="D121" i="43"/>
  <c r="D159" i="43" s="1"/>
  <c r="D161" i="43" s="1"/>
  <c r="G117" i="43"/>
  <c r="F117" i="43"/>
  <c r="E117" i="43"/>
  <c r="D117" i="43"/>
  <c r="G112" i="43"/>
  <c r="G111" i="43" s="1"/>
  <c r="G167" i="43" s="1"/>
  <c r="F112" i="43"/>
  <c r="E112" i="43"/>
  <c r="E111" i="43" s="1"/>
  <c r="D112" i="43"/>
  <c r="D111" i="43" s="1"/>
  <c r="F111" i="43"/>
  <c r="F167" i="43" s="1"/>
  <c r="G106" i="43"/>
  <c r="F106" i="43"/>
  <c r="E106" i="43"/>
  <c r="D106" i="43"/>
  <c r="G95" i="43"/>
  <c r="G107" i="43" s="1"/>
  <c r="F95" i="43"/>
  <c r="E95" i="43"/>
  <c r="E107" i="43" s="1"/>
  <c r="D95" i="43"/>
  <c r="D107" i="43" s="1"/>
  <c r="D78" i="43"/>
  <c r="D178" i="43" s="1"/>
  <c r="G76" i="43"/>
  <c r="F76" i="43"/>
  <c r="E76" i="43"/>
  <c r="D76" i="43"/>
  <c r="G55" i="43"/>
  <c r="G166" i="43" s="1"/>
  <c r="F55" i="43"/>
  <c r="F166" i="43" s="1"/>
  <c r="E55" i="43"/>
  <c r="E166" i="43" s="1"/>
  <c r="D55" i="43"/>
  <c r="D166" i="43" s="1"/>
  <c r="G36" i="43"/>
  <c r="G79" i="43" s="1"/>
  <c r="F36" i="43"/>
  <c r="F79" i="43" s="1"/>
  <c r="E36" i="43"/>
  <c r="E79" i="43" s="1"/>
  <c r="D36" i="43"/>
  <c r="D79" i="43" s="1"/>
  <c r="G21" i="43"/>
  <c r="G78" i="43" s="1"/>
  <c r="G178" i="43" s="1"/>
  <c r="F21" i="43"/>
  <c r="F78" i="43" s="1"/>
  <c r="F178" i="43" s="1"/>
  <c r="E21" i="43"/>
  <c r="E78" i="43" s="1"/>
  <c r="E178" i="43" s="1"/>
  <c r="D21" i="43"/>
  <c r="G183" i="42"/>
  <c r="F183" i="42"/>
  <c r="F184" i="42" s="1"/>
  <c r="F172" i="42" s="1"/>
  <c r="E183" i="42"/>
  <c r="D183" i="42"/>
  <c r="G181" i="42"/>
  <c r="F181" i="42"/>
  <c r="E181" i="42"/>
  <c r="D181" i="42"/>
  <c r="G180" i="42"/>
  <c r="G165" i="42" s="1"/>
  <c r="F180" i="42"/>
  <c r="E180" i="42"/>
  <c r="D180" i="42"/>
  <c r="G177" i="42"/>
  <c r="F177" i="42"/>
  <c r="F165" i="42" s="1"/>
  <c r="E177" i="42"/>
  <c r="E165" i="42" s="1"/>
  <c r="D177" i="42"/>
  <c r="D165" i="42" s="1"/>
  <c r="G171" i="42"/>
  <c r="F171" i="42"/>
  <c r="E171" i="42"/>
  <c r="D171" i="42"/>
  <c r="G170" i="42"/>
  <c r="F170" i="42"/>
  <c r="E170" i="42"/>
  <c r="D170" i="42"/>
  <c r="G168" i="42"/>
  <c r="F168" i="42"/>
  <c r="E168" i="42"/>
  <c r="D168" i="42"/>
  <c r="G163" i="42"/>
  <c r="F163" i="42"/>
  <c r="E163" i="42"/>
  <c r="D163" i="42"/>
  <c r="G156" i="42"/>
  <c r="F156" i="42"/>
  <c r="E156" i="42"/>
  <c r="D156" i="42"/>
  <c r="G140" i="42"/>
  <c r="F140" i="42"/>
  <c r="E140" i="42"/>
  <c r="E133" i="42" s="1"/>
  <c r="D140" i="42"/>
  <c r="G134" i="42"/>
  <c r="G133" i="42" s="1"/>
  <c r="F134" i="42"/>
  <c r="E134" i="42"/>
  <c r="D134" i="42"/>
  <c r="G121" i="42"/>
  <c r="G159" i="42" s="1"/>
  <c r="G161" i="42" s="1"/>
  <c r="F121" i="42"/>
  <c r="F159" i="42" s="1"/>
  <c r="F161" i="42" s="1"/>
  <c r="E121" i="42"/>
  <c r="E159" i="42" s="1"/>
  <c r="E161" i="42" s="1"/>
  <c r="D121" i="42"/>
  <c r="D159" i="42" s="1"/>
  <c r="D161" i="42" s="1"/>
  <c r="G117" i="42"/>
  <c r="G111" i="42" s="1"/>
  <c r="G167" i="42" s="1"/>
  <c r="F117" i="42"/>
  <c r="E117" i="42"/>
  <c r="D117" i="42"/>
  <c r="G112" i="42"/>
  <c r="F112" i="42"/>
  <c r="F111" i="42" s="1"/>
  <c r="F167" i="42" s="1"/>
  <c r="E112" i="42"/>
  <c r="D112" i="42"/>
  <c r="D111" i="42" s="1"/>
  <c r="G106" i="42"/>
  <c r="F106" i="42"/>
  <c r="E106" i="42"/>
  <c r="D106" i="42"/>
  <c r="G95" i="42"/>
  <c r="F95" i="42"/>
  <c r="F107" i="42" s="1"/>
  <c r="E95" i="42"/>
  <c r="D95" i="42"/>
  <c r="D107" i="42" s="1"/>
  <c r="E78" i="42"/>
  <c r="E178" i="42" s="1"/>
  <c r="G76" i="42"/>
  <c r="F76" i="42"/>
  <c r="E76" i="42"/>
  <c r="D76" i="42"/>
  <c r="G55" i="42"/>
  <c r="G166" i="42" s="1"/>
  <c r="F55" i="42"/>
  <c r="F166" i="42" s="1"/>
  <c r="E55" i="42"/>
  <c r="E166" i="42" s="1"/>
  <c r="D55" i="42"/>
  <c r="D166" i="42" s="1"/>
  <c r="G36" i="42"/>
  <c r="G79" i="42" s="1"/>
  <c r="F36" i="42"/>
  <c r="F79" i="42" s="1"/>
  <c r="E36" i="42"/>
  <c r="E79" i="42" s="1"/>
  <c r="D36" i="42"/>
  <c r="D79" i="42" s="1"/>
  <c r="G21" i="42"/>
  <c r="G78" i="42" s="1"/>
  <c r="G178" i="42" s="1"/>
  <c r="F21" i="42"/>
  <c r="F78" i="42" s="1"/>
  <c r="F178" i="42" s="1"/>
  <c r="E21" i="42"/>
  <c r="D21" i="42"/>
  <c r="D78" i="42" s="1"/>
  <c r="D178" i="42" s="1"/>
  <c r="E158" i="42" l="1"/>
  <c r="G131" i="44"/>
  <c r="G167" i="44"/>
  <c r="G158" i="42"/>
  <c r="E184" i="42"/>
  <c r="E172" i="42" s="1"/>
  <c r="E169" i="44"/>
  <c r="D158" i="45"/>
  <c r="D158" i="47"/>
  <c r="F111" i="55"/>
  <c r="E158" i="55"/>
  <c r="D160" i="59"/>
  <c r="D162" i="59"/>
  <c r="D79" i="44"/>
  <c r="E157" i="44"/>
  <c r="E158" i="47"/>
  <c r="E157" i="47"/>
  <c r="F182" i="53"/>
  <c r="F186" i="53" s="1"/>
  <c r="G158" i="54"/>
  <c r="G147" i="54"/>
  <c r="G131" i="55"/>
  <c r="G167" i="55"/>
  <c r="D158" i="55"/>
  <c r="G184" i="42"/>
  <c r="G172" i="42" s="1"/>
  <c r="G169" i="45"/>
  <c r="D184" i="46"/>
  <c r="D172" i="46" s="1"/>
  <c r="D36" i="46"/>
  <c r="D181" i="46"/>
  <c r="D185" i="46" s="1"/>
  <c r="D164" i="57"/>
  <c r="D179" i="57"/>
  <c r="F167" i="60"/>
  <c r="F131" i="60"/>
  <c r="G167" i="61"/>
  <c r="G131" i="61"/>
  <c r="E158" i="45"/>
  <c r="E107" i="42"/>
  <c r="E111" i="42"/>
  <c r="D184" i="43"/>
  <c r="D172" i="43" s="1"/>
  <c r="E133" i="44"/>
  <c r="E158" i="44" s="1"/>
  <c r="E184" i="45"/>
  <c r="E172" i="45" s="1"/>
  <c r="E36" i="46"/>
  <c r="G165" i="47"/>
  <c r="F158" i="48"/>
  <c r="E165" i="48"/>
  <c r="E184" i="50"/>
  <c r="E172" i="50" s="1"/>
  <c r="G79" i="51"/>
  <c r="G37" i="51"/>
  <c r="E37" i="52"/>
  <c r="D133" i="53"/>
  <c r="G158" i="57"/>
  <c r="G162" i="57" s="1"/>
  <c r="E157" i="42"/>
  <c r="D169" i="42"/>
  <c r="D185" i="42"/>
  <c r="F184" i="43"/>
  <c r="F172" i="43" s="1"/>
  <c r="E107" i="44"/>
  <c r="F169" i="44"/>
  <c r="G133" i="45"/>
  <c r="G158" i="45" s="1"/>
  <c r="G162" i="45" s="1"/>
  <c r="D169" i="46"/>
  <c r="E165" i="47"/>
  <c r="G111" i="48"/>
  <c r="G167" i="48" s="1"/>
  <c r="F158" i="52"/>
  <c r="F131" i="52"/>
  <c r="G167" i="63"/>
  <c r="G131" i="63"/>
  <c r="D133" i="42"/>
  <c r="F157" i="42"/>
  <c r="E169" i="42"/>
  <c r="E185" i="42"/>
  <c r="D133" i="43"/>
  <c r="G184" i="43"/>
  <c r="G172" i="43" s="1"/>
  <c r="F107" i="44"/>
  <c r="F108" i="44" s="1"/>
  <c r="G169" i="44"/>
  <c r="E184" i="44"/>
  <c r="E172" i="44" s="1"/>
  <c r="E107" i="45"/>
  <c r="D111" i="45"/>
  <c r="D167" i="45" s="1"/>
  <c r="D185" i="45"/>
  <c r="G157" i="46"/>
  <c r="D185" i="47"/>
  <c r="G158" i="53"/>
  <c r="G160" i="53" s="1"/>
  <c r="F131" i="54"/>
  <c r="F167" i="54"/>
  <c r="E133" i="56"/>
  <c r="E158" i="56" s="1"/>
  <c r="D167" i="57"/>
  <c r="D158" i="57"/>
  <c r="G147" i="60"/>
  <c r="D184" i="42"/>
  <c r="D172" i="42" s="1"/>
  <c r="F158" i="43"/>
  <c r="F162" i="43" s="1"/>
  <c r="E184" i="43"/>
  <c r="E172" i="43" s="1"/>
  <c r="F133" i="46"/>
  <c r="E158" i="51"/>
  <c r="D133" i="52"/>
  <c r="D158" i="52" s="1"/>
  <c r="G167" i="54"/>
  <c r="G131" i="54"/>
  <c r="D179" i="56"/>
  <c r="D164" i="56"/>
  <c r="F158" i="56"/>
  <c r="D147" i="61"/>
  <c r="D158" i="61"/>
  <c r="D160" i="61" s="1"/>
  <c r="G157" i="42"/>
  <c r="F169" i="42"/>
  <c r="F185" i="42"/>
  <c r="G157" i="43"/>
  <c r="G107" i="47"/>
  <c r="F133" i="42"/>
  <c r="F158" i="42" s="1"/>
  <c r="G169" i="42"/>
  <c r="G185" i="42"/>
  <c r="D157" i="43"/>
  <c r="F131" i="45"/>
  <c r="D165" i="46"/>
  <c r="D186" i="47"/>
  <c r="G157" i="48"/>
  <c r="G169" i="48"/>
  <c r="D111" i="49"/>
  <c r="D167" i="49" s="1"/>
  <c r="E169" i="50"/>
  <c r="D185" i="50"/>
  <c r="F133" i="51"/>
  <c r="F158" i="51" s="1"/>
  <c r="D133" i="54"/>
  <c r="F169" i="54"/>
  <c r="E184" i="54"/>
  <c r="E172" i="54" s="1"/>
  <c r="E179" i="56"/>
  <c r="E164" i="56"/>
  <c r="E147" i="61"/>
  <c r="E158" i="61"/>
  <c r="E162" i="61" s="1"/>
  <c r="F158" i="62"/>
  <c r="G131" i="45"/>
  <c r="E21" i="46"/>
  <c r="E78" i="46" s="1"/>
  <c r="E178" i="46" s="1"/>
  <c r="E179" i="46" s="1"/>
  <c r="G79" i="46"/>
  <c r="G37" i="46"/>
  <c r="D131" i="46"/>
  <c r="G37" i="44"/>
  <c r="G56" i="44" s="1"/>
  <c r="G77" i="44" s="1"/>
  <c r="G150" i="44" s="1"/>
  <c r="G79" i="44"/>
  <c r="D157" i="44"/>
  <c r="D169" i="44"/>
  <c r="F185" i="45"/>
  <c r="E111" i="46"/>
  <c r="E167" i="46" s="1"/>
  <c r="E184" i="47"/>
  <c r="E172" i="47" s="1"/>
  <c r="D107" i="48"/>
  <c r="D108" i="48" s="1"/>
  <c r="D182" i="48"/>
  <c r="D186" i="48" s="1"/>
  <c r="D107" i="49"/>
  <c r="D108" i="49" s="1"/>
  <c r="E107" i="50"/>
  <c r="D111" i="50"/>
  <c r="F169" i="50"/>
  <c r="E185" i="50"/>
  <c r="G107" i="51"/>
  <c r="G108" i="51" s="1"/>
  <c r="G111" i="51"/>
  <c r="D107" i="52"/>
  <c r="G111" i="53"/>
  <c r="D185" i="53"/>
  <c r="D107" i="54"/>
  <c r="F147" i="54"/>
  <c r="G184" i="56"/>
  <c r="G172" i="56" s="1"/>
  <c r="E107" i="57"/>
  <c r="G169" i="57"/>
  <c r="G107" i="58"/>
  <c r="E169" i="58"/>
  <c r="E185" i="58"/>
  <c r="F184" i="59"/>
  <c r="F172" i="59" s="1"/>
  <c r="D107" i="60"/>
  <c r="E184" i="60"/>
  <c r="E172" i="60" s="1"/>
  <c r="F169" i="61"/>
  <c r="D185" i="61"/>
  <c r="G107" i="62"/>
  <c r="G108" i="62" s="1"/>
  <c r="D169" i="62"/>
  <c r="D169" i="63"/>
  <c r="F133" i="45"/>
  <c r="E107" i="48"/>
  <c r="F169" i="48"/>
  <c r="D157" i="48"/>
  <c r="E185" i="48"/>
  <c r="E107" i="49"/>
  <c r="D133" i="49"/>
  <c r="F169" i="49"/>
  <c r="G182" i="49"/>
  <c r="F107" i="50"/>
  <c r="F56" i="52"/>
  <c r="F77" i="52" s="1"/>
  <c r="F150" i="52" s="1"/>
  <c r="E107" i="52"/>
  <c r="F185" i="52"/>
  <c r="E107" i="54"/>
  <c r="D169" i="55"/>
  <c r="D107" i="56"/>
  <c r="F107" i="57"/>
  <c r="G157" i="57"/>
  <c r="D169" i="57"/>
  <c r="D185" i="57"/>
  <c r="F169" i="58"/>
  <c r="F185" i="58"/>
  <c r="G184" i="59"/>
  <c r="G172" i="59" s="1"/>
  <c r="E107" i="60"/>
  <c r="F164" i="60"/>
  <c r="G169" i="61"/>
  <c r="E185" i="61"/>
  <c r="E169" i="62"/>
  <c r="D185" i="62"/>
  <c r="E169" i="63"/>
  <c r="D185" i="63"/>
  <c r="G169" i="58"/>
  <c r="G158" i="59"/>
  <c r="D158" i="62"/>
  <c r="G107" i="48"/>
  <c r="G185" i="48"/>
  <c r="G107" i="49"/>
  <c r="D121" i="49"/>
  <c r="D159" i="49" s="1"/>
  <c r="D161" i="49" s="1"/>
  <c r="G157" i="49"/>
  <c r="E157" i="51"/>
  <c r="F184" i="51"/>
  <c r="F172" i="51" s="1"/>
  <c r="G157" i="53"/>
  <c r="G169" i="54"/>
  <c r="D184" i="54"/>
  <c r="D172" i="54" s="1"/>
  <c r="D157" i="55"/>
  <c r="D169" i="56"/>
  <c r="D165" i="57"/>
  <c r="F169" i="57"/>
  <c r="E158" i="58"/>
  <c r="D184" i="58"/>
  <c r="D172" i="58" s="1"/>
  <c r="D158" i="63"/>
  <c r="F158" i="58"/>
  <c r="E184" i="58"/>
  <c r="E172" i="58" s="1"/>
  <c r="D184" i="61"/>
  <c r="D172" i="61" s="1"/>
  <c r="D158" i="56"/>
  <c r="F158" i="57"/>
  <c r="F165" i="57"/>
  <c r="E179" i="57"/>
  <c r="D184" i="57"/>
  <c r="D172" i="57" s="1"/>
  <c r="G158" i="58"/>
  <c r="G162" i="58" s="1"/>
  <c r="E157" i="58"/>
  <c r="F184" i="58"/>
  <c r="F172" i="58" s="1"/>
  <c r="E179" i="61"/>
  <c r="D184" i="63"/>
  <c r="D172" i="63" s="1"/>
  <c r="F184" i="48"/>
  <c r="F172" i="48" s="1"/>
  <c r="E157" i="50"/>
  <c r="F184" i="50"/>
  <c r="F172" i="50" s="1"/>
  <c r="E169" i="51"/>
  <c r="D185" i="51"/>
  <c r="F182" i="52"/>
  <c r="F186" i="52" s="1"/>
  <c r="D185" i="52"/>
  <c r="G107" i="53"/>
  <c r="D169" i="53"/>
  <c r="E107" i="55"/>
  <c r="G185" i="56"/>
  <c r="E158" i="57"/>
  <c r="E184" i="57"/>
  <c r="E172" i="57" s="1"/>
  <c r="F157" i="58"/>
  <c r="E165" i="58"/>
  <c r="G184" i="58"/>
  <c r="G172" i="58" s="1"/>
  <c r="E107" i="59"/>
  <c r="D157" i="59"/>
  <c r="F185" i="59"/>
  <c r="D165" i="61"/>
  <c r="F184" i="61"/>
  <c r="F172" i="61" s="1"/>
  <c r="D79" i="62"/>
  <c r="G111" i="62"/>
  <c r="F157" i="62"/>
  <c r="E184" i="62"/>
  <c r="E172" i="62" s="1"/>
  <c r="D79" i="63"/>
  <c r="E157" i="63"/>
  <c r="E184" i="63"/>
  <c r="E172" i="63" s="1"/>
  <c r="E185" i="51"/>
  <c r="D111" i="53"/>
  <c r="D111" i="54"/>
  <c r="D167" i="54" s="1"/>
  <c r="F133" i="55"/>
  <c r="F147" i="55" s="1"/>
  <c r="D184" i="55"/>
  <c r="D172" i="55" s="1"/>
  <c r="D157" i="56"/>
  <c r="D184" i="56"/>
  <c r="D172" i="56" s="1"/>
  <c r="F184" i="57"/>
  <c r="F172" i="57" s="1"/>
  <c r="D107" i="58"/>
  <c r="G157" i="58"/>
  <c r="F107" i="59"/>
  <c r="G169" i="59"/>
  <c r="E157" i="59"/>
  <c r="G185" i="59"/>
  <c r="E167" i="61"/>
  <c r="G184" i="61"/>
  <c r="G172" i="61" s="1"/>
  <c r="D165" i="62"/>
  <c r="D107" i="63"/>
  <c r="F157" i="63"/>
  <c r="D165" i="63"/>
  <c r="F184" i="63"/>
  <c r="F172" i="63" s="1"/>
  <c r="G107" i="42"/>
  <c r="D157" i="42"/>
  <c r="F107" i="43"/>
  <c r="G169" i="43"/>
  <c r="G185" i="43"/>
  <c r="D107" i="45"/>
  <c r="E157" i="45"/>
  <c r="F169" i="45"/>
  <c r="G182" i="45"/>
  <c r="D182" i="45"/>
  <c r="D186" i="45" s="1"/>
  <c r="D21" i="46"/>
  <c r="D78" i="46" s="1"/>
  <c r="D178" i="46" s="1"/>
  <c r="G169" i="46"/>
  <c r="F184" i="46"/>
  <c r="F172" i="46" s="1"/>
  <c r="F107" i="47"/>
  <c r="G185" i="47"/>
  <c r="F157" i="48"/>
  <c r="F157" i="49"/>
  <c r="F184" i="49"/>
  <c r="F172" i="49" s="1"/>
  <c r="G37" i="50"/>
  <c r="G157" i="50"/>
  <c r="D169" i="50"/>
  <c r="E107" i="51"/>
  <c r="F185" i="51"/>
  <c r="G169" i="52"/>
  <c r="G185" i="52"/>
  <c r="G184" i="53"/>
  <c r="G172" i="53" s="1"/>
  <c r="G133" i="55"/>
  <c r="G158" i="55" s="1"/>
  <c r="E184" i="55"/>
  <c r="E172" i="55" s="1"/>
  <c r="E157" i="56"/>
  <c r="E184" i="56"/>
  <c r="E172" i="56" s="1"/>
  <c r="G184" i="57"/>
  <c r="G172" i="57" s="1"/>
  <c r="G107" i="59"/>
  <c r="D184" i="59"/>
  <c r="D172" i="59" s="1"/>
  <c r="G111" i="60"/>
  <c r="G158" i="60" s="1"/>
  <c r="D169" i="61"/>
  <c r="E107" i="63"/>
  <c r="G158" i="52"/>
  <c r="G162" i="52" s="1"/>
  <c r="G169" i="53"/>
  <c r="F184" i="56"/>
  <c r="F172" i="56" s="1"/>
  <c r="D107" i="57"/>
  <c r="D108" i="57" s="1"/>
  <c r="D153" i="57" s="1"/>
  <c r="F107" i="58"/>
  <c r="D185" i="58"/>
  <c r="E184" i="59"/>
  <c r="E172" i="59" s="1"/>
  <c r="G169" i="60"/>
  <c r="D184" i="60"/>
  <c r="D172" i="60" s="1"/>
  <c r="E169" i="61"/>
  <c r="F107" i="62"/>
  <c r="F107" i="63"/>
  <c r="D179" i="42"/>
  <c r="D164" i="42"/>
  <c r="D167" i="42"/>
  <c r="D131" i="42"/>
  <c r="E162" i="42"/>
  <c r="E160" i="42"/>
  <c r="D108" i="44"/>
  <c r="E164" i="46"/>
  <c r="G179" i="50"/>
  <c r="G164" i="50"/>
  <c r="F158" i="55"/>
  <c r="D152" i="43"/>
  <c r="D108" i="43"/>
  <c r="D153" i="43" s="1"/>
  <c r="F179" i="45"/>
  <c r="F164" i="45"/>
  <c r="D162" i="47"/>
  <c r="D160" i="47"/>
  <c r="E108" i="43"/>
  <c r="D179" i="44"/>
  <c r="D164" i="44"/>
  <c r="G179" i="44"/>
  <c r="G164" i="44"/>
  <c r="G162" i="44"/>
  <c r="G160" i="44"/>
  <c r="G179" i="45"/>
  <c r="G164" i="45"/>
  <c r="D162" i="46"/>
  <c r="D160" i="46"/>
  <c r="E179" i="47"/>
  <c r="E164" i="47"/>
  <c r="E162" i="47"/>
  <c r="E160" i="47"/>
  <c r="D158" i="49"/>
  <c r="D147" i="49"/>
  <c r="G179" i="51"/>
  <c r="G164" i="51"/>
  <c r="D167" i="53"/>
  <c r="D131" i="53"/>
  <c r="F164" i="55"/>
  <c r="F179" i="55"/>
  <c r="E179" i="43"/>
  <c r="E164" i="43"/>
  <c r="E167" i="43"/>
  <c r="E131" i="43"/>
  <c r="E158" i="43"/>
  <c r="F179" i="44"/>
  <c r="F164" i="44"/>
  <c r="F158" i="45"/>
  <c r="F147" i="45"/>
  <c r="F155" i="52"/>
  <c r="F151" i="52"/>
  <c r="F154" i="52"/>
  <c r="F152" i="52"/>
  <c r="D108" i="53"/>
  <c r="D152" i="57"/>
  <c r="E179" i="42"/>
  <c r="E164" i="42"/>
  <c r="E167" i="42"/>
  <c r="E131" i="42"/>
  <c r="F158" i="44"/>
  <c r="F147" i="44"/>
  <c r="D179" i="46"/>
  <c r="D164" i="46"/>
  <c r="D108" i="42"/>
  <c r="E108" i="42"/>
  <c r="D158" i="42"/>
  <c r="D147" i="42"/>
  <c r="D179" i="43"/>
  <c r="D164" i="43"/>
  <c r="D131" i="43"/>
  <c r="D167" i="43"/>
  <c r="D158" i="43"/>
  <c r="D160" i="43" s="1"/>
  <c r="D160" i="48"/>
  <c r="D162" i="48"/>
  <c r="G167" i="51"/>
  <c r="G131" i="51"/>
  <c r="G158" i="51"/>
  <c r="F179" i="42"/>
  <c r="F164" i="42"/>
  <c r="F160" i="43"/>
  <c r="D182" i="43"/>
  <c r="D186" i="43" s="1"/>
  <c r="D37" i="44"/>
  <c r="E108" i="44"/>
  <c r="D157" i="45"/>
  <c r="G166" i="46"/>
  <c r="G56" i="46"/>
  <c r="G77" i="46" s="1"/>
  <c r="G150" i="46" s="1"/>
  <c r="G152" i="46" s="1"/>
  <c r="D182" i="46"/>
  <c r="D186" i="46" s="1"/>
  <c r="E37" i="47"/>
  <c r="E56" i="47" s="1"/>
  <c r="E77" i="47" s="1"/>
  <c r="E150" i="47" s="1"/>
  <c r="G108" i="47"/>
  <c r="E147" i="47"/>
  <c r="G108" i="48"/>
  <c r="D179" i="48"/>
  <c r="D164" i="48"/>
  <c r="D164" i="50"/>
  <c r="D179" i="50"/>
  <c r="G186" i="51"/>
  <c r="G160" i="52"/>
  <c r="F179" i="53"/>
  <c r="F164" i="53"/>
  <c r="D179" i="53"/>
  <c r="D164" i="53"/>
  <c r="D182" i="58"/>
  <c r="D186" i="58" s="1"/>
  <c r="E160" i="59"/>
  <c r="E162" i="59"/>
  <c r="G162" i="42"/>
  <c r="G160" i="42"/>
  <c r="E182" i="43"/>
  <c r="E186" i="43" s="1"/>
  <c r="E108" i="45"/>
  <c r="D165" i="47"/>
  <c r="D179" i="47"/>
  <c r="D164" i="47"/>
  <c r="D165" i="48"/>
  <c r="D179" i="49"/>
  <c r="G185" i="49"/>
  <c r="G167" i="50"/>
  <c r="G131" i="50"/>
  <c r="G185" i="51"/>
  <c r="G179" i="53"/>
  <c r="G164" i="53"/>
  <c r="F179" i="54"/>
  <c r="F164" i="54"/>
  <c r="F185" i="54"/>
  <c r="F182" i="54"/>
  <c r="F186" i="54" s="1"/>
  <c r="F179" i="56"/>
  <c r="F164" i="56"/>
  <c r="D108" i="56"/>
  <c r="G179" i="61"/>
  <c r="G164" i="61"/>
  <c r="F166" i="61"/>
  <c r="F56" i="61"/>
  <c r="F77" i="61" s="1"/>
  <c r="F150" i="61" s="1"/>
  <c r="G158" i="61"/>
  <c r="G147" i="61"/>
  <c r="D37" i="42"/>
  <c r="D56" i="42" s="1"/>
  <c r="D77" i="42" s="1"/>
  <c r="D150" i="42" s="1"/>
  <c r="F108" i="42"/>
  <c r="D182" i="42"/>
  <c r="D186" i="42" s="1"/>
  <c r="D37" i="43"/>
  <c r="D56" i="43" s="1"/>
  <c r="D77" i="43" s="1"/>
  <c r="D150" i="43" s="1"/>
  <c r="F108" i="43"/>
  <c r="D147" i="43"/>
  <c r="D151" i="43"/>
  <c r="D56" i="44"/>
  <c r="D77" i="44" s="1"/>
  <c r="D150" i="44" s="1"/>
  <c r="D152" i="44" s="1"/>
  <c r="G108" i="44"/>
  <c r="D158" i="44"/>
  <c r="F182" i="44"/>
  <c r="F186" i="44" s="1"/>
  <c r="F37" i="45"/>
  <c r="F56" i="45" s="1"/>
  <c r="F77" i="45" s="1"/>
  <c r="F150" i="45" s="1"/>
  <c r="F152" i="45" s="1"/>
  <c r="F108" i="45"/>
  <c r="D162" i="45"/>
  <c r="D160" i="45"/>
  <c r="D169" i="45"/>
  <c r="F79" i="46"/>
  <c r="F37" i="46"/>
  <c r="F56" i="46" s="1"/>
  <c r="F77" i="46" s="1"/>
  <c r="F150" i="46" s="1"/>
  <c r="F152" i="46" s="1"/>
  <c r="D108" i="46"/>
  <c r="F108" i="46"/>
  <c r="D147" i="46"/>
  <c r="E108" i="47"/>
  <c r="E185" i="47"/>
  <c r="E108" i="48"/>
  <c r="D147" i="48"/>
  <c r="D185" i="48"/>
  <c r="F166" i="49"/>
  <c r="G108" i="49"/>
  <c r="G186" i="49"/>
  <c r="G56" i="50"/>
  <c r="G77" i="50" s="1"/>
  <c r="G150" i="50" s="1"/>
  <c r="D108" i="50"/>
  <c r="G108" i="50"/>
  <c r="D167" i="50"/>
  <c r="D131" i="50"/>
  <c r="D158" i="50"/>
  <c r="G158" i="50"/>
  <c r="G56" i="51"/>
  <c r="G77" i="51" s="1"/>
  <c r="G150" i="51" s="1"/>
  <c r="G153" i="51" s="1"/>
  <c r="D108" i="51"/>
  <c r="D167" i="51"/>
  <c r="D131" i="51"/>
  <c r="D158" i="51"/>
  <c r="E185" i="52"/>
  <c r="E182" i="52"/>
  <c r="F162" i="52"/>
  <c r="F160" i="52"/>
  <c r="E167" i="53"/>
  <c r="E131" i="53"/>
  <c r="F158" i="53"/>
  <c r="F147" i="53"/>
  <c r="E169" i="53"/>
  <c r="E165" i="53"/>
  <c r="E157" i="53"/>
  <c r="F108" i="54"/>
  <c r="F185" i="55"/>
  <c r="F182" i="55"/>
  <c r="F186" i="55" s="1"/>
  <c r="E108" i="56"/>
  <c r="F162" i="58"/>
  <c r="F160" i="58"/>
  <c r="F162" i="42"/>
  <c r="F160" i="42"/>
  <c r="F179" i="43"/>
  <c r="F164" i="43"/>
  <c r="D165" i="43"/>
  <c r="D108" i="45"/>
  <c r="D165" i="45"/>
  <c r="D179" i="45"/>
  <c r="D164" i="45"/>
  <c r="E179" i="48"/>
  <c r="E164" i="48"/>
  <c r="E37" i="48"/>
  <c r="E56" i="48" s="1"/>
  <c r="E77" i="48" s="1"/>
  <c r="E150" i="48" s="1"/>
  <c r="G164" i="49"/>
  <c r="G179" i="49"/>
  <c r="D179" i="51"/>
  <c r="D164" i="51"/>
  <c r="E108" i="52"/>
  <c r="F179" i="52"/>
  <c r="E166" i="54"/>
  <c r="F79" i="55"/>
  <c r="F37" i="55"/>
  <c r="F56" i="55" s="1"/>
  <c r="F77" i="55" s="1"/>
  <c r="F150" i="55" s="1"/>
  <c r="G179" i="42"/>
  <c r="G164" i="42"/>
  <c r="G179" i="43"/>
  <c r="G164" i="43"/>
  <c r="E169" i="43"/>
  <c r="E179" i="44"/>
  <c r="E164" i="44"/>
  <c r="E37" i="44"/>
  <c r="E56" i="44" s="1"/>
  <c r="E77" i="44" s="1"/>
  <c r="E150" i="44" s="1"/>
  <c r="E79" i="46"/>
  <c r="E37" i="46"/>
  <c r="E181" i="46"/>
  <c r="D108" i="47"/>
  <c r="G185" i="50"/>
  <c r="E167" i="52"/>
  <c r="E131" i="52"/>
  <c r="E158" i="52"/>
  <c r="E184" i="52"/>
  <c r="E172" i="52" s="1"/>
  <c r="G164" i="55"/>
  <c r="G179" i="55"/>
  <c r="G147" i="55"/>
  <c r="F79" i="56"/>
  <c r="F37" i="56"/>
  <c r="F56" i="56" s="1"/>
  <c r="F77" i="56" s="1"/>
  <c r="F150" i="56" s="1"/>
  <c r="D162" i="56"/>
  <c r="D160" i="56"/>
  <c r="E185" i="57"/>
  <c r="F108" i="59"/>
  <c r="D182" i="59"/>
  <c r="D186" i="59" s="1"/>
  <c r="G79" i="61"/>
  <c r="G37" i="61"/>
  <c r="G56" i="61" s="1"/>
  <c r="G77" i="61" s="1"/>
  <c r="G150" i="61" s="1"/>
  <c r="E37" i="42"/>
  <c r="E56" i="42" s="1"/>
  <c r="E77" i="42" s="1"/>
  <c r="E150" i="42" s="1"/>
  <c r="E152" i="42" s="1"/>
  <c r="G108" i="42"/>
  <c r="E147" i="42"/>
  <c r="E182" i="42"/>
  <c r="E186" i="42" s="1"/>
  <c r="E37" i="43"/>
  <c r="E56" i="43" s="1"/>
  <c r="E77" i="43" s="1"/>
  <c r="E150" i="43" s="1"/>
  <c r="G108" i="43"/>
  <c r="E147" i="43"/>
  <c r="D167" i="44"/>
  <c r="D131" i="44"/>
  <c r="E162" i="44"/>
  <c r="E160" i="44"/>
  <c r="G147" i="44"/>
  <c r="G182" i="44"/>
  <c r="G186" i="44" s="1"/>
  <c r="E179" i="45"/>
  <c r="E164" i="45"/>
  <c r="G37" i="45"/>
  <c r="G56" i="45" s="1"/>
  <c r="G77" i="45" s="1"/>
  <c r="G150" i="45" s="1"/>
  <c r="G153" i="45" s="1"/>
  <c r="E162" i="45"/>
  <c r="E160" i="45"/>
  <c r="G147" i="45"/>
  <c r="G184" i="45"/>
  <c r="G172" i="45" s="1"/>
  <c r="F179" i="46"/>
  <c r="F164" i="46"/>
  <c r="G108" i="46"/>
  <c r="G153" i="46" s="1"/>
  <c r="E147" i="46"/>
  <c r="E177" i="46"/>
  <c r="D37" i="47"/>
  <c r="D56" i="47" s="1"/>
  <c r="D77" i="47" s="1"/>
  <c r="D150" i="47" s="1"/>
  <c r="D152" i="47" s="1"/>
  <c r="F108" i="47"/>
  <c r="D147" i="47"/>
  <c r="D169" i="47"/>
  <c r="D37" i="48"/>
  <c r="D56" i="48" s="1"/>
  <c r="D77" i="48" s="1"/>
  <c r="D150" i="48" s="1"/>
  <c r="F108" i="48"/>
  <c r="E160" i="48"/>
  <c r="E162" i="48"/>
  <c r="D169" i="48"/>
  <c r="D183" i="49"/>
  <c r="D184" i="49" s="1"/>
  <c r="D172" i="49" s="1"/>
  <c r="D180" i="49"/>
  <c r="F179" i="49"/>
  <c r="F164" i="49"/>
  <c r="D177" i="49"/>
  <c r="D181" i="49"/>
  <c r="F37" i="49"/>
  <c r="F56" i="49" s="1"/>
  <c r="F77" i="49" s="1"/>
  <c r="F150" i="49" s="1"/>
  <c r="F108" i="49"/>
  <c r="E179" i="50"/>
  <c r="E164" i="50"/>
  <c r="E162" i="50"/>
  <c r="E160" i="50"/>
  <c r="E179" i="51"/>
  <c r="E164" i="51"/>
  <c r="E162" i="51"/>
  <c r="E160" i="51"/>
  <c r="E56" i="52"/>
  <c r="E77" i="52" s="1"/>
  <c r="E150" i="52" s="1"/>
  <c r="E152" i="52" s="1"/>
  <c r="E166" i="52"/>
  <c r="F153" i="52"/>
  <c r="E179" i="52"/>
  <c r="E108" i="53"/>
  <c r="E108" i="54"/>
  <c r="E108" i="57"/>
  <c r="E153" i="57" s="1"/>
  <c r="E152" i="57"/>
  <c r="D108" i="58"/>
  <c r="E108" i="58"/>
  <c r="E169" i="48"/>
  <c r="E182" i="48"/>
  <c r="E186" i="48" s="1"/>
  <c r="G162" i="49"/>
  <c r="F179" i="51"/>
  <c r="F164" i="51"/>
  <c r="G162" i="53"/>
  <c r="F79" i="54"/>
  <c r="F37" i="54"/>
  <c r="F56" i="54" s="1"/>
  <c r="F77" i="54" s="1"/>
  <c r="F150" i="54" s="1"/>
  <c r="F152" i="54" s="1"/>
  <c r="E167" i="54"/>
  <c r="E131" i="54"/>
  <c r="G185" i="54"/>
  <c r="G182" i="54"/>
  <c r="G186" i="54" s="1"/>
  <c r="G79" i="55"/>
  <c r="G37" i="55"/>
  <c r="G56" i="55" s="1"/>
  <c r="G77" i="55" s="1"/>
  <c r="G150" i="55" s="1"/>
  <c r="G153" i="55" s="1"/>
  <c r="G79" i="56"/>
  <c r="G37" i="56"/>
  <c r="G56" i="56" s="1"/>
  <c r="G77" i="56" s="1"/>
  <c r="G150" i="56" s="1"/>
  <c r="E182" i="58"/>
  <c r="E186" i="58" s="1"/>
  <c r="G108" i="59"/>
  <c r="E167" i="60"/>
  <c r="E131" i="60"/>
  <c r="D179" i="61"/>
  <c r="D164" i="61"/>
  <c r="G79" i="63"/>
  <c r="G37" i="63"/>
  <c r="G56" i="63" s="1"/>
  <c r="G77" i="63" s="1"/>
  <c r="G150" i="63" s="1"/>
  <c r="D160" i="63"/>
  <c r="D162" i="63"/>
  <c r="F37" i="42"/>
  <c r="F56" i="42" s="1"/>
  <c r="F77" i="42" s="1"/>
  <c r="F150" i="42" s="1"/>
  <c r="F152" i="42" s="1"/>
  <c r="F131" i="42"/>
  <c r="F147" i="42"/>
  <c r="F182" i="42"/>
  <c r="F186" i="42" s="1"/>
  <c r="F37" i="43"/>
  <c r="F56" i="43"/>
  <c r="F77" i="43" s="1"/>
  <c r="F150" i="43" s="1"/>
  <c r="F131" i="43"/>
  <c r="F147" i="43"/>
  <c r="F182" i="43"/>
  <c r="F186" i="43" s="1"/>
  <c r="F37" i="44"/>
  <c r="F56" i="44" s="1"/>
  <c r="F77" i="44" s="1"/>
  <c r="F150" i="44" s="1"/>
  <c r="D147" i="44"/>
  <c r="D182" i="44"/>
  <c r="D186" i="44" s="1"/>
  <c r="D37" i="45"/>
  <c r="D56" i="45" s="1"/>
  <c r="D77" i="45" s="1"/>
  <c r="D150" i="45" s="1"/>
  <c r="D131" i="45"/>
  <c r="D147" i="45"/>
  <c r="E56" i="46"/>
  <c r="E77" i="46" s="1"/>
  <c r="E150" i="46" s="1"/>
  <c r="G179" i="46"/>
  <c r="G164" i="46"/>
  <c r="F167" i="46"/>
  <c r="F131" i="46"/>
  <c r="F158" i="46"/>
  <c r="F179" i="47"/>
  <c r="F164" i="47"/>
  <c r="D131" i="47"/>
  <c r="F162" i="47"/>
  <c r="F160" i="47"/>
  <c r="F179" i="48"/>
  <c r="F164" i="48"/>
  <c r="D131" i="48"/>
  <c r="F162" i="48"/>
  <c r="F160" i="48"/>
  <c r="D36" i="49"/>
  <c r="F167" i="49"/>
  <c r="F131" i="49"/>
  <c r="E167" i="49"/>
  <c r="E131" i="49"/>
  <c r="D131" i="49"/>
  <c r="F158" i="49"/>
  <c r="G165" i="49"/>
  <c r="G167" i="49"/>
  <c r="E108" i="50"/>
  <c r="E108" i="51"/>
  <c r="G179" i="52"/>
  <c r="G164" i="52"/>
  <c r="G108" i="52"/>
  <c r="E177" i="52"/>
  <c r="D37" i="53"/>
  <c r="D56" i="53" s="1"/>
  <c r="D77" i="53" s="1"/>
  <c r="D150" i="53" s="1"/>
  <c r="E185" i="53"/>
  <c r="E182" i="53"/>
  <c r="E186" i="53" s="1"/>
  <c r="E181" i="54"/>
  <c r="E177" i="54"/>
  <c r="E36" i="54"/>
  <c r="D131" i="54"/>
  <c r="D108" i="55"/>
  <c r="F153" i="55"/>
  <c r="F169" i="55"/>
  <c r="F151" i="55"/>
  <c r="D179" i="58"/>
  <c r="D164" i="58"/>
  <c r="D179" i="59"/>
  <c r="D164" i="59"/>
  <c r="D147" i="59"/>
  <c r="D179" i="60"/>
  <c r="D164" i="60"/>
  <c r="D181" i="60"/>
  <c r="D177" i="60"/>
  <c r="D36" i="60"/>
  <c r="G185" i="60"/>
  <c r="G182" i="60"/>
  <c r="G186" i="60" s="1"/>
  <c r="E147" i="48"/>
  <c r="E183" i="49"/>
  <c r="E184" i="49" s="1"/>
  <c r="E172" i="49" s="1"/>
  <c r="E180" i="49"/>
  <c r="G37" i="49"/>
  <c r="G56" i="49" s="1"/>
  <c r="G77" i="49" s="1"/>
  <c r="G150" i="49" s="1"/>
  <c r="F179" i="50"/>
  <c r="F164" i="50"/>
  <c r="D56" i="50"/>
  <c r="D77" i="50" s="1"/>
  <c r="D150" i="50" s="1"/>
  <c r="F162" i="50"/>
  <c r="F160" i="50"/>
  <c r="F162" i="51"/>
  <c r="F160" i="51"/>
  <c r="D162" i="52"/>
  <c r="D160" i="52"/>
  <c r="F169" i="53"/>
  <c r="E179" i="54"/>
  <c r="E164" i="54"/>
  <c r="E158" i="54"/>
  <c r="E160" i="54" s="1"/>
  <c r="F160" i="54"/>
  <c r="G185" i="55"/>
  <c r="G182" i="55"/>
  <c r="G186" i="55" s="1"/>
  <c r="G179" i="56"/>
  <c r="G164" i="56"/>
  <c r="E162" i="56"/>
  <c r="E160" i="56"/>
  <c r="D131" i="58"/>
  <c r="E182" i="59"/>
  <c r="E186" i="59" s="1"/>
  <c r="F184" i="60"/>
  <c r="F172" i="60" s="1"/>
  <c r="F185" i="60"/>
  <c r="G164" i="63"/>
  <c r="G179" i="63"/>
  <c r="G37" i="42"/>
  <c r="G56" i="42" s="1"/>
  <c r="G77" i="42" s="1"/>
  <c r="G150" i="42" s="1"/>
  <c r="G152" i="42" s="1"/>
  <c r="G131" i="42"/>
  <c r="G147" i="42"/>
  <c r="G182" i="42"/>
  <c r="G186" i="42" s="1"/>
  <c r="G37" i="43"/>
  <c r="G56" i="43" s="1"/>
  <c r="G77" i="43" s="1"/>
  <c r="G150" i="43" s="1"/>
  <c r="G131" i="43"/>
  <c r="G147" i="43"/>
  <c r="G182" i="43"/>
  <c r="G186" i="43" s="1"/>
  <c r="E131" i="44"/>
  <c r="E147" i="44"/>
  <c r="E182" i="44"/>
  <c r="E186" i="44" s="1"/>
  <c r="E37" i="45"/>
  <c r="E56" i="45" s="1"/>
  <c r="E77" i="45" s="1"/>
  <c r="E150" i="45" s="1"/>
  <c r="E131" i="45"/>
  <c r="E147" i="45"/>
  <c r="D79" i="46"/>
  <c r="D37" i="46"/>
  <c r="D56" i="46" s="1"/>
  <c r="D77" i="46" s="1"/>
  <c r="D150" i="46" s="1"/>
  <c r="G167" i="46"/>
  <c r="G131" i="46"/>
  <c r="E131" i="46"/>
  <c r="G158" i="46"/>
  <c r="E152" i="46"/>
  <c r="G179" i="47"/>
  <c r="G164" i="47"/>
  <c r="E131" i="47"/>
  <c r="G162" i="47"/>
  <c r="G160" i="47"/>
  <c r="G179" i="48"/>
  <c r="G164" i="48"/>
  <c r="E131" i="48"/>
  <c r="E179" i="49"/>
  <c r="E164" i="49"/>
  <c r="E36" i="49"/>
  <c r="E108" i="49"/>
  <c r="D37" i="50"/>
  <c r="F108" i="50"/>
  <c r="D147" i="50"/>
  <c r="D182" i="50"/>
  <c r="D186" i="50" s="1"/>
  <c r="D37" i="51"/>
  <c r="D56" i="51" s="1"/>
  <c r="D77" i="51" s="1"/>
  <c r="D150" i="51" s="1"/>
  <c r="F108" i="51"/>
  <c r="D147" i="51"/>
  <c r="D182" i="51"/>
  <c r="D186" i="51" s="1"/>
  <c r="D179" i="52"/>
  <c r="D164" i="52"/>
  <c r="D108" i="52"/>
  <c r="E164" i="52"/>
  <c r="E37" i="53"/>
  <c r="E56" i="53" s="1"/>
  <c r="E77" i="53" s="1"/>
  <c r="E150" i="53" s="1"/>
  <c r="G108" i="53"/>
  <c r="D108" i="54"/>
  <c r="G179" i="54"/>
  <c r="G164" i="54"/>
  <c r="E108" i="55"/>
  <c r="G169" i="55"/>
  <c r="F179" i="58"/>
  <c r="F164" i="58"/>
  <c r="E179" i="58"/>
  <c r="E164" i="58"/>
  <c r="E179" i="59"/>
  <c r="E164" i="59"/>
  <c r="E147" i="59"/>
  <c r="E179" i="60"/>
  <c r="E164" i="60"/>
  <c r="E181" i="60"/>
  <c r="E177" i="60"/>
  <c r="E36" i="60"/>
  <c r="F186" i="60"/>
  <c r="E182" i="45"/>
  <c r="E186" i="45" s="1"/>
  <c r="F147" i="46"/>
  <c r="F182" i="46"/>
  <c r="F186" i="46" s="1"/>
  <c r="F37" i="47"/>
  <c r="F56" i="47" s="1"/>
  <c r="F77" i="47" s="1"/>
  <c r="F150" i="47" s="1"/>
  <c r="F131" i="47"/>
  <c r="F147" i="47"/>
  <c r="F182" i="47"/>
  <c r="F186" i="47" s="1"/>
  <c r="F37" i="48"/>
  <c r="F56" i="48" s="1"/>
  <c r="F77" i="48" s="1"/>
  <c r="F150" i="48" s="1"/>
  <c r="F131" i="48"/>
  <c r="F147" i="48"/>
  <c r="F182" i="48"/>
  <c r="F186" i="48" s="1"/>
  <c r="E147" i="49"/>
  <c r="E162" i="49"/>
  <c r="E166" i="49"/>
  <c r="E177" i="49"/>
  <c r="E181" i="49"/>
  <c r="E37" i="50"/>
  <c r="E56" i="50" s="1"/>
  <c r="E77" i="50" s="1"/>
  <c r="E150" i="50" s="1"/>
  <c r="E131" i="50"/>
  <c r="E147" i="50"/>
  <c r="E182" i="50"/>
  <c r="E186" i="50" s="1"/>
  <c r="E37" i="51"/>
  <c r="E56" i="51" s="1"/>
  <c r="E77" i="51" s="1"/>
  <c r="E150" i="51" s="1"/>
  <c r="E131" i="51"/>
  <c r="E147" i="51"/>
  <c r="E182" i="51"/>
  <c r="E186" i="51" s="1"/>
  <c r="G37" i="52"/>
  <c r="G56" i="52" s="1"/>
  <c r="G77" i="52" s="1"/>
  <c r="G150" i="52" s="1"/>
  <c r="G131" i="52"/>
  <c r="G147" i="52"/>
  <c r="G182" i="52"/>
  <c r="G186" i="52" s="1"/>
  <c r="F37" i="53"/>
  <c r="F56" i="53"/>
  <c r="F77" i="53" s="1"/>
  <c r="F150" i="53" s="1"/>
  <c r="D158" i="53"/>
  <c r="D147" i="53"/>
  <c r="D179" i="55"/>
  <c r="D164" i="55"/>
  <c r="D162" i="55"/>
  <c r="D160" i="55"/>
  <c r="D131" i="56"/>
  <c r="F162" i="56"/>
  <c r="F160" i="56"/>
  <c r="F179" i="57"/>
  <c r="F164" i="57"/>
  <c r="D131" i="57"/>
  <c r="G179" i="58"/>
  <c r="G164" i="58"/>
  <c r="E131" i="58"/>
  <c r="D56" i="59"/>
  <c r="D77" i="59" s="1"/>
  <c r="D150" i="59" s="1"/>
  <c r="D108" i="59"/>
  <c r="D108" i="60"/>
  <c r="D167" i="60"/>
  <c r="D131" i="60"/>
  <c r="E158" i="60"/>
  <c r="E160" i="60" s="1"/>
  <c r="F152" i="61"/>
  <c r="F108" i="61"/>
  <c r="G164" i="62"/>
  <c r="G185" i="63"/>
  <c r="G182" i="63"/>
  <c r="G186" i="63" s="1"/>
  <c r="F182" i="45"/>
  <c r="F186" i="45" s="1"/>
  <c r="G147" i="46"/>
  <c r="G182" i="46"/>
  <c r="G186" i="46" s="1"/>
  <c r="G37" i="47"/>
  <c r="G56" i="47" s="1"/>
  <c r="G77" i="47" s="1"/>
  <c r="G150" i="47" s="1"/>
  <c r="G131" i="47"/>
  <c r="G147" i="47"/>
  <c r="G182" i="47"/>
  <c r="G186" i="47" s="1"/>
  <c r="G37" i="48"/>
  <c r="G56" i="48" s="1"/>
  <c r="G77" i="48" s="1"/>
  <c r="G150" i="48" s="1"/>
  <c r="G131" i="48"/>
  <c r="G147" i="48"/>
  <c r="G182" i="48"/>
  <c r="G186" i="48" s="1"/>
  <c r="F147" i="49"/>
  <c r="F182" i="49"/>
  <c r="F186" i="49" s="1"/>
  <c r="F37" i="50"/>
  <c r="F56" i="50" s="1"/>
  <c r="F77" i="50" s="1"/>
  <c r="F150" i="50" s="1"/>
  <c r="F131" i="50"/>
  <c r="F147" i="50"/>
  <c r="F182" i="50"/>
  <c r="F186" i="50" s="1"/>
  <c r="F37" i="51"/>
  <c r="F56" i="51" s="1"/>
  <c r="F77" i="51" s="1"/>
  <c r="F150" i="51" s="1"/>
  <c r="F131" i="51"/>
  <c r="F147" i="51"/>
  <c r="F182" i="51"/>
  <c r="F186" i="51" s="1"/>
  <c r="D37" i="52"/>
  <c r="D56" i="52"/>
  <c r="D77" i="52" s="1"/>
  <c r="D150" i="52" s="1"/>
  <c r="D152" i="52" s="1"/>
  <c r="D131" i="52"/>
  <c r="D147" i="52"/>
  <c r="D182" i="52"/>
  <c r="D186" i="52" s="1"/>
  <c r="E162" i="53"/>
  <c r="G37" i="53"/>
  <c r="G56" i="53" s="1"/>
  <c r="G77" i="53" s="1"/>
  <c r="G150" i="53" s="1"/>
  <c r="E158" i="53"/>
  <c r="E160" i="53" s="1"/>
  <c r="E147" i="53"/>
  <c r="D179" i="54"/>
  <c r="D164" i="54"/>
  <c r="D36" i="54"/>
  <c r="D158" i="54"/>
  <c r="D160" i="54" s="1"/>
  <c r="D147" i="54"/>
  <c r="E179" i="55"/>
  <c r="E164" i="55"/>
  <c r="E162" i="55"/>
  <c r="E160" i="55"/>
  <c r="E131" i="56"/>
  <c r="G162" i="56"/>
  <c r="G160" i="56"/>
  <c r="G179" i="57"/>
  <c r="G164" i="57"/>
  <c r="E131" i="57"/>
  <c r="D158" i="58"/>
  <c r="E56" i="59"/>
  <c r="E77" i="59" s="1"/>
  <c r="E150" i="59" s="1"/>
  <c r="E152" i="59"/>
  <c r="E108" i="59"/>
  <c r="E108" i="60"/>
  <c r="F158" i="60"/>
  <c r="F147" i="60"/>
  <c r="G179" i="60"/>
  <c r="G164" i="60"/>
  <c r="G182" i="53"/>
  <c r="G186" i="53" s="1"/>
  <c r="G37" i="54"/>
  <c r="G56" i="54" s="1"/>
  <c r="G77" i="54" s="1"/>
  <c r="G150" i="54" s="1"/>
  <c r="D166" i="54"/>
  <c r="D177" i="54"/>
  <c r="D181" i="54"/>
  <c r="D37" i="55"/>
  <c r="D56" i="55" s="1"/>
  <c r="D77" i="55" s="1"/>
  <c r="D150" i="55" s="1"/>
  <c r="D131" i="55"/>
  <c r="D147" i="55"/>
  <c r="D182" i="55"/>
  <c r="D186" i="55" s="1"/>
  <c r="D37" i="56"/>
  <c r="D56" i="56"/>
  <c r="D77" i="56" s="1"/>
  <c r="D150" i="56" s="1"/>
  <c r="F108" i="56"/>
  <c r="D147" i="56"/>
  <c r="D182" i="56"/>
  <c r="D186" i="56" s="1"/>
  <c r="D37" i="57"/>
  <c r="D56" i="57" s="1"/>
  <c r="D77" i="57" s="1"/>
  <c r="D150" i="57" s="1"/>
  <c r="F152" i="57"/>
  <c r="F108" i="57"/>
  <c r="F153" i="57" s="1"/>
  <c r="D182" i="57"/>
  <c r="D186" i="57" s="1"/>
  <c r="D37" i="58"/>
  <c r="D56" i="58" s="1"/>
  <c r="D77" i="58" s="1"/>
  <c r="D150" i="58" s="1"/>
  <c r="F108" i="58"/>
  <c r="D147" i="58"/>
  <c r="F179" i="59"/>
  <c r="F164" i="59"/>
  <c r="D131" i="59"/>
  <c r="F162" i="59"/>
  <c r="F160" i="59"/>
  <c r="G108" i="61"/>
  <c r="G153" i="61" s="1"/>
  <c r="F167" i="61"/>
  <c r="F131" i="61"/>
  <c r="D162" i="61"/>
  <c r="D179" i="62"/>
  <c r="D164" i="62"/>
  <c r="E167" i="62"/>
  <c r="E131" i="62"/>
  <c r="D147" i="62"/>
  <c r="G185" i="62"/>
  <c r="G182" i="62"/>
  <c r="G186" i="62" s="1"/>
  <c r="D179" i="63"/>
  <c r="D164" i="63"/>
  <c r="G158" i="63"/>
  <c r="G147" i="63"/>
  <c r="D182" i="63"/>
  <c r="D186" i="63" s="1"/>
  <c r="D182" i="53"/>
  <c r="D186" i="53" s="1"/>
  <c r="E147" i="54"/>
  <c r="E37" i="55"/>
  <c r="E56" i="55" s="1"/>
  <c r="E77" i="55" s="1"/>
  <c r="E150" i="55" s="1"/>
  <c r="E131" i="55"/>
  <c r="E147" i="55"/>
  <c r="E182" i="55"/>
  <c r="E186" i="55" s="1"/>
  <c r="E37" i="56"/>
  <c r="E56" i="56"/>
  <c r="E77" i="56" s="1"/>
  <c r="E150" i="56" s="1"/>
  <c r="E152" i="56" s="1"/>
  <c r="G152" i="56"/>
  <c r="G108" i="56"/>
  <c r="G153" i="56" s="1"/>
  <c r="E147" i="56"/>
  <c r="E182" i="56"/>
  <c r="E186" i="56" s="1"/>
  <c r="E37" i="57"/>
  <c r="E56" i="57" s="1"/>
  <c r="E77" i="57" s="1"/>
  <c r="E150" i="57" s="1"/>
  <c r="G108" i="57"/>
  <c r="E182" i="57"/>
  <c r="E186" i="57" s="1"/>
  <c r="E37" i="58"/>
  <c r="E56" i="58" s="1"/>
  <c r="E77" i="58" s="1"/>
  <c r="E150" i="58" s="1"/>
  <c r="E152" i="58" s="1"/>
  <c r="G108" i="58"/>
  <c r="E147" i="58"/>
  <c r="G179" i="59"/>
  <c r="G164" i="59"/>
  <c r="E131" i="59"/>
  <c r="G162" i="59"/>
  <c r="G160" i="59"/>
  <c r="F165" i="60"/>
  <c r="F179" i="61"/>
  <c r="F164" i="61"/>
  <c r="E56" i="61"/>
  <c r="E77" i="61" s="1"/>
  <c r="E150" i="61" s="1"/>
  <c r="E152" i="61" s="1"/>
  <c r="E108" i="61"/>
  <c r="D182" i="61"/>
  <c r="D186" i="61" s="1"/>
  <c r="E179" i="62"/>
  <c r="E164" i="62"/>
  <c r="F108" i="62"/>
  <c r="D182" i="62"/>
  <c r="D186" i="62" s="1"/>
  <c r="F108" i="63"/>
  <c r="D147" i="63"/>
  <c r="F131" i="56"/>
  <c r="F147" i="56"/>
  <c r="F182" i="56"/>
  <c r="F186" i="56" s="1"/>
  <c r="F37" i="57"/>
  <c r="F56" i="57"/>
  <c r="F77" i="57" s="1"/>
  <c r="F150" i="57" s="1"/>
  <c r="F131" i="57"/>
  <c r="F147" i="57"/>
  <c r="F182" i="57"/>
  <c r="F186" i="57" s="1"/>
  <c r="F37" i="58"/>
  <c r="F56" i="58" s="1"/>
  <c r="F77" i="58" s="1"/>
  <c r="F150" i="58" s="1"/>
  <c r="F131" i="58"/>
  <c r="F147" i="58"/>
  <c r="F182" i="58"/>
  <c r="F186" i="58" s="1"/>
  <c r="F37" i="59"/>
  <c r="F56" i="59" s="1"/>
  <c r="F77" i="59" s="1"/>
  <c r="F150" i="59" s="1"/>
  <c r="F131" i="59"/>
  <c r="F147" i="59"/>
  <c r="F182" i="59"/>
  <c r="F186" i="59" s="1"/>
  <c r="F37" i="60"/>
  <c r="F56" i="60" s="1"/>
  <c r="F77" i="60" s="1"/>
  <c r="F150" i="60" s="1"/>
  <c r="G166" i="60"/>
  <c r="D56" i="62"/>
  <c r="D77" i="62" s="1"/>
  <c r="D150" i="62" s="1"/>
  <c r="D152" i="62" s="1"/>
  <c r="E152" i="62"/>
  <c r="E108" i="62"/>
  <c r="E153" i="62" s="1"/>
  <c r="D167" i="62"/>
  <c r="D131" i="62"/>
  <c r="G169" i="62"/>
  <c r="D56" i="63"/>
  <c r="D77" i="63" s="1"/>
  <c r="D150" i="63" s="1"/>
  <c r="D152" i="63" s="1"/>
  <c r="G153" i="63"/>
  <c r="G169" i="63"/>
  <c r="G131" i="56"/>
  <c r="G147" i="56"/>
  <c r="G182" i="56"/>
  <c r="G186" i="56" s="1"/>
  <c r="G37" i="57"/>
  <c r="G56" i="57" s="1"/>
  <c r="G77" i="57" s="1"/>
  <c r="G150" i="57" s="1"/>
  <c r="G131" i="57"/>
  <c r="G147" i="57"/>
  <c r="G182" i="57"/>
  <c r="G186" i="57" s="1"/>
  <c r="G37" i="58"/>
  <c r="G56" i="58" s="1"/>
  <c r="G77" i="58" s="1"/>
  <c r="G150" i="58" s="1"/>
  <c r="G152" i="58" s="1"/>
  <c r="G131" i="58"/>
  <c r="G147" i="58"/>
  <c r="G182" i="58"/>
  <c r="G186" i="58" s="1"/>
  <c r="G37" i="59"/>
  <c r="G56" i="59"/>
  <c r="G77" i="59" s="1"/>
  <c r="G150" i="59" s="1"/>
  <c r="G131" i="59"/>
  <c r="G147" i="59"/>
  <c r="G182" i="59"/>
  <c r="G186" i="59" s="1"/>
  <c r="G37" i="60"/>
  <c r="G56" i="60" s="1"/>
  <c r="G77" i="60" s="1"/>
  <c r="G150" i="60" s="1"/>
  <c r="D158" i="60"/>
  <c r="D160" i="60" s="1"/>
  <c r="D108" i="61"/>
  <c r="F158" i="61"/>
  <c r="D157" i="61"/>
  <c r="D108" i="62"/>
  <c r="D153" i="62" s="1"/>
  <c r="G158" i="62"/>
  <c r="G147" i="62"/>
  <c r="G157" i="62"/>
  <c r="E108" i="63"/>
  <c r="D108" i="63"/>
  <c r="D147" i="60"/>
  <c r="D37" i="61"/>
  <c r="D56" i="61" s="1"/>
  <c r="D77" i="61" s="1"/>
  <c r="D150" i="61" s="1"/>
  <c r="D131" i="61"/>
  <c r="E160" i="61"/>
  <c r="E166" i="61"/>
  <c r="E182" i="61"/>
  <c r="E186" i="61" s="1"/>
  <c r="E37" i="62"/>
  <c r="E56" i="62" s="1"/>
  <c r="E77" i="62" s="1"/>
  <c r="E150" i="62" s="1"/>
  <c r="E158" i="62"/>
  <c r="E179" i="63"/>
  <c r="E164" i="63"/>
  <c r="E162" i="63"/>
  <c r="E160" i="63"/>
  <c r="E147" i="60"/>
  <c r="E37" i="61"/>
  <c r="F179" i="62"/>
  <c r="F164" i="62"/>
  <c r="F162" i="62"/>
  <c r="F160" i="62"/>
  <c r="F179" i="63"/>
  <c r="F164" i="63"/>
  <c r="D131" i="63"/>
  <c r="F162" i="63"/>
  <c r="F160" i="63"/>
  <c r="F182" i="61"/>
  <c r="F186" i="61" s="1"/>
  <c r="F37" i="62"/>
  <c r="F56" i="62" s="1"/>
  <c r="F77" i="62" s="1"/>
  <c r="F150" i="62" s="1"/>
  <c r="E147" i="62"/>
  <c r="E182" i="62"/>
  <c r="E186" i="62" s="1"/>
  <c r="E37" i="63"/>
  <c r="E56" i="63" s="1"/>
  <c r="E77" i="63" s="1"/>
  <c r="E150" i="63" s="1"/>
  <c r="E131" i="63"/>
  <c r="E147" i="63"/>
  <c r="E182" i="63"/>
  <c r="E186" i="63" s="1"/>
  <c r="G182" i="61"/>
  <c r="G186" i="61" s="1"/>
  <c r="G37" i="62"/>
  <c r="G56" i="62" s="1"/>
  <c r="G77" i="62" s="1"/>
  <c r="G150" i="62" s="1"/>
  <c r="F131" i="62"/>
  <c r="F147" i="62"/>
  <c r="F182" i="62"/>
  <c r="F186" i="62" s="1"/>
  <c r="F37" i="63"/>
  <c r="F56" i="63"/>
  <c r="F77" i="63" s="1"/>
  <c r="F150" i="63" s="1"/>
  <c r="F131" i="63"/>
  <c r="F147" i="63"/>
  <c r="F182" i="63"/>
  <c r="F186" i="63" s="1"/>
  <c r="G162" i="60" l="1"/>
  <c r="G160" i="60"/>
  <c r="E151" i="43"/>
  <c r="E152" i="43"/>
  <c r="G152" i="44"/>
  <c r="G151" i="44"/>
  <c r="G154" i="44"/>
  <c r="F153" i="60"/>
  <c r="F151" i="60"/>
  <c r="D152" i="58"/>
  <c r="D151" i="58"/>
  <c r="G160" i="54"/>
  <c r="G162" i="54"/>
  <c r="E160" i="58"/>
  <c r="E162" i="58"/>
  <c r="E158" i="46"/>
  <c r="G167" i="60"/>
  <c r="G131" i="60"/>
  <c r="G167" i="62"/>
  <c r="G131" i="62"/>
  <c r="G158" i="48"/>
  <c r="G153" i="44"/>
  <c r="D153" i="55"/>
  <c r="E186" i="47"/>
  <c r="D160" i="62"/>
  <c r="D162" i="62"/>
  <c r="G167" i="53"/>
  <c r="G131" i="53"/>
  <c r="E162" i="54"/>
  <c r="F167" i="55"/>
  <c r="F131" i="55"/>
  <c r="G154" i="60"/>
  <c r="G153" i="60"/>
  <c r="G151" i="60"/>
  <c r="G155" i="60"/>
  <c r="G152" i="60"/>
  <c r="F155" i="59"/>
  <c r="F154" i="59"/>
  <c r="F151" i="59"/>
  <c r="F152" i="59"/>
  <c r="E154" i="47"/>
  <c r="E155" i="47"/>
  <c r="E151" i="47"/>
  <c r="E152" i="47"/>
  <c r="F155" i="62"/>
  <c r="F154" i="62"/>
  <c r="F151" i="62"/>
  <c r="F152" i="62"/>
  <c r="G155" i="48"/>
  <c r="G154" i="48"/>
  <c r="G151" i="48"/>
  <c r="G152" i="48"/>
  <c r="G155" i="47"/>
  <c r="G154" i="47"/>
  <c r="G151" i="47"/>
  <c r="G152" i="47"/>
  <c r="E155" i="51"/>
  <c r="E154" i="51"/>
  <c r="E151" i="51"/>
  <c r="E152" i="51"/>
  <c r="G154" i="49"/>
  <c r="G155" i="49"/>
  <c r="G151" i="49"/>
  <c r="G152" i="49"/>
  <c r="F155" i="49"/>
  <c r="F154" i="49"/>
  <c r="F151" i="49"/>
  <c r="F152" i="49"/>
  <c r="E154" i="48"/>
  <c r="E155" i="48"/>
  <c r="E151" i="48"/>
  <c r="E152" i="48"/>
  <c r="E155" i="63"/>
  <c r="E154" i="63"/>
  <c r="E151" i="63"/>
  <c r="E152" i="63"/>
  <c r="G155" i="57"/>
  <c r="G154" i="57"/>
  <c r="G151" i="57"/>
  <c r="G152" i="57"/>
  <c r="F155" i="44"/>
  <c r="F154" i="44"/>
  <c r="F152" i="44"/>
  <c r="F153" i="44"/>
  <c r="F151" i="44"/>
  <c r="E155" i="44"/>
  <c r="E154" i="44"/>
  <c r="E151" i="44"/>
  <c r="E152" i="44"/>
  <c r="D154" i="61"/>
  <c r="D155" i="61"/>
  <c r="D152" i="61"/>
  <c r="D151" i="61"/>
  <c r="F155" i="58"/>
  <c r="F154" i="58"/>
  <c r="F151" i="58"/>
  <c r="F152" i="58"/>
  <c r="D154" i="48"/>
  <c r="D155" i="48"/>
  <c r="D152" i="48"/>
  <c r="D153" i="48"/>
  <c r="D151" i="48"/>
  <c r="G155" i="62"/>
  <c r="G152" i="62"/>
  <c r="G154" i="62"/>
  <c r="G153" i="62"/>
  <c r="G151" i="62"/>
  <c r="E154" i="57"/>
  <c r="E155" i="57"/>
  <c r="G154" i="53"/>
  <c r="G155" i="53"/>
  <c r="G151" i="53"/>
  <c r="G152" i="53"/>
  <c r="G155" i="52"/>
  <c r="G154" i="52"/>
  <c r="G151" i="52"/>
  <c r="G152" i="52"/>
  <c r="F155" i="51"/>
  <c r="F154" i="51"/>
  <c r="F151" i="51"/>
  <c r="F152" i="51"/>
  <c r="F155" i="50"/>
  <c r="F154" i="50"/>
  <c r="F151" i="50"/>
  <c r="F152" i="50"/>
  <c r="F155" i="48"/>
  <c r="F154" i="48"/>
  <c r="F151" i="48"/>
  <c r="F152" i="48"/>
  <c r="F155" i="47"/>
  <c r="F154" i="47"/>
  <c r="F151" i="47"/>
  <c r="F152" i="47"/>
  <c r="E155" i="53"/>
  <c r="E154" i="53"/>
  <c r="E151" i="53"/>
  <c r="E152" i="53"/>
  <c r="D155" i="51"/>
  <c r="D151" i="51"/>
  <c r="D154" i="51"/>
  <c r="D152" i="51"/>
  <c r="D154" i="46"/>
  <c r="D155" i="46"/>
  <c r="D151" i="46"/>
  <c r="D152" i="46"/>
  <c r="D155" i="45"/>
  <c r="D154" i="45"/>
  <c r="D151" i="45"/>
  <c r="D152" i="45"/>
  <c r="D155" i="43"/>
  <c r="D154" i="43"/>
  <c r="D154" i="42"/>
  <c r="D155" i="42"/>
  <c r="D151" i="42"/>
  <c r="D152" i="42"/>
  <c r="D153" i="61"/>
  <c r="D169" i="54"/>
  <c r="D165" i="54"/>
  <c r="D157" i="54"/>
  <c r="F162" i="60"/>
  <c r="F160" i="60"/>
  <c r="D154" i="59"/>
  <c r="D155" i="59"/>
  <c r="D151" i="59"/>
  <c r="E155" i="50"/>
  <c r="E154" i="50"/>
  <c r="E151" i="50"/>
  <c r="G162" i="46"/>
  <c r="G160" i="46"/>
  <c r="G155" i="43"/>
  <c r="G154" i="43"/>
  <c r="G151" i="43"/>
  <c r="G153" i="52"/>
  <c r="F153" i="47"/>
  <c r="G153" i="43"/>
  <c r="F155" i="56"/>
  <c r="F154" i="56"/>
  <c r="F151" i="56"/>
  <c r="D162" i="51"/>
  <c r="D160" i="51"/>
  <c r="E162" i="62"/>
  <c r="E160" i="62"/>
  <c r="E155" i="61"/>
  <c r="E154" i="61"/>
  <c r="G153" i="57"/>
  <c r="F153" i="58"/>
  <c r="E154" i="59"/>
  <c r="E155" i="59"/>
  <c r="E151" i="59"/>
  <c r="G154" i="54"/>
  <c r="G153" i="54"/>
  <c r="G155" i="54"/>
  <c r="G151" i="54"/>
  <c r="F155" i="53"/>
  <c r="F154" i="53"/>
  <c r="F152" i="53"/>
  <c r="D155" i="58"/>
  <c r="D154" i="58"/>
  <c r="F151" i="53"/>
  <c r="D185" i="60"/>
  <c r="D182" i="60"/>
  <c r="D186" i="60" s="1"/>
  <c r="E169" i="54"/>
  <c r="E165" i="54"/>
  <c r="E157" i="54"/>
  <c r="F162" i="46"/>
  <c r="F160" i="46"/>
  <c r="G155" i="63"/>
  <c r="G154" i="63"/>
  <c r="G152" i="63"/>
  <c r="E154" i="52"/>
  <c r="E155" i="52"/>
  <c r="G152" i="43"/>
  <c r="E185" i="46"/>
  <c r="E182" i="46"/>
  <c r="E186" i="46" s="1"/>
  <c r="G154" i="50"/>
  <c r="G151" i="50"/>
  <c r="G155" i="50"/>
  <c r="E153" i="48"/>
  <c r="E153" i="47"/>
  <c r="F153" i="46"/>
  <c r="D153" i="56"/>
  <c r="G152" i="50"/>
  <c r="G160" i="51"/>
  <c r="G162" i="51"/>
  <c r="D162" i="42"/>
  <c r="D160" i="42"/>
  <c r="F162" i="44"/>
  <c r="F160" i="44"/>
  <c r="F162" i="45"/>
  <c r="F160" i="45"/>
  <c r="E153" i="43"/>
  <c r="G186" i="45"/>
  <c r="D153" i="44"/>
  <c r="D153" i="63"/>
  <c r="F153" i="63"/>
  <c r="E151" i="61"/>
  <c r="F153" i="56"/>
  <c r="D162" i="54"/>
  <c r="E151" i="58"/>
  <c r="G152" i="54"/>
  <c r="D79" i="54"/>
  <c r="D37" i="54"/>
  <c r="D56" i="54" s="1"/>
  <c r="D77" i="54" s="1"/>
  <c r="D150" i="54" s="1"/>
  <c r="D151" i="54" s="1"/>
  <c r="D153" i="59"/>
  <c r="E185" i="49"/>
  <c r="E182" i="49"/>
  <c r="E186" i="49" s="1"/>
  <c r="E37" i="60"/>
  <c r="E56" i="60" s="1"/>
  <c r="E77" i="60" s="1"/>
  <c r="E150" i="60" s="1"/>
  <c r="E153" i="60" s="1"/>
  <c r="E79" i="60"/>
  <c r="E153" i="55"/>
  <c r="G153" i="53"/>
  <c r="E79" i="49"/>
  <c r="E37" i="49"/>
  <c r="E56" i="49" s="1"/>
  <c r="E77" i="49" s="1"/>
  <c r="E150" i="49" s="1"/>
  <c r="E151" i="49" s="1"/>
  <c r="D37" i="60"/>
  <c r="D56" i="60" s="1"/>
  <c r="D77" i="60" s="1"/>
  <c r="D150" i="60" s="1"/>
  <c r="D153" i="60" s="1"/>
  <c r="D79" i="60"/>
  <c r="E185" i="54"/>
  <c r="E182" i="54"/>
  <c r="E186" i="54" s="1"/>
  <c r="E153" i="50"/>
  <c r="D79" i="49"/>
  <c r="D37" i="49"/>
  <c r="D56" i="49" s="1"/>
  <c r="D77" i="49" s="1"/>
  <c r="D150" i="49" s="1"/>
  <c r="E154" i="46"/>
  <c r="E153" i="46"/>
  <c r="E155" i="46"/>
  <c r="F153" i="49"/>
  <c r="D169" i="49"/>
  <c r="D157" i="49"/>
  <c r="D165" i="49"/>
  <c r="D151" i="49"/>
  <c r="G152" i="51"/>
  <c r="F155" i="55"/>
  <c r="F154" i="55"/>
  <c r="F152" i="55"/>
  <c r="E186" i="52"/>
  <c r="G160" i="50"/>
  <c r="G162" i="50"/>
  <c r="G153" i="50"/>
  <c r="F153" i="45"/>
  <c r="D162" i="44"/>
  <c r="D160" i="44"/>
  <c r="D153" i="53"/>
  <c r="G155" i="59"/>
  <c r="G154" i="59"/>
  <c r="G151" i="59"/>
  <c r="F155" i="57"/>
  <c r="F154" i="57"/>
  <c r="E155" i="56"/>
  <c r="E151" i="56"/>
  <c r="E154" i="56"/>
  <c r="D155" i="56"/>
  <c r="D151" i="56"/>
  <c r="D154" i="56"/>
  <c r="D162" i="53"/>
  <c r="D160" i="53"/>
  <c r="E169" i="60"/>
  <c r="E165" i="60"/>
  <c r="E157" i="60"/>
  <c r="F153" i="50"/>
  <c r="E155" i="45"/>
  <c r="E154" i="45"/>
  <c r="E151" i="45"/>
  <c r="D155" i="50"/>
  <c r="D151" i="50"/>
  <c r="D154" i="50"/>
  <c r="D169" i="60"/>
  <c r="D165" i="60"/>
  <c r="D157" i="60"/>
  <c r="E153" i="51"/>
  <c r="F155" i="43"/>
  <c r="F154" i="43"/>
  <c r="F151" i="43"/>
  <c r="G152" i="59"/>
  <c r="D155" i="57"/>
  <c r="D154" i="57"/>
  <c r="G155" i="45"/>
  <c r="G151" i="45"/>
  <c r="G154" i="45"/>
  <c r="G155" i="61"/>
  <c r="G154" i="61"/>
  <c r="G151" i="61"/>
  <c r="G152" i="45"/>
  <c r="D153" i="51"/>
  <c r="D153" i="50"/>
  <c r="D153" i="46"/>
  <c r="D155" i="44"/>
  <c r="D154" i="44"/>
  <c r="D151" i="44"/>
  <c r="F152" i="43"/>
  <c r="F155" i="61"/>
  <c r="F154" i="61"/>
  <c r="F151" i="61"/>
  <c r="D152" i="56"/>
  <c r="D154" i="47"/>
  <c r="D155" i="47"/>
  <c r="D151" i="47"/>
  <c r="E152" i="45"/>
  <c r="E155" i="42"/>
  <c r="E151" i="42"/>
  <c r="E154" i="42"/>
  <c r="G153" i="48"/>
  <c r="E153" i="44"/>
  <c r="D153" i="42"/>
  <c r="E160" i="43"/>
  <c r="E162" i="43"/>
  <c r="D162" i="49"/>
  <c r="D160" i="49"/>
  <c r="F155" i="63"/>
  <c r="F154" i="63"/>
  <c r="F151" i="63"/>
  <c r="G155" i="58"/>
  <c r="G154" i="58"/>
  <c r="G151" i="58"/>
  <c r="F153" i="62"/>
  <c r="G153" i="58"/>
  <c r="E155" i="55"/>
  <c r="E154" i="55"/>
  <c r="E151" i="55"/>
  <c r="G152" i="61"/>
  <c r="D155" i="55"/>
  <c r="D154" i="55"/>
  <c r="D151" i="55"/>
  <c r="D155" i="52"/>
  <c r="D154" i="52"/>
  <c r="D151" i="52"/>
  <c r="E185" i="60"/>
  <c r="E182" i="60"/>
  <c r="E186" i="60" s="1"/>
  <c r="D153" i="52"/>
  <c r="G155" i="42"/>
  <c r="G154" i="42"/>
  <c r="G151" i="42"/>
  <c r="F155" i="60"/>
  <c r="F152" i="60"/>
  <c r="F154" i="60"/>
  <c r="D152" i="55"/>
  <c r="F153" i="53"/>
  <c r="F155" i="42"/>
  <c r="F154" i="42"/>
  <c r="F151" i="42"/>
  <c r="G155" i="55"/>
  <c r="G154" i="55"/>
  <c r="G152" i="55"/>
  <c r="D153" i="58"/>
  <c r="D155" i="53"/>
  <c r="D154" i="53"/>
  <c r="D151" i="53"/>
  <c r="D185" i="49"/>
  <c r="D182" i="49"/>
  <c r="D186" i="49" s="1"/>
  <c r="G153" i="42"/>
  <c r="E155" i="43"/>
  <c r="E154" i="43"/>
  <c r="F162" i="53"/>
  <c r="F160" i="53"/>
  <c r="G154" i="51"/>
  <c r="G151" i="51"/>
  <c r="G155" i="51"/>
  <c r="F155" i="46"/>
  <c r="F154" i="46"/>
  <c r="F151" i="46"/>
  <c r="E155" i="62"/>
  <c r="E154" i="62"/>
  <c r="E151" i="62"/>
  <c r="E153" i="63"/>
  <c r="G162" i="62"/>
  <c r="G160" i="62"/>
  <c r="F162" i="61"/>
  <c r="F160" i="61"/>
  <c r="G151" i="63"/>
  <c r="D154" i="63"/>
  <c r="D155" i="63"/>
  <c r="D151" i="63"/>
  <c r="D154" i="62"/>
  <c r="D155" i="62"/>
  <c r="D151" i="62"/>
  <c r="F152" i="63"/>
  <c r="E153" i="61"/>
  <c r="E155" i="58"/>
  <c r="E154" i="58"/>
  <c r="G162" i="63"/>
  <c r="G160" i="63"/>
  <c r="F152" i="56"/>
  <c r="D185" i="54"/>
  <c r="D182" i="54"/>
  <c r="D186" i="54" s="1"/>
  <c r="E153" i="59"/>
  <c r="D160" i="58"/>
  <c r="D162" i="58"/>
  <c r="F153" i="61"/>
  <c r="D152" i="59"/>
  <c r="E169" i="49"/>
  <c r="E165" i="49"/>
  <c r="E157" i="49"/>
  <c r="E162" i="60"/>
  <c r="G151" i="55"/>
  <c r="E152" i="55"/>
  <c r="D153" i="54"/>
  <c r="F153" i="51"/>
  <c r="D162" i="60"/>
  <c r="E79" i="54"/>
  <c r="E37" i="54"/>
  <c r="E56" i="54" s="1"/>
  <c r="E77" i="54" s="1"/>
  <c r="E150" i="54" s="1"/>
  <c r="E157" i="52"/>
  <c r="E169" i="52"/>
  <c r="E151" i="52"/>
  <c r="E165" i="52"/>
  <c r="E152" i="50"/>
  <c r="F162" i="49"/>
  <c r="F160" i="49"/>
  <c r="G153" i="59"/>
  <c r="G155" i="56"/>
  <c r="G154" i="56"/>
  <c r="G151" i="56"/>
  <c r="F154" i="54"/>
  <c r="F155" i="54"/>
  <c r="F151" i="54"/>
  <c r="E153" i="58"/>
  <c r="E153" i="53"/>
  <c r="F153" i="48"/>
  <c r="E157" i="46"/>
  <c r="E169" i="46"/>
  <c r="E151" i="46"/>
  <c r="E165" i="46"/>
  <c r="F153" i="59"/>
  <c r="G162" i="55"/>
  <c r="G160" i="55"/>
  <c r="E162" i="52"/>
  <c r="E160" i="52"/>
  <c r="D153" i="47"/>
  <c r="E153" i="52"/>
  <c r="D153" i="45"/>
  <c r="E153" i="56"/>
  <c r="F153" i="54"/>
  <c r="D162" i="50"/>
  <c r="D160" i="50"/>
  <c r="D152" i="50"/>
  <c r="G153" i="49"/>
  <c r="F154" i="45"/>
  <c r="F155" i="45"/>
  <c r="F151" i="45"/>
  <c r="F153" i="43"/>
  <c r="F153" i="42"/>
  <c r="G162" i="61"/>
  <c r="G160" i="61"/>
  <c r="E153" i="45"/>
  <c r="G153" i="47"/>
  <c r="G155" i="46"/>
  <c r="G154" i="46"/>
  <c r="G151" i="46"/>
  <c r="E153" i="42"/>
  <c r="G155" i="44"/>
  <c r="D152" i="53"/>
  <c r="F162" i="55"/>
  <c r="F160" i="55"/>
  <c r="E151" i="60" l="1"/>
  <c r="E162" i="46"/>
  <c r="E160" i="46"/>
  <c r="G162" i="48"/>
  <c r="G160" i="48"/>
  <c r="E155" i="54"/>
  <c r="E154" i="54"/>
  <c r="E152" i="54"/>
  <c r="E151" i="54"/>
  <c r="D154" i="49"/>
  <c r="D153" i="49"/>
  <c r="D155" i="49"/>
  <c r="D152" i="49"/>
  <c r="E155" i="60"/>
  <c r="E154" i="60"/>
  <c r="E152" i="60"/>
  <c r="D155" i="54"/>
  <c r="D154" i="54"/>
  <c r="D152" i="54"/>
  <c r="D155" i="60"/>
  <c r="D154" i="60"/>
  <c r="D152" i="60"/>
  <c r="D151" i="60"/>
  <c r="E155" i="49"/>
  <c r="E154" i="49"/>
  <c r="E152" i="49"/>
  <c r="E153" i="54"/>
  <c r="E153" i="4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b150pcm</author>
  </authors>
  <commentList>
    <comment ref="A142" authorId="0" shapeId="0" xr:uid="{00000000-0006-0000-0700-000001000000}">
      <text>
        <r>
          <rPr>
            <b/>
            <sz val="10"/>
            <color indexed="81"/>
            <rFont val="Tahoma"/>
            <family val="2"/>
          </rPr>
          <t>b150pcm:</t>
        </r>
        <r>
          <rPr>
            <sz val="10"/>
            <color indexed="81"/>
            <rFont val="Tahoma"/>
            <family val="2"/>
          </rPr>
          <t xml:space="preserve">
NW wendet Nettomethode an</t>
        </r>
      </text>
    </comment>
  </commentList>
</comments>
</file>

<file path=xl/sharedStrings.xml><?xml version="1.0" encoding="utf-8"?>
<sst xmlns="http://schemas.openxmlformats.org/spreadsheetml/2006/main" count="6612" uniqueCount="671">
  <si>
    <t xml:space="preserve"> </t>
  </si>
  <si>
    <t>Nettoinvestition</t>
  </si>
  <si>
    <t>Investissement net</t>
  </si>
  <si>
    <t>Selbstfinanzierungsgrad</t>
  </si>
  <si>
    <t>Degré d'autofinancement</t>
  </si>
  <si>
    <t>Kanton:</t>
  </si>
  <si>
    <t>Zürich</t>
  </si>
  <si>
    <t>Rechnung</t>
  </si>
  <si>
    <t>Diff.</t>
  </si>
  <si>
    <t>Budget</t>
  </si>
  <si>
    <t>in %</t>
  </si>
  <si>
    <t>L A U F E N D E   R E C H N U N G</t>
  </si>
  <si>
    <t>HRM2=&gt;HRM1</t>
  </si>
  <si>
    <t>30</t>
  </si>
  <si>
    <t>Personalaufwand</t>
  </si>
  <si>
    <t>31</t>
  </si>
  <si>
    <t>Sachaufwand</t>
  </si>
  <si>
    <t>davon 314</t>
  </si>
  <si>
    <t>Baulicher Unterhalt</t>
  </si>
  <si>
    <t>32</t>
  </si>
  <si>
    <t>Passivzinsen</t>
  </si>
  <si>
    <t>330</t>
  </si>
  <si>
    <t>Abschreibungen Finanzvermögen</t>
  </si>
  <si>
    <t>331 - 333</t>
  </si>
  <si>
    <t>Abschreibungen Verwaltungsvermögen</t>
  </si>
  <si>
    <t>34 - 37</t>
  </si>
  <si>
    <t>Anteile, Entschädigungen, Beiträge</t>
  </si>
  <si>
    <t>davon 363</t>
  </si>
  <si>
    <t>Beiträge an eigene Anstalten</t>
  </si>
  <si>
    <t>davon 364</t>
  </si>
  <si>
    <t>Beiträge an gemischtwirtschaftliche Unternehmungen</t>
  </si>
  <si>
    <t>davon 365</t>
  </si>
  <si>
    <t>Beiträge an private Institutionen</t>
  </si>
  <si>
    <t xml:space="preserve">  -</t>
  </si>
  <si>
    <t>davon 373</t>
  </si>
  <si>
    <t>Durchl. Beiträge an eigene Anstalten</t>
  </si>
  <si>
    <t>davon 374</t>
  </si>
  <si>
    <t>Durchl. Beiträge an gemischtwirtschaftliche Unternehmungen</t>
  </si>
  <si>
    <t>davon 375</t>
  </si>
  <si>
    <t>Durchl. Beiträge an private Institutionen</t>
  </si>
  <si>
    <t>38</t>
  </si>
  <si>
    <t>Einlagen in Spezialfinanzierungen/Fonds</t>
  </si>
  <si>
    <t>Einlagen in das Eigenkapital</t>
  </si>
  <si>
    <t>39</t>
  </si>
  <si>
    <t>Interne Verrechnungen (Aufwand)</t>
  </si>
  <si>
    <t>3</t>
  </si>
  <si>
    <t>Total Aufwand Laufende Rechnung</t>
  </si>
  <si>
    <t>400 - 404</t>
  </si>
  <si>
    <t>Direkte Steuern</t>
  </si>
  <si>
    <t>405 - 407</t>
  </si>
  <si>
    <t>Uebrige Steuern</t>
  </si>
  <si>
    <t>42</t>
  </si>
  <si>
    <t>Vermögenserträge</t>
  </si>
  <si>
    <t>41 / 43</t>
  </si>
  <si>
    <t>Konzessionen/Entgelte (Gebühren)</t>
  </si>
  <si>
    <t>44 - 47</t>
  </si>
  <si>
    <t>Anteile, Rückerstattungen, Beiträge</t>
  </si>
  <si>
    <t>48</t>
  </si>
  <si>
    <t>Entnahme aus Spezialfinanzierungen</t>
  </si>
  <si>
    <t>Entnahmen aus dem Eigenkapital</t>
  </si>
  <si>
    <t>49</t>
  </si>
  <si>
    <t>Interne Verrechnungen (Ertrag)</t>
  </si>
  <si>
    <t>4</t>
  </si>
  <si>
    <t>Total Ertrag Laufende Rechnung</t>
  </si>
  <si>
    <t>.</t>
  </si>
  <si>
    <t>Saldo Laufende Rechnung</t>
  </si>
  <si>
    <t>I N V E S T I T I O N S R E C H N U N G</t>
  </si>
  <si>
    <t>50</t>
  </si>
  <si>
    <t>Sachgüter</t>
  </si>
  <si>
    <t>52</t>
  </si>
  <si>
    <t>Darlehen und Beteiligungen</t>
  </si>
  <si>
    <t>56 - 58</t>
  </si>
  <si>
    <t>Investitionsbeiträge,übrige Investitionen</t>
  </si>
  <si>
    <t>5</t>
  </si>
  <si>
    <t>Total Ausgaben Investitionsrechnung</t>
  </si>
  <si>
    <t>60 - 61</t>
  </si>
  <si>
    <t>Abgang Sachgüter, Nutzungsabgaben</t>
  </si>
  <si>
    <t>62 - 67</t>
  </si>
  <si>
    <t>Rückzahlung,Rückerstattung,Invest.-Beitr.</t>
  </si>
  <si>
    <t>6</t>
  </si>
  <si>
    <t>Total Einnahmen Investitionsrechnung</t>
  </si>
  <si>
    <t>NI</t>
  </si>
  <si>
    <t>Selbstfinanzierung</t>
  </si>
  <si>
    <t>Finanzierungsfehlbetrag(-)/-überschuss(+)</t>
  </si>
  <si>
    <t>Konsolidierte Gesamtausgaben</t>
  </si>
  <si>
    <t>Bern</t>
  </si>
  <si>
    <t>Luzern</t>
  </si>
  <si>
    <t>Uri</t>
  </si>
  <si>
    <t>Schwyz</t>
  </si>
  <si>
    <t>negativ</t>
  </si>
  <si>
    <t>Obwalden</t>
  </si>
  <si>
    <t>Nidwalden</t>
  </si>
  <si>
    <t>Glarus</t>
  </si>
  <si>
    <t>Zug</t>
  </si>
  <si>
    <t>Canton:</t>
  </si>
  <si>
    <t>Fribourg</t>
  </si>
  <si>
    <t>Compte</t>
  </si>
  <si>
    <t>C O M P T E   D E   F O N C T I O N N E M E N T</t>
  </si>
  <si>
    <t>Charges de personnel</t>
  </si>
  <si>
    <t>Biens, services et marchandises</t>
  </si>
  <si>
    <t>de cela 314</t>
  </si>
  <si>
    <t>Entretien des Immeubles</t>
  </si>
  <si>
    <t>Intérêts passifs</t>
  </si>
  <si>
    <t>Amortissements sur le patrimoine financier</t>
  </si>
  <si>
    <t>Amortissements sur le patrimoine administratif</t>
  </si>
  <si>
    <t>Parts, dédommagements, subventions</t>
  </si>
  <si>
    <t>de cela 363</t>
  </si>
  <si>
    <t>Subventions accordées; Propres établissements</t>
  </si>
  <si>
    <t>de cela 364</t>
  </si>
  <si>
    <t>Subventions accordées; Sociétés d'économie mixte</t>
  </si>
  <si>
    <t>de cela 365</t>
  </si>
  <si>
    <t>Subventions accordées; Institutions privées</t>
  </si>
  <si>
    <t>de cela 373</t>
  </si>
  <si>
    <t>Subventions redistribuées; Propres établissements</t>
  </si>
  <si>
    <t>de cela 374</t>
  </si>
  <si>
    <t>Subventions redistribuées; Sociétés d'économie mixte</t>
  </si>
  <si>
    <t>de cela 375</t>
  </si>
  <si>
    <t>Subventions redistribuées; Institutions privées</t>
  </si>
  <si>
    <t>Attributions aux financements spéciaux</t>
  </si>
  <si>
    <t>Attributions au capital propre</t>
  </si>
  <si>
    <t>Imputations internes</t>
  </si>
  <si>
    <t>Total des charges</t>
  </si>
  <si>
    <t>Impôts</t>
  </si>
  <si>
    <t>Autres impôts</t>
  </si>
  <si>
    <t>Revenus des biens</t>
  </si>
  <si>
    <t>Concessions / Contributions</t>
  </si>
  <si>
    <t>Prélèvements aux financements spéciaux</t>
  </si>
  <si>
    <t>Total des revenus</t>
  </si>
  <si>
    <t>Excedent des revenus / des charges (-)</t>
  </si>
  <si>
    <t>C O M P T E  DES  I N V E S T I S S E M E N T S</t>
  </si>
  <si>
    <t>Investissements propres</t>
  </si>
  <si>
    <t>Prêts et participations permanentes</t>
  </si>
  <si>
    <t>Subventions, autres investissements</t>
  </si>
  <si>
    <t>Total des dépenses</t>
  </si>
  <si>
    <t>Transferts au patrim.financier/Contrib.de tiers</t>
  </si>
  <si>
    <t>Remboursements/Subventions</t>
  </si>
  <si>
    <t>Total des recettes</t>
  </si>
  <si>
    <t>Autofinancement</t>
  </si>
  <si>
    <t>Insuffisance (-) / Excedent de financement</t>
  </si>
  <si>
    <t>Total des dépenses effectives</t>
  </si>
  <si>
    <t>Solothurn</t>
  </si>
  <si>
    <t>Schaffhausen</t>
  </si>
  <si>
    <t>Appenzell I.Rh.</t>
  </si>
  <si>
    <t>HRM2, aber Werte noch als HRM1 eingegeben.</t>
  </si>
  <si>
    <t>St. Gallen</t>
  </si>
  <si>
    <t>Graubünden</t>
  </si>
  <si>
    <t>Aargau</t>
  </si>
  <si>
    <t>Thurgau</t>
  </si>
  <si>
    <t>Vaud</t>
  </si>
  <si>
    <t>Prélèvements sur le capital propre</t>
  </si>
  <si>
    <t>Valais</t>
  </si>
  <si>
    <t>Neuchâtel</t>
  </si>
  <si>
    <t>Jura</t>
  </si>
  <si>
    <t>26 Cantons</t>
  </si>
  <si>
    <t>26 Kantone</t>
  </si>
  <si>
    <t xml:space="preserve">L A U F E N D E   R E C H N U N G        </t>
  </si>
  <si>
    <t xml:space="preserve">Kanton: </t>
  </si>
  <si>
    <t>AG</t>
  </si>
  <si>
    <t>in 1000 Franken</t>
  </si>
  <si>
    <t>ERFOLGSRECHNUNG</t>
  </si>
  <si>
    <t>Sach- und übriger Betriebsaufwand</t>
  </si>
  <si>
    <t>baulicher und betrieblicher Unterhalt</t>
  </si>
  <si>
    <t>davon 3180</t>
  </si>
  <si>
    <t>Wertberichtigungen auf Forderungen</t>
  </si>
  <si>
    <t>Abschreibungen Sachanlagen VV</t>
  </si>
  <si>
    <t>Abschreibungen Immaterielle Anlagen VV</t>
  </si>
  <si>
    <t>Abtragung Bilanzfehlbetrag</t>
  </si>
  <si>
    <t>Einlagen in Fonds und Spezialfinanzierungen im FK</t>
  </si>
  <si>
    <t>Einlagen in Fonds und Spezialfinanzierungen im EK</t>
  </si>
  <si>
    <t>Transferaufwand</t>
  </si>
  <si>
    <t>davon 3634</t>
  </si>
  <si>
    <t>Beiträge an öffentliche Unternehmungen</t>
  </si>
  <si>
    <t>davon 3635</t>
  </si>
  <si>
    <t>Beiträge an private Unternehmungen</t>
  </si>
  <si>
    <t>davon 364, 365 und 366</t>
  </si>
  <si>
    <t>Wertberichtigungen Darlehen VV, Beteiligungen VV und Investitionsbeiträge</t>
  </si>
  <si>
    <t>Durchlaufende Beiträge</t>
  </si>
  <si>
    <t>davon 3704</t>
  </si>
  <si>
    <t>Durchlaufende Beiträge an öffentliche Unternehmungen</t>
  </si>
  <si>
    <t>davon 3705</t>
  </si>
  <si>
    <t>Durchlaufende Beiträge an private Unternehmungen</t>
  </si>
  <si>
    <t>Interne Verrechungen</t>
  </si>
  <si>
    <t>Total Betrieblicher Aufwand (ohne SG 39)</t>
  </si>
  <si>
    <t>400 + 401</t>
  </si>
  <si>
    <t>Direkte Steuern natürliche und juristische Personen</t>
  </si>
  <si>
    <t>402 + 403</t>
  </si>
  <si>
    <t>Übrige direkte Steuer; Besitz- und Aufwandsteuern</t>
  </si>
  <si>
    <t>Regalien und Konzessionen</t>
  </si>
  <si>
    <t>Entgelte</t>
  </si>
  <si>
    <t>Verschiedene Erträge</t>
  </si>
  <si>
    <t>Aktivierung Eigenleistung</t>
  </si>
  <si>
    <t>Bestandesveränderungen</t>
  </si>
  <si>
    <t>Übriger Ertrag</t>
  </si>
  <si>
    <t>Entnahmen aus Fonds und Spezialfinanzierungen im Fremdkapital</t>
  </si>
  <si>
    <t>Entnahmen aus Fonds und Spezialfinanzierungen im Eigenkapital</t>
  </si>
  <si>
    <t>Transferertrag</t>
  </si>
  <si>
    <t>davon 466</t>
  </si>
  <si>
    <t>Auflösung passivierter Investitionsbeiträge</t>
  </si>
  <si>
    <t>Interne Verrechnungen</t>
  </si>
  <si>
    <t>Total Betrieblicher Ertrag (ohne SG 49)</t>
  </si>
  <si>
    <t>Ergebnis aus betrieblicher Tätigkeit</t>
  </si>
  <si>
    <t>Zinsaufwand</t>
  </si>
  <si>
    <t>Realisierte Kursverluste</t>
  </si>
  <si>
    <t>Kapitalbeschaffungs- und Verwaltungskosten</t>
  </si>
  <si>
    <t>Liegenschaftenaufwand FV</t>
  </si>
  <si>
    <t>Wertberichtigungen Anlagen FV</t>
  </si>
  <si>
    <t>Verschiedener Finanzaufwand</t>
  </si>
  <si>
    <t>Zinsertrag</t>
  </si>
  <si>
    <t>Realisierte Gewinne FV</t>
  </si>
  <si>
    <t>Beteiligungsertrag FV</t>
  </si>
  <si>
    <t>Liegenschaftenertrag FV</t>
  </si>
  <si>
    <t>Finanzertrag aus Darlehen und Beteiligungen VV</t>
  </si>
  <si>
    <t>Finanzertrag von öffentlichen Unternehmungen</t>
  </si>
  <si>
    <t>Liegenschaftenertrag VV</t>
  </si>
  <si>
    <t>Erträge von gemieteten Liegenschaften</t>
  </si>
  <si>
    <t>übriger Finanzertrag</t>
  </si>
  <si>
    <t>davon 4490</t>
  </si>
  <si>
    <t>Aufwertungen Verwaltungsvermögen</t>
  </si>
  <si>
    <t>Ergebnis aus Finanzierung</t>
  </si>
  <si>
    <t>Operatives Ergebnis</t>
  </si>
  <si>
    <t>a.o. Personalaufwand</t>
  </si>
  <si>
    <t>a.o. Sach- und Betriebsaufwand</t>
  </si>
  <si>
    <t>Zusätzliche Abschreibungen Sachanlagen und immat. Anlagen VV</t>
  </si>
  <si>
    <t>a.o. Finanzaufwand (Geldwirksam)</t>
  </si>
  <si>
    <t>a.o. Finanzaufwand (Wertberichtigungen)</t>
  </si>
  <si>
    <t>a.o.Transferaufwand (Geldwirksam)</t>
  </si>
  <si>
    <t>Zusätzlich Abschreibungen Darlehen, Beteiligungen, Invest.-Beiträge VV</t>
  </si>
  <si>
    <t>4800 + 4801</t>
  </si>
  <si>
    <t>a.o. Direkte Steuern natürliche und juristische Personen</t>
  </si>
  <si>
    <t>4802 + 4803</t>
  </si>
  <si>
    <t>a.o. übrige direkte Steuern; a.o. Besitz- und Aufwandsteuern</t>
  </si>
  <si>
    <t>a.o. Regalien, Konzessionen</t>
  </si>
  <si>
    <t>a.o. Entgelte</t>
  </si>
  <si>
    <t>a.o. verschiedene Erträge</t>
  </si>
  <si>
    <t>a.o. Finanzerträge</t>
  </si>
  <si>
    <t>a.o. Entnahmen aus Fonds und Spezialfinanzierungen</t>
  </si>
  <si>
    <t>a.o. Transfererträge</t>
  </si>
  <si>
    <t>Zusätzliche Auflösung passivierter Investitionsbeiträge</t>
  </si>
  <si>
    <t>davon 4895</t>
  </si>
  <si>
    <t>Entnahmen aus Aufwertungsreserven</t>
  </si>
  <si>
    <t>Ausserordentliches Ergebnis</t>
  </si>
  <si>
    <t>Gesamtergebnis Erfolgsrechung</t>
  </si>
  <si>
    <t>Aufwand</t>
  </si>
  <si>
    <t>Ertrag</t>
  </si>
  <si>
    <t>INVESTITIONSRECHNUNG</t>
  </si>
  <si>
    <t>Sachanlagen</t>
  </si>
  <si>
    <t>Investitionen auf Rechnung Dritter</t>
  </si>
  <si>
    <t>Immaterielle Anlagen</t>
  </si>
  <si>
    <t>Darlehen</t>
  </si>
  <si>
    <t>Beteiligungen und Grundkapitalien</t>
  </si>
  <si>
    <t>Eigene Investitionsbeiträge</t>
  </si>
  <si>
    <t>Durchlaufende Investitionsbeiträge</t>
  </si>
  <si>
    <t>a.o. Investitionen für Sachanlagen</t>
  </si>
  <si>
    <t>a.o. Investitionen für immaterielle Anlagen</t>
  </si>
  <si>
    <t>a.o. Investitionen für Darlehen</t>
  </si>
  <si>
    <t>a.o. Investitionen für Beteiligungen und Grundkapitalien</t>
  </si>
  <si>
    <t>a.o. eigene Investitionsbeiträge</t>
  </si>
  <si>
    <t>Übrige a.o. Investitionen</t>
  </si>
  <si>
    <t>Investitionsausgaben gesamt</t>
  </si>
  <si>
    <t>Übertragung von Sachanlagen in das FV</t>
  </si>
  <si>
    <t>Rückerstattungen Dritter für Investitionen</t>
  </si>
  <si>
    <t>Abgang immaterielle Anlagen</t>
  </si>
  <si>
    <t>Investitionsbeiträge für eigene Rechnung</t>
  </si>
  <si>
    <t>Rückzahlung von Darlehen</t>
  </si>
  <si>
    <t>Übertragung von Beteiligungen</t>
  </si>
  <si>
    <t>Rückzahlung eigener Investitionsbeiträge</t>
  </si>
  <si>
    <t>680 + 682
+ 689</t>
  </si>
  <si>
    <t>a.o. Investitionseinnahmen für Sachanlagen, immaterielle Anlagen und übrige Anlagen</t>
  </si>
  <si>
    <t>683 bis 686</t>
  </si>
  <si>
    <t>a.o. Investitionsbeiträge für eigene Rechnung; Rückzahlungen von Darlehen; Übertragung von Beteiligungen; Rückzahlung von eigenen Beiträgen</t>
  </si>
  <si>
    <t>Investitionseinnahmen gesamt</t>
  </si>
  <si>
    <t>HRM2-Tabelle 18.19</t>
  </si>
  <si>
    <t>Nettoinv. II</t>
  </si>
  <si>
    <t>Nettoinvestition ohne Darlehen und Beteiligungen</t>
  </si>
  <si>
    <t>BILANZ</t>
  </si>
  <si>
    <t>Finanzvermögen</t>
  </si>
  <si>
    <t>10 kf. FV</t>
  </si>
  <si>
    <t>Umlaufvermögen (kurzfristiges Finanzvermögen)</t>
  </si>
  <si>
    <t>100+101</t>
  </si>
  <si>
    <t>Flüssige Mittel, Forderungen</t>
  </si>
  <si>
    <t>Kurzfr. Finanzanlagen</t>
  </si>
  <si>
    <t>Aktive Rechnungsabgrenzungen (Transit. Aktiven)</t>
  </si>
  <si>
    <t>Vorräte und angefangene Arbeiten</t>
  </si>
  <si>
    <t>10 lf. FV</t>
  </si>
  <si>
    <t>Anlagevermögen FV (langfristiges Finanzvermögen)</t>
  </si>
  <si>
    <t>Langfristige Finanzanlagen FV</t>
  </si>
  <si>
    <t>Sachanlagen FV</t>
  </si>
  <si>
    <t>Forderungen gegenüber Spezialfinanzierungen und Fonds im FK</t>
  </si>
  <si>
    <t>Verwaltungsvermögen</t>
  </si>
  <si>
    <t>140+142</t>
  </si>
  <si>
    <t>Sachanlagen, Immaterielle Anlagen</t>
  </si>
  <si>
    <t>Beteiligungen / Grundkapitalien</t>
  </si>
  <si>
    <t>Investitionsbeiträge</t>
  </si>
  <si>
    <t>1480+1482</t>
  </si>
  <si>
    <t>Kum. zusätzliche Abschreibungen Sachanlagen, Immaterielle Anlagen (negative Vorzeichen)</t>
  </si>
  <si>
    <t>Kum. zusätzliche Abschreibungen Darlehen</t>
  </si>
  <si>
    <t>Kum. zusätzliche Abschreibungen Beteiligungen</t>
  </si>
  <si>
    <t>Kum. zusätzliche Abschreibungen Investitionsbeiträge</t>
  </si>
  <si>
    <t>Nicht zugeteilte kum. zusätzliche Abschreibungen</t>
  </si>
  <si>
    <t>Aktiven</t>
  </si>
  <si>
    <t>Fremdkapital</t>
  </si>
  <si>
    <t>20 kf. FK</t>
  </si>
  <si>
    <t>Kurzfristiges Fremdkapital</t>
  </si>
  <si>
    <t>Laufende Verbindlichkeiten</t>
  </si>
  <si>
    <t>Kurzfristige Finanzverbindlichkeiten</t>
  </si>
  <si>
    <t>davon 2016</t>
  </si>
  <si>
    <t>derivative Finanzinstrumente</t>
  </si>
  <si>
    <t>Passive Rechnungsabgrenzungen (Transit. Passiven)</t>
  </si>
  <si>
    <t>Kurzfristige Rückstellungen</t>
  </si>
  <si>
    <t>20 lf. FK</t>
  </si>
  <si>
    <t>Langfristiges Fremdkapital</t>
  </si>
  <si>
    <t>Langfristige Finanzverbindlichkeiten</t>
  </si>
  <si>
    <t>davon 2068</t>
  </si>
  <si>
    <t>passivierte Investitionsbeiträge</t>
  </si>
  <si>
    <t>Langfristige Rückstellungen</t>
  </si>
  <si>
    <t>Verbindlichkeiten gegenüber Spezialfinanzierungen und Fonds im FK</t>
  </si>
  <si>
    <t>Eigenkapital</t>
  </si>
  <si>
    <t>davon 299</t>
  </si>
  <si>
    <t>Bilanzüberschuss (- Bilanzfehlbetrag)</t>
  </si>
  <si>
    <t>Passiven</t>
  </si>
  <si>
    <t>KENNZAHLEN</t>
  </si>
  <si>
    <t>1000 Fr.</t>
  </si>
  <si>
    <t>HRM2-Tabelle 18.23</t>
  </si>
  <si>
    <t>HRM2-Tabelle 18.8</t>
  </si>
  <si>
    <t>Selbstfinanzierungsanteil</t>
  </si>
  <si>
    <t>HRM2-Tabelle 18.2</t>
  </si>
  <si>
    <t>Selbstfinanzierungsgrad inkl. Darlehen und Beteiligungen der Investitionsrechnung</t>
  </si>
  <si>
    <t>Selbstfinanzierungsgrad ohne Darlehen und Beteiligungen der Investitionsrechnung</t>
  </si>
  <si>
    <t>Nettoinvestition - Selbstfinanzierung</t>
  </si>
  <si>
    <t>Finanzierungsergebnis inkl. Darlehen und Beteiligungen der Investitionsrechnung</t>
  </si>
  <si>
    <t>Nettoinvestition ohne Darl./Bet. - Selbstfin.</t>
  </si>
  <si>
    <t>Finanzierungsergebnis ohne Darlehen und Beteiligungen der Investitionsrechnung</t>
  </si>
  <si>
    <t>HRM2-Tabelle 18.10</t>
  </si>
  <si>
    <t>Bruttoschulden</t>
  </si>
  <si>
    <t>HRM2-Tabelle 18.4</t>
  </si>
  <si>
    <t>Bruttoverschuldungsanteil</t>
  </si>
  <si>
    <t>HRM2-Tabelle 18.20</t>
  </si>
  <si>
    <t>Nettoschulden I</t>
  </si>
  <si>
    <t>HRM2-Tabelle 18.21</t>
  </si>
  <si>
    <t>Nettoschulden II</t>
  </si>
  <si>
    <t>HRM2-Tabelle 18.7</t>
  </si>
  <si>
    <t>Nettoschuld I in Fr. je Einwohner</t>
  </si>
  <si>
    <t>Nettoschuld II in Fr. je Einwohner</t>
  </si>
  <si>
    <t>HRM2-Tabelle 18.1</t>
  </si>
  <si>
    <t>Nettoverschuldungsquotient</t>
  </si>
  <si>
    <t>SG 29</t>
  </si>
  <si>
    <t>SG 299  in % Laufender Aufwand</t>
  </si>
  <si>
    <t>Eigenkapitaldeckungsgrad</t>
  </si>
  <si>
    <t>HRM2-Tabelle 18.6</t>
  </si>
  <si>
    <t>Kapitaldienstanteil</t>
  </si>
  <si>
    <t>SG 44 - SG 34</t>
  </si>
  <si>
    <t>Ertrag FV in % SG 10</t>
  </si>
  <si>
    <t>Bruttorendite des Finanzvermögens</t>
  </si>
  <si>
    <t>HRM2-Tabelle 18.22</t>
  </si>
  <si>
    <t>Nettozinsaufwand</t>
  </si>
  <si>
    <t>HRM2-Tabelle 18.3</t>
  </si>
  <si>
    <t>Zinsbelastungsanteil</t>
  </si>
  <si>
    <t>HRM2-Tabelle 18.9</t>
  </si>
  <si>
    <t>Bruttoinvestitionen</t>
  </si>
  <si>
    <t>HRM2-Tabelle 18.13</t>
  </si>
  <si>
    <t>Investitionseinnahmen</t>
  </si>
  <si>
    <t>HRM2-Tabelle 18.5</t>
  </si>
  <si>
    <t>Investitionsanteil</t>
  </si>
  <si>
    <t>STATISTIK</t>
  </si>
  <si>
    <t>HRM2-Tabelle 18.24</t>
  </si>
  <si>
    <t xml:space="preserve">Ständige Wohnbevölkerung am Jahresende </t>
  </si>
  <si>
    <t>Hilfsgrössen</t>
  </si>
  <si>
    <t>HRM2-Tabelle 18.18</t>
  </si>
  <si>
    <t>Laufender Ertrag</t>
  </si>
  <si>
    <t>HRM2-Tabelle 18.16</t>
  </si>
  <si>
    <t>Laufender Aufwand</t>
  </si>
  <si>
    <t>Gesamtaufwand</t>
  </si>
  <si>
    <t>HRM2-Tabelle 18.14</t>
  </si>
  <si>
    <t>Kapitaldienst</t>
  </si>
  <si>
    <r>
      <t xml:space="preserve">Finanzrechnung
</t>
    </r>
    <r>
      <rPr>
        <sz val="10"/>
        <rFont val="Arial Narrow"/>
        <family val="2"/>
      </rPr>
      <t>HRM2-Tabelle 18.17</t>
    </r>
  </si>
  <si>
    <t>Laufende Einnahmen</t>
  </si>
  <si>
    <t>HRM2-Tabelle 18.12</t>
  </si>
  <si>
    <t>Gesamteinnahmen</t>
  </si>
  <si>
    <t>HRM2-Tabelle 18.15</t>
  </si>
  <si>
    <t>Laufende Ausgaben</t>
  </si>
  <si>
    <t>HRM2-Tabelle 18.11</t>
  </si>
  <si>
    <t>Gesamtausgaben</t>
  </si>
  <si>
    <t>Ergebnis Finanzrechnung Laufende Zahlungen</t>
  </si>
  <si>
    <t>Ergebnis Finanzrechnung Gesamt</t>
  </si>
  <si>
    <t>AR</t>
  </si>
  <si>
    <t>Appenzell Innerrhoden</t>
  </si>
  <si>
    <t>Eigenkapital (in 1000 Fr.)</t>
  </si>
  <si>
    <t>Ständige Wohnbevölkerung am Jahresende</t>
  </si>
  <si>
    <t>Appenzell Ausserrhoden</t>
  </si>
  <si>
    <t>def.</t>
  </si>
  <si>
    <t>BL</t>
  </si>
  <si>
    <t>Basel Land</t>
  </si>
  <si>
    <t>BS</t>
  </si>
  <si>
    <t>Basel Stadt</t>
  </si>
  <si>
    <t>Bemerkungen:</t>
  </si>
  <si>
    <t>Budget 2013: Gemäss Bevölkerungsprognose Basel-Stadt 2012, Mittleres Szenario, Statistisches Amt des Kantons Basel-Stadt</t>
  </si>
  <si>
    <t>FR</t>
  </si>
  <si>
    <t>en 1000 frs.</t>
  </si>
  <si>
    <t>Compte de résultats</t>
  </si>
  <si>
    <t>Charges de biens et services et autres charges d'exploitation</t>
  </si>
  <si>
    <t>Gros entretien et entretien courant</t>
  </si>
  <si>
    <t>de cela 3180</t>
  </si>
  <si>
    <t>Réévaluations sur créances</t>
  </si>
  <si>
    <t>Immobilisations corporelles du PA</t>
  </si>
  <si>
    <t>Amortissements des immobilisations incorporelles</t>
  </si>
  <si>
    <t>Remboursement du découvert du bilan</t>
  </si>
  <si>
    <t>Attributions aux fonds et financements spéciaux enregistrées sous capitaux de tiers</t>
  </si>
  <si>
    <t>Attributions aux fonds et financements spéciaux enregistrées sous Capital propre</t>
  </si>
  <si>
    <t>Charges de transfert</t>
  </si>
  <si>
    <t>de cela 3634</t>
  </si>
  <si>
    <t>Subventions accordées aux entreprises publiques</t>
  </si>
  <si>
    <t>de cela 3635</t>
  </si>
  <si>
    <t>Subventions accordées aux entreprises privées</t>
  </si>
  <si>
    <t>de cela 364, 365 et 366</t>
  </si>
  <si>
    <t>Réévaluations emprunts PA, participations PA et subventions d'investissements</t>
  </si>
  <si>
    <t>Subventions à redistribuer</t>
  </si>
  <si>
    <t>de cela 3704</t>
  </si>
  <si>
    <t>Subventions à redistribuer aux entreprises publiques</t>
  </si>
  <si>
    <t>de ceal 3705</t>
  </si>
  <si>
    <t>Subventions à redistribuer aux entreprises privées</t>
  </si>
  <si>
    <t>charges d'exploitation (sauf GN 39)</t>
  </si>
  <si>
    <t>Impôts directs Personnes physiques et personnes morales</t>
  </si>
  <si>
    <t>Autres impôts directs; Impôt sur la propriété et sur les charges</t>
  </si>
  <si>
    <t>Patentes et concessions</t>
  </si>
  <si>
    <t>Taxes</t>
  </si>
  <si>
    <t>Revenus d'exploitation divers</t>
  </si>
  <si>
    <t>Activation des prestations propres</t>
  </si>
  <si>
    <t>Variations de stocks</t>
  </si>
  <si>
    <t>Autres revenus</t>
  </si>
  <si>
    <t>Prélèvements sur les fonds et financements spéciaux enregistrés sous Capitaux de tiers</t>
  </si>
  <si>
    <t>Prélèvements sur les fonds et financements spéciaux enregistrés sous Capital propre</t>
  </si>
  <si>
    <t>Revenus de transferts</t>
  </si>
  <si>
    <t>de cela 466</t>
  </si>
  <si>
    <t>Dissolution des subventions d'investissements portées au passif</t>
  </si>
  <si>
    <t>Revenus d'exploitation (sauf GN 49)</t>
  </si>
  <si>
    <t>Résultat provenant des aktivités d'exploitation</t>
  </si>
  <si>
    <t>Charge d'intérêt</t>
  </si>
  <si>
    <t>Pertes de change réalisées</t>
  </si>
  <si>
    <t>Frais d'approvisionnement en capitaux et frais administratifs</t>
  </si>
  <si>
    <t>Charges pour biensfonds, patrimoine financier</t>
  </si>
  <si>
    <t>Réévaluations, immobilisations PF</t>
  </si>
  <si>
    <t>Différentes charges financières</t>
  </si>
  <si>
    <t>Revenus des intérêts</t>
  </si>
  <si>
    <t>Gains réalisés</t>
  </si>
  <si>
    <t>Revenus de participations PF</t>
  </si>
  <si>
    <t>Produit des immeubles du PF</t>
  </si>
  <si>
    <t>Réévaluations, immobilistaions PF</t>
  </si>
  <si>
    <t>Revenus financiers de prêts et de participations du PA</t>
  </si>
  <si>
    <t>Revenus financiers d'entrepirse publiques</t>
  </si>
  <si>
    <t>Produit des immeubles PA</t>
  </si>
  <si>
    <t>Revenus des immeubles loués</t>
  </si>
  <si>
    <t>autres Revenus financiers</t>
  </si>
  <si>
    <t>de cela 4490</t>
  </si>
  <si>
    <t>Réévaluations PA</t>
  </si>
  <si>
    <t>Résultat provenant de financements</t>
  </si>
  <si>
    <t>Résultat opérationnel</t>
  </si>
  <si>
    <t>Charges de personnel e.o.</t>
  </si>
  <si>
    <t>Charges de biens, services et charges d'exploitation e.o.</t>
  </si>
  <si>
    <t>Amortissements supplémentaires des immobilisations corporelles et incorporelles PA</t>
  </si>
  <si>
    <t>Charges financières extraordinaires (flux de trésorérie)</t>
  </si>
  <si>
    <t>Charges financières extraordinaires, réévaluations extraordinaires (comptable)</t>
  </si>
  <si>
    <t>Charges de transfert ex-traordinaires (flux de trésorérie)</t>
  </si>
  <si>
    <t>Amortissements supplémentaires des prêts, participations et subventions d’investissements</t>
  </si>
  <si>
    <t>Impôts directs extraordinaires, personnes physiques et morales</t>
  </si>
  <si>
    <t>Autres impôts directs extraordinaires; Impôts extraordinaires sur la propriété et sur les charges</t>
  </si>
  <si>
    <t>Revenus extraordinaires de patentes, concessions</t>
  </si>
  <si>
    <t>Contributions extraordinaires</t>
  </si>
  <si>
    <t>Revenus divers extraordinaires</t>
  </si>
  <si>
    <t>Revenus financiers extraordinaires</t>
  </si>
  <si>
    <t>Prélèvements extraordinaires sur les fonds et financements spéciaux</t>
  </si>
  <si>
    <t xml:space="preserve">Parts aux revenus extraordinaires </t>
  </si>
  <si>
    <t>Dissolution supplémentaire des subventions d’investissements portées au passif</t>
  </si>
  <si>
    <t>de cela 4895</t>
  </si>
  <si>
    <t>Prélèvements sur réserve liée au retraitement</t>
  </si>
  <si>
    <t>Résultat extraordinaire</t>
  </si>
  <si>
    <t>Résultat total, compte de résultats</t>
  </si>
  <si>
    <t>Comptes des investissements</t>
  </si>
  <si>
    <t>Immobilisations corporelles</t>
  </si>
  <si>
    <t>Investissements pour le compte de tiers</t>
  </si>
  <si>
    <t>Immobilisations incorporelles</t>
  </si>
  <si>
    <t>Prêts</t>
  </si>
  <si>
    <t>Participations et capital social</t>
  </si>
  <si>
    <t>Propres subventions d'investissement</t>
  </si>
  <si>
    <t>Subventions d'investissements à redistribuer</t>
  </si>
  <si>
    <t>Investissements extraordinaires pour les immobilisations corporelles</t>
  </si>
  <si>
    <t>Investissements extraordinaires pour les immobilisations incorporelles</t>
  </si>
  <si>
    <t>Investissements extraordinaires pour les prêts</t>
  </si>
  <si>
    <t>Investissements extraordinaires pour les participations et le capital social</t>
  </si>
  <si>
    <t xml:space="preserve">Subventions d'investissements extraordinaires </t>
  </si>
  <si>
    <t>Autres investissements extraordinaires</t>
  </si>
  <si>
    <t>Dépenses d'investissements total</t>
  </si>
  <si>
    <t>Transfert d'immobilisations corporelles dans le patrimoine financier</t>
  </si>
  <si>
    <t>Remboursements pour les investissements sur le compte des tiers</t>
  </si>
  <si>
    <t>Vente d'immobilisations incorporelles</t>
  </si>
  <si>
    <t>Subventions d'investissements acquises</t>
  </si>
  <si>
    <t>Remboursement de prêts</t>
  </si>
  <si>
    <t>Transfert de participations</t>
  </si>
  <si>
    <t>Remboursement de propres subventions d'investissement</t>
  </si>
  <si>
    <t xml:space="preserve">Recettes d'investissement extraordinaires pour les immobilisations corporelles, pour les immobilisations incorporelles et autres recettes d'investissement </t>
  </si>
  <si>
    <t>683 à 686</t>
  </si>
  <si>
    <t>Subventions d'investissements extraordinaires acquises; Remboursement extraordinaire de prêts; Transfert extraordinaire de participations; Remboursement extraordinaire de propres subventions d'investissement</t>
  </si>
  <si>
    <t>Recettes d'investissements total</t>
  </si>
  <si>
    <t>Investissement net sauf prêts et participations</t>
  </si>
  <si>
    <t>BILAN</t>
  </si>
  <si>
    <t>Patrimoine Financier</t>
  </si>
  <si>
    <t>Actif circulant (Actif financier à court terme)</t>
  </si>
  <si>
    <t>Disponibilités et place-ments à court terme; Créances</t>
  </si>
  <si>
    <t>Placements financiers à court terme</t>
  </si>
  <si>
    <t xml:space="preserve">Actifs de régularisation </t>
  </si>
  <si>
    <t>Marchandises, fournitures et travaux en cours</t>
  </si>
  <si>
    <t>Actif immobilisée</t>
  </si>
  <si>
    <t>Placements financiers</t>
  </si>
  <si>
    <t>Immobilisations corporelles PF</t>
  </si>
  <si>
    <t>Créances envers les financements spéciaux et fonds des capitaux de tiers</t>
  </si>
  <si>
    <t>Patrimoine administratif</t>
  </si>
  <si>
    <t>Immobilisations corporelles et incorporelles du PA</t>
  </si>
  <si>
    <t>Participations, capital social</t>
  </si>
  <si>
    <t>Subventions d'investissements</t>
  </si>
  <si>
    <t>Amortissements supplémentaires cumulés, immobilisations corporelles et  immobilisations incorporelles (négativ)</t>
  </si>
  <si>
    <t>Amortissements supplémentaires cumulés sur prêts</t>
  </si>
  <si>
    <t>Amortissements supplémentaires cumulés sur participations</t>
  </si>
  <si>
    <t>Amortissements supplémentaires cumulés, Subventions d'investissements</t>
  </si>
  <si>
    <t xml:space="preserve">Amortissements supplémentaires cumulés non attribués </t>
  </si>
  <si>
    <t>Actif</t>
  </si>
  <si>
    <t>Capitaux de tiers</t>
  </si>
  <si>
    <t>Capitaux de tiers à court terme</t>
  </si>
  <si>
    <t>Engagements courants</t>
  </si>
  <si>
    <t>Engagements financiers à court terme</t>
  </si>
  <si>
    <t>de cela 2016</t>
  </si>
  <si>
    <t>Instruments financiers dérivés</t>
  </si>
  <si>
    <t>Passifs de régularisation</t>
  </si>
  <si>
    <t>Provisions à court terme</t>
  </si>
  <si>
    <t>Capitaux de tiers à long terme</t>
  </si>
  <si>
    <t>Engagements financiers à long terme</t>
  </si>
  <si>
    <t>de cela 2068</t>
  </si>
  <si>
    <t>Subventions d'investissements inscrites au passif</t>
  </si>
  <si>
    <t>Provisions à long terme</t>
  </si>
  <si>
    <t>Engagements envers les financements spéciaux et des fonds des Capitaux de tiers</t>
  </si>
  <si>
    <t>Capital propre</t>
  </si>
  <si>
    <t>de cela   299</t>
  </si>
  <si>
    <t>Excédent du bilan (- Découvert du bilan)</t>
  </si>
  <si>
    <t>Passif</t>
  </si>
  <si>
    <t>INDICATEURS FINANCIERS                                                                              1000 frs.</t>
  </si>
  <si>
    <t>MCH2-Tableau 18.23</t>
  </si>
  <si>
    <t>MCH2-Tableau 18.8</t>
  </si>
  <si>
    <t>Taux d'autofinancement</t>
  </si>
  <si>
    <t>MCH2-Tableau 18.2</t>
  </si>
  <si>
    <t>Degré d'autofinancement incl. emprunts et participations de la compte des investissements</t>
  </si>
  <si>
    <t>Degré d'autofinancement sauf emprunts et participations de la compte des investissements</t>
  </si>
  <si>
    <t>Invest. net - Autofinancement</t>
  </si>
  <si>
    <t>Financement incl. emprunts et participations de la compte des investissements</t>
  </si>
  <si>
    <t>Invest. net sauf empr. &amp;particip.- Autofinanc.</t>
  </si>
  <si>
    <t>Financement sauf emprunts et participations de la compte des investissements</t>
  </si>
  <si>
    <t>MCH2-Tableau 18.10</t>
  </si>
  <si>
    <t>Dettes brutes</t>
  </si>
  <si>
    <t>MCH2-Tableau 18.4</t>
  </si>
  <si>
    <t>Dettes brutes par rapport aux revenus</t>
  </si>
  <si>
    <t>MCH2-Tableau 18.20</t>
  </si>
  <si>
    <t>Dette nette I</t>
  </si>
  <si>
    <t>MCH2-Tableau 18.21</t>
  </si>
  <si>
    <t>Dette nette II</t>
  </si>
  <si>
    <t>MCH2-Tableau 18.7</t>
  </si>
  <si>
    <t>Dette nette 1 en francs et par habitant</t>
  </si>
  <si>
    <t>Dette nette 2 en francs et par habitant</t>
  </si>
  <si>
    <t>MCH2-Tableau 18.1</t>
  </si>
  <si>
    <t>Taux d'endettement net</t>
  </si>
  <si>
    <t>GN 29</t>
  </si>
  <si>
    <t>capital propre</t>
  </si>
  <si>
    <t>GN 299  en % de charge courant</t>
  </si>
  <si>
    <t>Degré de couverture du capital propre</t>
  </si>
  <si>
    <t>MCH2-Tableau 18.6</t>
  </si>
  <si>
    <t>Part du service de la dette</t>
  </si>
  <si>
    <t>GN 44 - GN 34</t>
  </si>
  <si>
    <t>Resultat provenant de financement</t>
  </si>
  <si>
    <t>Revenus PF ein % du GN 10</t>
  </si>
  <si>
    <t>Rendements bruts du patrimoine financier</t>
  </si>
  <si>
    <t>MCH2-Tableau 18.22</t>
  </si>
  <si>
    <t>Charges d'intérêts nets</t>
  </si>
  <si>
    <t>MCH2-Tableau 18.3</t>
  </si>
  <si>
    <t>Part des charges d'intérêts</t>
  </si>
  <si>
    <t>MCH2-Tableau 18.9</t>
  </si>
  <si>
    <t>Investissements bruts</t>
  </si>
  <si>
    <t>MCH2-Tableau 18.13</t>
  </si>
  <si>
    <t>Resettes d'investissement</t>
  </si>
  <si>
    <t>MCH2-Tableau 18.5</t>
  </si>
  <si>
    <t>Proportion des investissements</t>
  </si>
  <si>
    <t>STATISTIC</t>
  </si>
  <si>
    <t>MCH2-Tableau 18.24</t>
  </si>
  <si>
    <t>Population résident permanente à la fin de l'année</t>
  </si>
  <si>
    <t>Chiffres-clés</t>
  </si>
  <si>
    <t>MCH2-Tableau 18.18</t>
  </si>
  <si>
    <t>Revenus courants</t>
  </si>
  <si>
    <t>MCH2-Tableau 18.16</t>
  </si>
  <si>
    <t>Charges courantes</t>
  </si>
  <si>
    <t>Charges totales</t>
  </si>
  <si>
    <t>MCH2-Tableau 18.14</t>
  </si>
  <si>
    <t>Service de la dette</t>
  </si>
  <si>
    <r>
      <t>Compte financière</t>
    </r>
    <r>
      <rPr>
        <sz val="10"/>
        <rFont val="Arial Narrow"/>
        <family val="2"/>
      </rPr>
      <t xml:space="preserve">
MCH2-Tableau 18.17</t>
    </r>
  </si>
  <si>
    <t>Recettes courantes</t>
  </si>
  <si>
    <t>MCH2-Tableau 18.12</t>
  </si>
  <si>
    <t>Recettes totales</t>
  </si>
  <si>
    <t>MCH2-Tableau 18.15</t>
  </si>
  <si>
    <t>Dépenses courantes</t>
  </si>
  <si>
    <t>MCH2-Tableau 18.11</t>
  </si>
  <si>
    <t>Dépenses totales</t>
  </si>
  <si>
    <t>Résultat compte financière courante</t>
  </si>
  <si>
    <t>Résultat compte financière totales</t>
  </si>
  <si>
    <t>GE</t>
  </si>
  <si>
    <t>Geneva</t>
  </si>
  <si>
    <t xml:space="preserve">Corrigé </t>
  </si>
  <si>
    <t>12èmes</t>
  </si>
  <si>
    <t>GL</t>
  </si>
  <si>
    <t>decela 2016</t>
  </si>
  <si>
    <t>GR</t>
  </si>
  <si>
    <t>JU</t>
  </si>
  <si>
    <t>en 1000 frcs.</t>
  </si>
  <si>
    <t>Revenus d'exploitation di-vers</t>
  </si>
  <si>
    <t>Charges de transfert extraordinaires (flux de trésorérie)</t>
  </si>
  <si>
    <t>INDICATEURS FINANCIERS                                                              1000 frs.</t>
  </si>
  <si>
    <t>LU</t>
  </si>
  <si>
    <t>OW</t>
  </si>
  <si>
    <t>def</t>
  </si>
  <si>
    <t>NW</t>
  </si>
  <si>
    <t>SG</t>
  </si>
  <si>
    <t>SO</t>
  </si>
  <si>
    <t>SZ</t>
  </si>
  <si>
    <t>TG</t>
  </si>
  <si>
    <t>TI</t>
  </si>
  <si>
    <t>Ticino</t>
  </si>
  <si>
    <t>UR</t>
  </si>
  <si>
    <t>dvon 2016</t>
  </si>
  <si>
    <t>VD</t>
  </si>
  <si>
    <t>ZG</t>
  </si>
  <si>
    <t>ZH</t>
  </si>
  <si>
    <t>'=P56+P76</t>
  </si>
  <si>
    <t>Résultats des Comptes 2014 des cantons</t>
  </si>
  <si>
    <t>Abschlusszahlen der Rechnungen 2014 der Kantone</t>
  </si>
  <si>
    <t>Kanton</t>
  </si>
  <si>
    <t>Saldo L. R.</t>
  </si>
  <si>
    <t>Finanzierung (+/-)</t>
  </si>
  <si>
    <t>Canton</t>
  </si>
  <si>
    <t>Excédent des</t>
  </si>
  <si>
    <t>Financement (+/-)</t>
  </si>
  <si>
    <t>revenus/charges</t>
  </si>
  <si>
    <t>in 1000 Fr. / en 1000 frs.</t>
  </si>
  <si>
    <t>Basel-Stadt</t>
  </si>
  <si>
    <t xml:space="preserve">Basel-Landschaft </t>
  </si>
  <si>
    <t>Appenzell A.Rh.</t>
  </si>
  <si>
    <t>Tessin</t>
  </si>
  <si>
    <t>Genève</t>
  </si>
  <si>
    <t>Ein Selbstfinanzierungsgrad von unter null wird mit "negativ" bezeichnet</t>
  </si>
  <si>
    <t>Un degré d'autofinancement inférieur à zéro est marqué "négatif"</t>
  </si>
  <si>
    <t>Kantone die HRM2 anwenden, sind mit HRM2 markiert   /  Cantons qui utilises MCH2 sont marqué HRM2</t>
  </si>
  <si>
    <t>Résultats des Budgets 2015 des cantons</t>
  </si>
  <si>
    <t>Abschlusszahlen der Budgets 2015 der Kantone</t>
  </si>
  <si>
    <t>Abschlusszahlen der Rechnungen 2015 der Kantone</t>
  </si>
  <si>
    <t>Résultats des Budgets 2016 des cantons</t>
  </si>
  <si>
    <t>Abschlusszahlen der Budgets 2016 der Kantone</t>
  </si>
  <si>
    <t>Saldo Laufende Rechnung 
Excedent des revenues / des charges</t>
  </si>
  <si>
    <t>Differenz</t>
  </si>
  <si>
    <t>HRM2 / MCH2</t>
  </si>
  <si>
    <t xml:space="preserve">Finanzierung 
Financement </t>
  </si>
  <si>
    <t>+ Finanzierungsüberschuss / - Finanzierungsfehlbetrag</t>
  </si>
  <si>
    <t>+ Excedent de financement / - Insuffisnce de financement</t>
  </si>
  <si>
    <t>Selbstfinanzierungsgrad
Degré d'autofinancement</t>
  </si>
  <si>
    <t xml:space="preserve">- </t>
  </si>
  <si>
    <t>R 15 - B 15</t>
  </si>
  <si>
    <t>B 16 - R 15</t>
  </si>
  <si>
    <t>Résultats des Comptes 2015 des cantons</t>
  </si>
  <si>
    <t>Comte</t>
  </si>
  <si>
    <t>R 15 -  B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</si>
</sst>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 * #,##0.00_ ;_ * \-#,##0.00_ ;_ * &quot;-&quot;??_ ;_ @_ "/>
    <numFmt numFmtId="164" formatCode="General_)"/>
    <numFmt numFmtId="165" formatCode="0.0%"/>
    <numFmt numFmtId="166" formatCode="#,##0;\-\ #,##0"/>
    <numFmt numFmtId="167" formatCode="#"/>
    <numFmt numFmtId="168" formatCode="#,##0_ ;[Red]\-#,##0\ "/>
    <numFmt numFmtId="169" formatCode="_(* #,##0.00_);_(* \(#,##0.00\);_(* &quot;-&quot;??_);_(@_)"/>
    <numFmt numFmtId="170" formatCode="_ * #,##0_ ;_ * \-#,##0_ ;_ * &quot;-&quot;??_ ;_ @_ "/>
    <numFmt numFmtId="171" formatCode="_ * #,##0_ ;[Red]_ * \-#,##0_ ;_ * &quot;-&quot;??_ ;_ @_ "/>
    <numFmt numFmtId="172" formatCode="0.0%;\ \-0.0%;\ * &quot;-&quot;??_;"/>
    <numFmt numFmtId="173" formatCode="#\ ###\ ##0"/>
    <numFmt numFmtId="174" formatCode="0.0%;[Red]\-0.0%"/>
  </numFmts>
  <fonts count="67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name val="Arial Narrow"/>
      <family val="2"/>
    </font>
    <font>
      <b/>
      <i/>
      <sz val="1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0"/>
      <name val="Times New Roman"/>
      <family val="1"/>
    </font>
    <font>
      <sz val="10"/>
      <color indexed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Calibri"/>
      <family val="2"/>
    </font>
    <font>
      <b/>
      <sz val="10"/>
      <color indexed="52"/>
      <name val="Arial"/>
      <family val="2"/>
    </font>
    <font>
      <b/>
      <sz val="11"/>
      <color indexed="17"/>
      <name val="Calibri"/>
      <family val="2"/>
    </font>
    <font>
      <sz val="10"/>
      <color indexed="62"/>
      <name val="Arial"/>
      <family val="2"/>
    </font>
    <font>
      <sz val="11"/>
      <color indexed="4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name val="Geneva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11"/>
      <color indexed="17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0"/>
      <color indexed="20"/>
      <name val="Arial"/>
      <family val="2"/>
    </font>
    <font>
      <sz val="11"/>
      <color indexed="37"/>
      <name val="Calibri"/>
      <family val="2"/>
    </font>
    <font>
      <b/>
      <sz val="18"/>
      <color indexed="62"/>
      <name val="Cambria"/>
      <family val="2"/>
    </font>
    <font>
      <sz val="11"/>
      <color indexed="8"/>
      <name val="Arial"/>
      <family val="2"/>
    </font>
    <font>
      <sz val="10"/>
      <name val="Helv"/>
      <family val="2"/>
    </font>
    <font>
      <b/>
      <sz val="15"/>
      <color indexed="56"/>
      <name val="Arial"/>
      <family val="2"/>
    </font>
    <font>
      <b/>
      <sz val="15"/>
      <color indexed="62"/>
      <name val="Calibri"/>
      <family val="2"/>
    </font>
    <font>
      <b/>
      <sz val="13"/>
      <color indexed="56"/>
      <name val="Arial"/>
      <family val="2"/>
    </font>
    <font>
      <b/>
      <sz val="13"/>
      <color indexed="62"/>
      <name val="Calibri"/>
      <family val="2"/>
    </font>
    <font>
      <b/>
      <sz val="11"/>
      <color indexed="56"/>
      <name val="Arial"/>
      <family val="2"/>
    </font>
    <font>
      <b/>
      <sz val="11"/>
      <color indexed="62"/>
      <name val="Calibri"/>
      <family val="2"/>
    </font>
    <font>
      <b/>
      <sz val="18"/>
      <color indexed="56"/>
      <name val="Cambria"/>
      <family val="2"/>
    </font>
    <font>
      <sz val="10"/>
      <color indexed="52"/>
      <name val="Arial"/>
      <family val="2"/>
    </font>
    <font>
      <sz val="10"/>
      <color indexed="10"/>
      <name val="Arial"/>
      <family val="2"/>
    </font>
    <font>
      <sz val="11"/>
      <color indexed="14"/>
      <name val="Calibri"/>
      <family val="2"/>
    </font>
    <font>
      <b/>
      <sz val="10"/>
      <color indexed="9"/>
      <name val="Arial"/>
      <family val="2"/>
    </font>
    <font>
      <b/>
      <sz val="11"/>
      <color indexed="9"/>
      <name val="Calibri"/>
      <family val="2"/>
    </font>
    <font>
      <b/>
      <sz val="12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</fonts>
  <fills count="72">
    <fill>
      <patternFill patternType="none"/>
    </fill>
    <fill>
      <patternFill patternType="gray125"/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62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53"/>
        <bgColor indexed="53"/>
      </patternFill>
    </fill>
    <fill>
      <patternFill patternType="solid">
        <fgColor indexed="22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0"/>
      </patternFill>
    </fill>
    <fill>
      <patternFill patternType="solid">
        <fgColor indexed="55"/>
      </patternFill>
    </fill>
  </fills>
  <borders count="9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double">
        <color indexed="64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</borders>
  <cellStyleXfs count="240">
    <xf numFmtId="164" fontId="0" fillId="0" borderId="0"/>
    <xf numFmtId="0" fontId="10" fillId="0" borderId="0"/>
    <xf numFmtId="16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18" fillId="0" borderId="0"/>
    <xf numFmtId="43" fontId="4" fillId="0" borderId="0" applyFont="0" applyFill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3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3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3" fillId="35" borderId="0" applyNumberFormat="0" applyBorder="0" applyAlignment="0" applyProtection="0"/>
    <xf numFmtId="0" fontId="22" fillId="30" borderId="0" applyNumberFormat="0" applyBorder="0" applyAlignment="0" applyProtection="0"/>
    <xf numFmtId="0" fontId="22" fillId="36" borderId="0" applyNumberFormat="0" applyBorder="0" applyAlignment="0" applyProtection="0"/>
    <xf numFmtId="0" fontId="23" fillId="31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3" fillId="2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3" fillId="41" borderId="0" applyNumberFormat="0" applyBorder="0" applyAlignment="0" applyProtection="0"/>
    <xf numFmtId="0" fontId="24" fillId="42" borderId="0" applyNumberFormat="0" applyBorder="0" applyAlignment="0" applyProtection="0"/>
    <xf numFmtId="0" fontId="23" fillId="43" borderId="0" applyNumberFormat="0" applyBorder="0" applyAlignment="0" applyProtection="0"/>
    <xf numFmtId="0" fontId="24" fillId="42" borderId="0" applyNumberFormat="0" applyBorder="0" applyAlignment="0" applyProtection="0"/>
    <xf numFmtId="0" fontId="24" fillId="44" borderId="0" applyNumberFormat="0" applyBorder="0" applyAlignment="0" applyProtection="0"/>
    <xf numFmtId="0" fontId="23" fillId="45" borderId="0" applyNumberFormat="0" applyBorder="0" applyAlignment="0" applyProtection="0"/>
    <xf numFmtId="0" fontId="24" fillId="44" borderId="0" applyNumberFormat="0" applyBorder="0" applyAlignment="0" applyProtection="0"/>
    <xf numFmtId="0" fontId="24" fillId="46" borderId="0" applyNumberFormat="0" applyBorder="0" applyAlignment="0" applyProtection="0"/>
    <xf numFmtId="0" fontId="23" fillId="47" borderId="0" applyNumberFormat="0" applyBorder="0" applyAlignment="0" applyProtection="0"/>
    <xf numFmtId="0" fontId="24" fillId="46" borderId="0" applyNumberFormat="0" applyBorder="0" applyAlignment="0" applyProtection="0"/>
    <xf numFmtId="0" fontId="24" fillId="24" borderId="0" applyNumberFormat="0" applyBorder="0" applyAlignment="0" applyProtection="0"/>
    <xf numFmtId="0" fontId="23" fillId="48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3" fillId="29" borderId="0" applyNumberFormat="0" applyBorder="0" applyAlignment="0" applyProtection="0"/>
    <xf numFmtId="0" fontId="24" fillId="25" borderId="0" applyNumberFormat="0" applyBorder="0" applyAlignment="0" applyProtection="0"/>
    <xf numFmtId="0" fontId="24" fillId="49" borderId="0" applyNumberFormat="0" applyBorder="0" applyAlignment="0" applyProtection="0"/>
    <xf numFmtId="0" fontId="23" fillId="50" borderId="0" applyNumberFormat="0" applyBorder="0" applyAlignment="0" applyProtection="0"/>
    <xf numFmtId="0" fontId="24" fillId="49" borderId="0" applyNumberFormat="0" applyBorder="0" applyAlignment="0" applyProtection="0"/>
    <xf numFmtId="0" fontId="25" fillId="51" borderId="31" applyNumberFormat="0" applyAlignment="0" applyProtection="0"/>
    <xf numFmtId="0" fontId="26" fillId="52" borderId="31" applyNumberFormat="0" applyAlignment="0" applyProtection="0"/>
    <xf numFmtId="0" fontId="25" fillId="51" borderId="31" applyNumberFormat="0" applyAlignment="0" applyProtection="0"/>
    <xf numFmtId="0" fontId="27" fillId="51" borderId="32" applyNumberFormat="0" applyAlignment="0" applyProtection="0"/>
    <xf numFmtId="0" fontId="28" fillId="52" borderId="33" applyNumberFormat="0" applyAlignment="0" applyProtection="0"/>
    <xf numFmtId="0" fontId="27" fillId="51" borderId="32" applyNumberFormat="0" applyAlignment="0" applyProtection="0"/>
    <xf numFmtId="169" fontId="4" fillId="0" borderId="0" applyFont="0" applyFill="0" applyBorder="0" applyAlignment="0" applyProtection="0"/>
    <xf numFmtId="0" fontId="29" fillId="18" borderId="32" applyNumberFormat="0" applyAlignment="0" applyProtection="0"/>
    <xf numFmtId="0" fontId="30" fillId="40" borderId="33" applyNumberFormat="0" applyAlignment="0" applyProtection="0"/>
    <xf numFmtId="0" fontId="29" fillId="18" borderId="32" applyNumberFormat="0" applyAlignment="0" applyProtection="0"/>
    <xf numFmtId="0" fontId="31" fillId="53" borderId="0" applyNumberFormat="0" applyBorder="0" applyAlignment="0" applyProtection="0"/>
    <xf numFmtId="0" fontId="31" fillId="54" borderId="0" applyNumberFormat="0" applyBorder="0" applyAlignment="0" applyProtection="0"/>
    <xf numFmtId="0" fontId="31" fillId="55" borderId="0" applyNumberFormat="0" applyBorder="0" applyAlignment="0" applyProtection="0"/>
    <xf numFmtId="0" fontId="32" fillId="0" borderId="34" applyNumberFormat="0" applyFill="0" applyAlignment="0" applyProtection="0"/>
    <xf numFmtId="0" fontId="31" fillId="0" borderId="35" applyNumberFormat="0" applyFill="0" applyAlignment="0" applyProtection="0"/>
    <xf numFmtId="0" fontId="32" fillId="0" borderId="34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15" borderId="0" applyNumberFormat="0" applyBorder="0" applyAlignment="0" applyProtection="0"/>
    <xf numFmtId="0" fontId="22" fillId="34" borderId="0" applyNumberFormat="0" applyBorder="0" applyAlignment="0" applyProtection="0"/>
    <xf numFmtId="0" fontId="34" fillId="15" borderId="0" applyNumberFormat="0" applyBorder="0" applyAlignment="0" applyProtection="0"/>
    <xf numFmtId="43" fontId="4" fillId="0" borderId="0" applyFont="0" applyFill="0" applyBorder="0" applyAlignment="0" applyProtection="0"/>
    <xf numFmtId="4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4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7" fillId="56" borderId="0" applyNumberFormat="0" applyBorder="0" applyAlignment="0" applyProtection="0"/>
    <xf numFmtId="0" fontId="38" fillId="40" borderId="0" applyNumberFormat="0" applyBorder="0" applyAlignment="0" applyProtection="0"/>
    <xf numFmtId="0" fontId="37" fillId="56" borderId="0" applyNumberFormat="0" applyBorder="0" applyAlignment="0" applyProtection="0"/>
    <xf numFmtId="0" fontId="9" fillId="0" borderId="0"/>
    <xf numFmtId="0" fontId="4" fillId="57" borderId="36" applyNumberFormat="0" applyFont="0" applyAlignment="0" applyProtection="0"/>
    <xf numFmtId="0" fontId="6" fillId="39" borderId="33" applyNumberFormat="0" applyFont="0" applyAlignment="0" applyProtection="0"/>
    <xf numFmtId="0" fontId="4" fillId="57" borderId="36" applyNumberFormat="0" applyFont="0" applyAlignment="0" applyProtection="0"/>
    <xf numFmtId="4" fontId="6" fillId="56" borderId="33" applyNumberFormat="0" applyProtection="0">
      <alignment vertical="center"/>
    </xf>
    <xf numFmtId="4" fontId="39" fillId="10" borderId="33" applyNumberFormat="0" applyProtection="0">
      <alignment vertical="center"/>
    </xf>
    <xf numFmtId="4" fontId="6" fillId="10" borderId="33" applyNumberFormat="0" applyProtection="0">
      <alignment horizontal="left" vertical="center" indent="1"/>
    </xf>
    <xf numFmtId="0" fontId="40" fillId="56" borderId="37" applyNumberFormat="0" applyProtection="0">
      <alignment horizontal="left" vertical="top" indent="1"/>
    </xf>
    <xf numFmtId="4" fontId="6" fillId="25" borderId="33" applyNumberFormat="0" applyProtection="0">
      <alignment horizontal="left" vertical="center" indent="1"/>
    </xf>
    <xf numFmtId="4" fontId="6" fillId="14" borderId="33" applyNumberFormat="0" applyProtection="0">
      <alignment horizontal="right" vertical="center"/>
    </xf>
    <xf numFmtId="4" fontId="6" fillId="58" borderId="33" applyNumberFormat="0" applyProtection="0">
      <alignment horizontal="right" vertical="center"/>
    </xf>
    <xf numFmtId="4" fontId="6" fillId="44" borderId="38" applyNumberFormat="0" applyProtection="0">
      <alignment horizontal="right" vertical="center"/>
    </xf>
    <xf numFmtId="4" fontId="6" fillId="22" borderId="33" applyNumberFormat="0" applyProtection="0">
      <alignment horizontal="right" vertical="center"/>
    </xf>
    <xf numFmtId="4" fontId="6" fillId="26" borderId="33" applyNumberFormat="0" applyProtection="0">
      <alignment horizontal="right" vertical="center"/>
    </xf>
    <xf numFmtId="4" fontId="6" fillId="49" borderId="33" applyNumberFormat="0" applyProtection="0">
      <alignment horizontal="right" vertical="center"/>
    </xf>
    <xf numFmtId="4" fontId="6" fillId="46" borderId="33" applyNumberFormat="0" applyProtection="0">
      <alignment horizontal="right" vertical="center"/>
    </xf>
    <xf numFmtId="4" fontId="6" fillId="59" borderId="33" applyNumberFormat="0" applyProtection="0">
      <alignment horizontal="right" vertical="center"/>
    </xf>
    <xf numFmtId="4" fontId="6" fillId="21" borderId="33" applyNumberFormat="0" applyProtection="0">
      <alignment horizontal="right" vertical="center"/>
    </xf>
    <xf numFmtId="4" fontId="6" fillId="60" borderId="38" applyNumberFormat="0" applyProtection="0">
      <alignment horizontal="left" vertical="center" indent="1"/>
    </xf>
    <xf numFmtId="4" fontId="4" fillId="61" borderId="38" applyNumberFormat="0" applyProtection="0">
      <alignment horizontal="left" vertical="center" indent="1"/>
    </xf>
    <xf numFmtId="4" fontId="4" fillId="61" borderId="38" applyNumberFormat="0" applyProtection="0">
      <alignment horizontal="left" vertical="center" indent="1"/>
    </xf>
    <xf numFmtId="4" fontId="6" fillId="62" borderId="33" applyNumberFormat="0" applyProtection="0">
      <alignment horizontal="right" vertical="center"/>
    </xf>
    <xf numFmtId="4" fontId="6" fillId="63" borderId="38" applyNumberFormat="0" applyProtection="0">
      <alignment horizontal="left" vertical="center" indent="1"/>
    </xf>
    <xf numFmtId="4" fontId="6" fillId="62" borderId="38" applyNumberFormat="0" applyProtection="0">
      <alignment horizontal="left" vertical="center" indent="1"/>
    </xf>
    <xf numFmtId="0" fontId="6" fillId="51" borderId="33" applyNumberFormat="0" applyProtection="0">
      <alignment horizontal="left" vertical="center" indent="1"/>
    </xf>
    <xf numFmtId="0" fontId="6" fillId="61" borderId="37" applyNumberFormat="0" applyProtection="0">
      <alignment horizontal="left" vertical="top" indent="1"/>
    </xf>
    <xf numFmtId="0" fontId="6" fillId="64" borderId="33" applyNumberFormat="0" applyProtection="0">
      <alignment horizontal="left" vertical="center" indent="1"/>
    </xf>
    <xf numFmtId="0" fontId="6" fillId="62" borderId="37" applyNumberFormat="0" applyProtection="0">
      <alignment horizontal="left" vertical="top" indent="1"/>
    </xf>
    <xf numFmtId="0" fontId="6" fillId="19" borderId="33" applyNumberFormat="0" applyProtection="0">
      <alignment horizontal="left" vertical="center" indent="1"/>
    </xf>
    <xf numFmtId="0" fontId="6" fillId="19" borderId="37" applyNumberFormat="0" applyProtection="0">
      <alignment horizontal="left" vertical="top" indent="1"/>
    </xf>
    <xf numFmtId="0" fontId="6" fillId="63" borderId="33" applyNumberFormat="0" applyProtection="0">
      <alignment horizontal="left" vertical="center" indent="1"/>
    </xf>
    <xf numFmtId="0" fontId="6" fillId="63" borderId="37" applyNumberFormat="0" applyProtection="0">
      <alignment horizontal="left" vertical="top" indent="1"/>
    </xf>
    <xf numFmtId="0" fontId="6" fillId="65" borderId="39" applyNumberFormat="0">
      <protection locked="0"/>
    </xf>
    <xf numFmtId="0" fontId="41" fillId="61" borderId="40" applyBorder="0"/>
    <xf numFmtId="4" fontId="42" fillId="57" borderId="37" applyNumberFormat="0" applyProtection="0">
      <alignment vertical="center"/>
    </xf>
    <xf numFmtId="4" fontId="39" fillId="66" borderId="41" applyNumberFormat="0" applyProtection="0">
      <alignment vertical="center"/>
    </xf>
    <xf numFmtId="4" fontId="42" fillId="51" borderId="37" applyNumberFormat="0" applyProtection="0">
      <alignment horizontal="left" vertical="center" indent="1"/>
    </xf>
    <xf numFmtId="0" fontId="42" fillId="57" borderId="37" applyNumberFormat="0" applyProtection="0">
      <alignment horizontal="left" vertical="top" indent="1"/>
    </xf>
    <xf numFmtId="4" fontId="6" fillId="0" borderId="33" applyNumberFormat="0" applyProtection="0">
      <alignment horizontal="right" vertical="center"/>
    </xf>
    <xf numFmtId="4" fontId="39" fillId="67" borderId="33" applyNumberFormat="0" applyProtection="0">
      <alignment horizontal="right" vertical="center"/>
    </xf>
    <xf numFmtId="4" fontId="6" fillId="25" borderId="33" applyNumberFormat="0" applyProtection="0">
      <alignment horizontal="left" vertical="center" indent="1"/>
    </xf>
    <xf numFmtId="0" fontId="42" fillId="62" borderId="37" applyNumberFormat="0" applyProtection="0">
      <alignment horizontal="left" vertical="top" indent="1"/>
    </xf>
    <xf numFmtId="4" fontId="43" fillId="68" borderId="38" applyNumberFormat="0" applyProtection="0">
      <alignment horizontal="left" vertical="center" indent="1"/>
    </xf>
    <xf numFmtId="0" fontId="6" fillId="69" borderId="41"/>
    <xf numFmtId="4" fontId="44" fillId="65" borderId="33" applyNumberFormat="0" applyProtection="0">
      <alignment horizontal="right" vertical="center"/>
    </xf>
    <xf numFmtId="0" fontId="45" fillId="14" borderId="0" applyNumberFormat="0" applyBorder="0" applyAlignment="0" applyProtection="0"/>
    <xf numFmtId="0" fontId="46" fillId="39" borderId="0" applyNumberFormat="0" applyBorder="0" applyAlignment="0" applyProtection="0"/>
    <xf numFmtId="0" fontId="45" fillId="14" borderId="0" applyNumberFormat="0" applyBorder="0" applyAlignment="0" applyProtection="0"/>
    <xf numFmtId="0" fontId="47" fillId="0" borderId="0" applyNumberFormat="0" applyFill="0" applyBorder="0" applyAlignment="0" applyProtection="0"/>
    <xf numFmtId="168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/>
    <xf numFmtId="0" fontId="4" fillId="0" borderId="0"/>
    <xf numFmtId="0" fontId="49" fillId="0" borderId="0"/>
    <xf numFmtId="0" fontId="6" fillId="70" borderId="0"/>
    <xf numFmtId="164" fontId="4" fillId="0" borderId="0"/>
    <xf numFmtId="0" fontId="2" fillId="0" borderId="0"/>
    <xf numFmtId="0" fontId="4" fillId="0" borderId="0"/>
    <xf numFmtId="0" fontId="4" fillId="0" borderId="0"/>
    <xf numFmtId="173" fontId="12" fillId="0" borderId="42" applyBorder="0" applyAlignment="0">
      <alignment horizontal="center"/>
    </xf>
    <xf numFmtId="0" fontId="50" fillId="0" borderId="43" applyNumberFormat="0" applyFill="0" applyAlignment="0" applyProtection="0"/>
    <xf numFmtId="0" fontId="51" fillId="0" borderId="44" applyNumberFormat="0" applyFill="0" applyAlignment="0" applyProtection="0"/>
    <xf numFmtId="0" fontId="50" fillId="0" borderId="43" applyNumberFormat="0" applyFill="0" applyAlignment="0" applyProtection="0"/>
    <xf numFmtId="0" fontId="52" fillId="0" borderId="45" applyNumberFormat="0" applyFill="0" applyAlignment="0" applyProtection="0"/>
    <xf numFmtId="0" fontId="53" fillId="0" borderId="46" applyNumberFormat="0" applyFill="0" applyAlignment="0" applyProtection="0"/>
    <xf numFmtId="0" fontId="52" fillId="0" borderId="45" applyNumberFormat="0" applyFill="0" applyAlignment="0" applyProtection="0"/>
    <xf numFmtId="0" fontId="54" fillId="0" borderId="47" applyNumberFormat="0" applyFill="0" applyAlignment="0" applyProtection="0"/>
    <xf numFmtId="0" fontId="55" fillId="0" borderId="48" applyNumberFormat="0" applyFill="0" applyAlignment="0" applyProtection="0"/>
    <xf numFmtId="0" fontId="54" fillId="0" borderId="47" applyNumberFormat="0" applyFill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49" applyNumberFormat="0" applyFill="0" applyAlignment="0" applyProtection="0"/>
    <xf numFmtId="0" fontId="38" fillId="0" borderId="50" applyNumberFormat="0" applyFill="0" applyAlignment="0" applyProtection="0"/>
    <xf numFmtId="0" fontId="57" fillId="0" borderId="49" applyNumberFormat="0" applyFill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0" fillId="71" borderId="51" applyNumberFormat="0" applyAlignment="0" applyProtection="0"/>
    <xf numFmtId="0" fontId="61" fillId="48" borderId="51" applyNumberFormat="0" applyAlignment="0" applyProtection="0"/>
    <xf numFmtId="0" fontId="60" fillId="71" borderId="51" applyNumberFormat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25" fillId="51" borderId="31" applyNumberFormat="0" applyAlignment="0" applyProtection="0"/>
    <xf numFmtId="0" fontId="27" fillId="51" borderId="32" applyNumberFormat="0" applyAlignment="0" applyProtection="0"/>
    <xf numFmtId="0" fontId="29" fillId="18" borderId="32" applyNumberFormat="0" applyAlignment="0" applyProtection="0"/>
    <xf numFmtId="0" fontId="32" fillId="0" borderId="34" applyNumberFormat="0" applyFill="0" applyAlignment="0" applyProtection="0"/>
    <xf numFmtId="0" fontId="4" fillId="57" borderId="3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169" fontId="4" fillId="0" borderId="0" applyFont="0" applyFill="0" applyBorder="0" applyAlignment="0" applyProtection="0"/>
    <xf numFmtId="0" fontId="25" fillId="51" borderId="31" applyNumberFormat="0" applyAlignment="0" applyProtection="0"/>
    <xf numFmtId="0" fontId="27" fillId="51" borderId="32" applyNumberFormat="0" applyAlignment="0" applyProtection="0"/>
    <xf numFmtId="0" fontId="29" fillId="18" borderId="32" applyNumberFormat="0" applyAlignment="0" applyProtection="0"/>
    <xf numFmtId="0" fontId="32" fillId="0" borderId="34" applyNumberFormat="0" applyFill="0" applyAlignment="0" applyProtection="0"/>
    <xf numFmtId="169" fontId="4" fillId="0" borderId="0" applyFont="0" applyFill="0" applyBorder="0" applyAlignment="0" applyProtection="0"/>
    <xf numFmtId="0" fontId="4" fillId="57" borderId="36" applyNumberFormat="0" applyFont="0" applyAlignment="0" applyProtection="0"/>
    <xf numFmtId="0" fontId="49" fillId="0" borderId="0"/>
    <xf numFmtId="164" fontId="4" fillId="0" borderId="0"/>
    <xf numFmtId="0" fontId="25" fillId="51" borderId="31" applyNumberFormat="0" applyAlignment="0" applyProtection="0"/>
    <xf numFmtId="0" fontId="27" fillId="51" borderId="32" applyNumberFormat="0" applyAlignment="0" applyProtection="0"/>
    <xf numFmtId="0" fontId="29" fillId="18" borderId="32" applyNumberFormat="0" applyAlignment="0" applyProtection="0"/>
    <xf numFmtId="0" fontId="32" fillId="0" borderId="34" applyNumberFormat="0" applyFill="0" applyAlignment="0" applyProtection="0"/>
    <xf numFmtId="0" fontId="4" fillId="57" borderId="36" applyNumberFormat="0" applyFont="0" applyAlignment="0" applyProtection="0"/>
    <xf numFmtId="0" fontId="1" fillId="0" borderId="0"/>
    <xf numFmtId="164" fontId="4" fillId="0" borderId="0"/>
    <xf numFmtId="0" fontId="25" fillId="51" borderId="31" applyNumberFormat="0" applyAlignment="0" applyProtection="0"/>
    <xf numFmtId="0" fontId="25" fillId="51" borderId="31" applyNumberFormat="0" applyAlignment="0" applyProtection="0"/>
    <xf numFmtId="0" fontId="27" fillId="51" borderId="32" applyNumberFormat="0" applyAlignment="0" applyProtection="0"/>
    <xf numFmtId="0" fontId="27" fillId="51" borderId="32" applyNumberFormat="0" applyAlignment="0" applyProtection="0"/>
    <xf numFmtId="0" fontId="32" fillId="0" borderId="34" applyNumberFormat="0" applyFill="0" applyAlignment="0" applyProtection="0"/>
    <xf numFmtId="0" fontId="32" fillId="0" borderId="34" applyNumberFormat="0" applyFill="0" applyAlignment="0" applyProtection="0"/>
    <xf numFmtId="0" fontId="4" fillId="57" borderId="36" applyNumberFormat="0" applyFont="0" applyAlignment="0" applyProtection="0"/>
    <xf numFmtId="0" fontId="4" fillId="57" borderId="36" applyNumberFormat="0" applyFont="0" applyAlignment="0" applyProtection="0"/>
    <xf numFmtId="0" fontId="29" fillId="18" borderId="32" applyNumberFormat="0" applyAlignment="0" applyProtection="0"/>
    <xf numFmtId="0" fontId="29" fillId="18" borderId="32" applyNumberFormat="0" applyAlignment="0" applyProtection="0"/>
  </cellStyleXfs>
  <cellXfs count="687">
    <xf numFmtId="164" fontId="0" fillId="0" borderId="0" xfId="0"/>
    <xf numFmtId="164" fontId="4" fillId="0" borderId="0" xfId="0" applyFont="1" applyAlignment="1">
      <alignment horizontal="left" vertical="center"/>
    </xf>
    <xf numFmtId="164" fontId="4" fillId="0" borderId="0" xfId="0" applyFont="1" applyAlignment="1">
      <alignment horizontal="right" vertical="center"/>
    </xf>
    <xf numFmtId="164" fontId="4" fillId="0" borderId="1" xfId="0" applyFont="1" applyBorder="1" applyAlignment="1">
      <alignment horizontal="left" vertical="center"/>
    </xf>
    <xf numFmtId="164" fontId="5" fillId="0" borderId="2" xfId="0" applyFont="1" applyBorder="1" applyAlignment="1">
      <alignment horizontal="left" vertical="center"/>
    </xf>
    <xf numFmtId="164" fontId="4" fillId="0" borderId="2" xfId="0" applyFont="1" applyBorder="1" applyAlignment="1">
      <alignment horizontal="right" vertical="center"/>
    </xf>
    <xf numFmtId="164" fontId="4" fillId="0" borderId="3" xfId="0" applyFont="1" applyBorder="1" applyAlignment="1">
      <alignment vertical="center"/>
    </xf>
    <xf numFmtId="164" fontId="4" fillId="0" borderId="2" xfId="0" applyFont="1" applyBorder="1" applyAlignment="1">
      <alignment horizontal="left" vertical="center"/>
    </xf>
    <xf numFmtId="166" fontId="4" fillId="0" borderId="2" xfId="0" applyNumberFormat="1" applyFont="1" applyBorder="1" applyAlignment="1">
      <alignment vertical="center"/>
    </xf>
    <xf numFmtId="165" fontId="4" fillId="0" borderId="2" xfId="0" applyNumberFormat="1" applyFon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4" fontId="4" fillId="0" borderId="3" xfId="0" applyFont="1" applyBorder="1" applyAlignment="1">
      <alignment horizontal="left" vertical="center"/>
    </xf>
    <xf numFmtId="166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166" fontId="4" fillId="0" borderId="5" xfId="0" applyNumberFormat="1" applyFont="1" applyBorder="1" applyAlignment="1">
      <alignment vertical="center"/>
    </xf>
    <xf numFmtId="164" fontId="4" fillId="0" borderId="6" xfId="0" applyFont="1" applyBorder="1" applyAlignment="1">
      <alignment horizontal="left" vertical="center"/>
    </xf>
    <xf numFmtId="164" fontId="4" fillId="0" borderId="7" xfId="0" applyFont="1" applyBorder="1" applyAlignment="1">
      <alignment horizontal="left" vertical="center"/>
    </xf>
    <xf numFmtId="166" fontId="4" fillId="0" borderId="7" xfId="0" applyNumberFormat="1" applyFont="1" applyBorder="1" applyAlignment="1">
      <alignment vertical="center"/>
    </xf>
    <xf numFmtId="166" fontId="4" fillId="0" borderId="8" xfId="0" applyNumberFormat="1" applyFont="1" applyBorder="1" applyAlignment="1">
      <alignment vertical="center"/>
    </xf>
    <xf numFmtId="164" fontId="5" fillId="0" borderId="9" xfId="0" applyFont="1" applyBorder="1" applyAlignment="1">
      <alignment horizontal="left" vertical="center"/>
    </xf>
    <xf numFmtId="164" fontId="5" fillId="0" borderId="10" xfId="0" applyFont="1" applyBorder="1" applyAlignment="1">
      <alignment horizontal="left" vertical="center"/>
    </xf>
    <xf numFmtId="166" fontId="5" fillId="0" borderId="10" xfId="0" applyNumberFormat="1" applyFont="1" applyBorder="1" applyAlignment="1">
      <alignment vertical="center"/>
    </xf>
    <xf numFmtId="165" fontId="4" fillId="0" borderId="10" xfId="0" applyNumberFormat="1" applyFont="1" applyBorder="1" applyAlignment="1">
      <alignment vertical="center"/>
    </xf>
    <xf numFmtId="166" fontId="5" fillId="0" borderId="11" xfId="0" applyNumberFormat="1" applyFont="1" applyBorder="1" applyAlignment="1">
      <alignment vertical="center"/>
    </xf>
    <xf numFmtId="164" fontId="4" fillId="0" borderId="1" xfId="0" applyFont="1" applyBorder="1" applyAlignment="1">
      <alignment vertical="center"/>
    </xf>
    <xf numFmtId="164" fontId="4" fillId="0" borderId="2" xfId="0" applyFont="1" applyBorder="1" applyAlignment="1">
      <alignment vertical="center"/>
    </xf>
    <xf numFmtId="164" fontId="4" fillId="0" borderId="0" xfId="0" applyFont="1" applyAlignment="1">
      <alignment vertical="center"/>
    </xf>
    <xf numFmtId="164" fontId="4" fillId="0" borderId="6" xfId="0" applyFont="1" applyBorder="1" applyAlignment="1">
      <alignment vertical="center"/>
    </xf>
    <xf numFmtId="164" fontId="4" fillId="0" borderId="7" xfId="0" applyFont="1" applyBorder="1" applyAlignment="1">
      <alignment vertical="center"/>
    </xf>
    <xf numFmtId="164" fontId="5" fillId="2" borderId="0" xfId="0" applyFont="1" applyFill="1" applyAlignment="1">
      <alignment vertical="center"/>
    </xf>
    <xf numFmtId="166" fontId="5" fillId="2" borderId="0" xfId="0" applyNumberFormat="1" applyFont="1" applyFill="1" applyAlignment="1">
      <alignment vertical="center"/>
    </xf>
    <xf numFmtId="166" fontId="5" fillId="2" borderId="5" xfId="0" applyNumberFormat="1" applyFont="1" applyFill="1" applyBorder="1" applyAlignment="1">
      <alignment vertical="center"/>
    </xf>
    <xf numFmtId="164" fontId="5" fillId="2" borderId="6" xfId="0" applyFont="1" applyFill="1" applyBorder="1" applyAlignment="1">
      <alignment vertical="center"/>
    </xf>
    <xf numFmtId="164" fontId="5" fillId="2" borderId="7" xfId="0" applyFont="1" applyFill="1" applyBorder="1" applyAlignment="1">
      <alignment vertical="center"/>
    </xf>
    <xf numFmtId="166" fontId="5" fillId="2" borderId="7" xfId="0" applyNumberFormat="1" applyFont="1" applyFill="1" applyBorder="1" applyAlignment="1">
      <alignment vertical="center"/>
    </xf>
    <xf numFmtId="165" fontId="5" fillId="2" borderId="7" xfId="0" applyNumberFormat="1" applyFont="1" applyFill="1" applyBorder="1" applyAlignment="1">
      <alignment vertical="center"/>
    </xf>
    <xf numFmtId="166" fontId="5" fillId="2" borderId="8" xfId="0" applyNumberFormat="1" applyFont="1" applyFill="1" applyBorder="1" applyAlignment="1">
      <alignment vertical="center"/>
    </xf>
    <xf numFmtId="165" fontId="4" fillId="0" borderId="0" xfId="0" applyNumberFormat="1" applyFont="1" applyAlignment="1">
      <alignment horizontal="right" vertical="center"/>
    </xf>
    <xf numFmtId="164" fontId="5" fillId="2" borderId="3" xfId="0" quotePrefix="1" applyFont="1" applyFill="1" applyBorder="1" applyAlignment="1">
      <alignment vertical="center"/>
    </xf>
    <xf numFmtId="164" fontId="5" fillId="0" borderId="9" xfId="0" applyFont="1" applyBorder="1" applyAlignment="1">
      <alignment vertical="center"/>
    </xf>
    <xf numFmtId="164" fontId="5" fillId="0" borderId="10" xfId="0" applyFont="1" applyBorder="1" applyAlignment="1">
      <alignment vertical="center"/>
    </xf>
    <xf numFmtId="165" fontId="5" fillId="0" borderId="2" xfId="0" applyNumberFormat="1" applyFont="1" applyBorder="1" applyAlignment="1">
      <alignment vertical="center"/>
    </xf>
    <xf numFmtId="165" fontId="5" fillId="0" borderId="10" xfId="0" applyNumberFormat="1" applyFont="1" applyBorder="1" applyAlignment="1">
      <alignment vertical="center"/>
    </xf>
    <xf numFmtId="164" fontId="5" fillId="0" borderId="2" xfId="0" applyFont="1" applyBorder="1" applyAlignment="1">
      <alignment horizontal="right" vertical="center"/>
    </xf>
    <xf numFmtId="164" fontId="5" fillId="0" borderId="4" xfId="0" applyFont="1" applyBorder="1" applyAlignment="1">
      <alignment horizontal="right" vertical="center"/>
    </xf>
    <xf numFmtId="164" fontId="4" fillId="0" borderId="3" xfId="0" quotePrefix="1" applyFont="1" applyBorder="1" applyAlignment="1">
      <alignment vertical="center"/>
    </xf>
    <xf numFmtId="165" fontId="4" fillId="0" borderId="7" xfId="0" applyNumberFormat="1" applyFont="1" applyBorder="1" applyAlignment="1">
      <alignment horizontal="right" vertical="center"/>
    </xf>
    <xf numFmtId="164" fontId="8" fillId="0" borderId="0" xfId="0" applyFont="1" applyAlignment="1">
      <alignment horizontal="right" vertical="center"/>
    </xf>
    <xf numFmtId="164" fontId="8" fillId="0" borderId="5" xfId="0" applyFont="1" applyBorder="1" applyAlignment="1">
      <alignment horizontal="right" vertical="center"/>
    </xf>
    <xf numFmtId="164" fontId="0" fillId="0" borderId="0" xfId="0" applyAlignment="1">
      <alignment horizontal="right"/>
    </xf>
    <xf numFmtId="164" fontId="7" fillId="0" borderId="5" xfId="0" applyFont="1" applyBorder="1" applyAlignment="1">
      <alignment horizontal="right" vertical="center"/>
    </xf>
    <xf numFmtId="165" fontId="4" fillId="0" borderId="7" xfId="0" applyNumberFormat="1" applyFont="1" applyBorder="1" applyAlignment="1">
      <alignment vertical="center"/>
    </xf>
    <xf numFmtId="167" fontId="4" fillId="0" borderId="3" xfId="0" applyNumberFormat="1" applyFont="1" applyBorder="1" applyAlignment="1">
      <alignment vertical="center"/>
    </xf>
    <xf numFmtId="167" fontId="4" fillId="0" borderId="0" xfId="0" applyNumberFormat="1" applyFont="1" applyAlignment="1">
      <alignment horizontal="right" vertical="center"/>
    </xf>
    <xf numFmtId="167" fontId="7" fillId="0" borderId="0" xfId="0" applyNumberFormat="1" applyFont="1" applyAlignment="1">
      <alignment horizontal="right" vertical="center"/>
    </xf>
    <xf numFmtId="167" fontId="4" fillId="0" borderId="0" xfId="0" applyNumberFormat="1" applyFont="1" applyAlignment="1">
      <alignment vertical="center"/>
    </xf>
    <xf numFmtId="167" fontId="5" fillId="2" borderId="10" xfId="0" applyNumberFormat="1" applyFont="1" applyFill="1" applyBorder="1" applyAlignment="1">
      <alignment horizontal="right" vertical="center"/>
    </xf>
    <xf numFmtId="167" fontId="5" fillId="2" borderId="0" xfId="0" applyNumberFormat="1" applyFont="1" applyFill="1" applyAlignment="1">
      <alignment vertical="center"/>
    </xf>
    <xf numFmtId="167" fontId="4" fillId="0" borderId="2" xfId="0" applyNumberFormat="1" applyFont="1" applyBorder="1" applyAlignment="1">
      <alignment vertical="center"/>
    </xf>
    <xf numFmtId="167" fontId="4" fillId="0" borderId="4" xfId="0" applyNumberFormat="1" applyFont="1" applyBorder="1" applyAlignment="1">
      <alignment vertical="center"/>
    </xf>
    <xf numFmtId="167" fontId="4" fillId="0" borderId="1" xfId="0" applyNumberFormat="1" applyFont="1" applyBorder="1" applyAlignment="1">
      <alignment vertical="center"/>
    </xf>
    <xf numFmtId="167" fontId="4" fillId="0" borderId="6" xfId="0" applyNumberFormat="1" applyFont="1" applyBorder="1" applyAlignment="1">
      <alignment vertical="center"/>
    </xf>
    <xf numFmtId="167" fontId="4" fillId="0" borderId="7" xfId="0" applyNumberFormat="1" applyFont="1" applyBorder="1" applyAlignment="1">
      <alignment vertical="center"/>
    </xf>
    <xf numFmtId="164" fontId="4" fillId="0" borderId="3" xfId="0" quotePrefix="1" applyFont="1" applyBorder="1" applyAlignment="1">
      <alignment horizontal="left" vertical="center"/>
    </xf>
    <xf numFmtId="167" fontId="4" fillId="0" borderId="7" xfId="0" applyNumberFormat="1" applyFont="1" applyBorder="1" applyAlignment="1">
      <alignment horizontal="right" vertical="center"/>
    </xf>
    <xf numFmtId="165" fontId="4" fillId="0" borderId="8" xfId="0" applyNumberFormat="1" applyFont="1" applyBorder="1" applyAlignment="1">
      <alignment horizontal="right" vertical="center"/>
    </xf>
    <xf numFmtId="165" fontId="4" fillId="0" borderId="2" xfId="0" applyNumberFormat="1" applyFont="1" applyBorder="1" applyAlignment="1">
      <alignment horizontal="right" vertical="center"/>
    </xf>
    <xf numFmtId="165" fontId="4" fillId="0" borderId="10" xfId="0" applyNumberFormat="1" applyFont="1" applyBorder="1" applyAlignment="1">
      <alignment horizontal="right" vertical="center"/>
    </xf>
    <xf numFmtId="165" fontId="5" fillId="0" borderId="10" xfId="0" applyNumberFormat="1" applyFont="1" applyBorder="1" applyAlignment="1">
      <alignment horizontal="right" vertical="center"/>
    </xf>
    <xf numFmtId="167" fontId="5" fillId="2" borderId="0" xfId="0" applyNumberFormat="1" applyFont="1" applyFill="1" applyAlignment="1">
      <alignment horizontal="right" vertical="center"/>
    </xf>
    <xf numFmtId="167" fontId="4" fillId="0" borderId="2" xfId="0" applyNumberFormat="1" applyFont="1" applyBorder="1" applyAlignment="1">
      <alignment horizontal="right" vertical="center"/>
    </xf>
    <xf numFmtId="165" fontId="5" fillId="2" borderId="7" xfId="0" applyNumberFormat="1" applyFont="1" applyFill="1" applyBorder="1" applyAlignment="1">
      <alignment horizontal="right" vertical="center"/>
    </xf>
    <xf numFmtId="0" fontId="11" fillId="3" borderId="1" xfId="1" applyFont="1" applyFill="1" applyBorder="1" applyAlignment="1">
      <alignment horizontal="centerContinuous"/>
    </xf>
    <xf numFmtId="0" fontId="11" fillId="3" borderId="2" xfId="1" applyFont="1" applyFill="1" applyBorder="1" applyAlignment="1">
      <alignment horizontal="left"/>
    </xf>
    <xf numFmtId="0" fontId="12" fillId="4" borderId="11" xfId="1" applyFont="1" applyFill="1" applyBorder="1" applyAlignment="1">
      <alignment horizontal="center" vertical="center"/>
    </xf>
    <xf numFmtId="0" fontId="12" fillId="3" borderId="11" xfId="1" applyFont="1" applyFill="1" applyBorder="1" applyAlignment="1">
      <alignment horizontal="centerContinuous" vertical="center"/>
    </xf>
    <xf numFmtId="0" fontId="12" fillId="0" borderId="0" xfId="1" applyFont="1" applyAlignment="1">
      <alignment vertical="center"/>
    </xf>
    <xf numFmtId="0" fontId="12" fillId="0" borderId="0" xfId="1" applyFont="1" applyAlignment="1">
      <alignment horizontal="centerContinuous" vertical="center"/>
    </xf>
    <xf numFmtId="0" fontId="12" fillId="3" borderId="6" xfId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right" vertical="center"/>
    </xf>
    <xf numFmtId="0" fontId="12" fillId="4" borderId="8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0" borderId="0" xfId="1" applyFont="1"/>
    <xf numFmtId="0" fontId="12" fillId="6" borderId="0" xfId="1" applyFont="1" applyFill="1" applyAlignment="1">
      <alignment horizontal="center"/>
    </xf>
    <xf numFmtId="1" fontId="13" fillId="5" borderId="23" xfId="1" applyNumberFormat="1" applyFont="1" applyFill="1" applyBorder="1"/>
    <xf numFmtId="1" fontId="13" fillId="5" borderId="13" xfId="1" applyNumberFormat="1" applyFont="1" applyFill="1" applyBorder="1"/>
    <xf numFmtId="0" fontId="13" fillId="5" borderId="13" xfId="1" applyFont="1" applyFill="1" applyBorder="1"/>
    <xf numFmtId="170" fontId="13" fillId="0" borderId="13" xfId="2" applyNumberFormat="1" applyFont="1" applyBorder="1" applyProtection="1">
      <protection locked="0"/>
    </xf>
    <xf numFmtId="170" fontId="13" fillId="0" borderId="16" xfId="2" applyNumberFormat="1" applyFont="1" applyBorder="1" applyProtection="1">
      <protection locked="0"/>
    </xf>
    <xf numFmtId="0" fontId="13" fillId="0" borderId="0" xfId="1" applyFont="1" applyProtection="1">
      <protection locked="0"/>
    </xf>
    <xf numFmtId="1" fontId="13" fillId="5" borderId="24" xfId="1" applyNumberFormat="1" applyFont="1" applyFill="1" applyBorder="1"/>
    <xf numFmtId="1" fontId="13" fillId="5" borderId="12" xfId="1" applyNumberFormat="1" applyFont="1" applyFill="1" applyBorder="1"/>
    <xf numFmtId="0" fontId="13" fillId="5" borderId="12" xfId="1" applyFont="1" applyFill="1" applyBorder="1"/>
    <xf numFmtId="170" fontId="13" fillId="0" borderId="12" xfId="2" applyNumberFormat="1" applyFont="1" applyFill="1" applyBorder="1" applyProtection="1">
      <protection locked="0"/>
    </xf>
    <xf numFmtId="170" fontId="13" fillId="0" borderId="14" xfId="2" applyNumberFormat="1" applyFont="1" applyBorder="1" applyProtection="1">
      <protection locked="0"/>
    </xf>
    <xf numFmtId="1" fontId="14" fillId="5" borderId="24" xfId="1" applyNumberFormat="1" applyFont="1" applyFill="1" applyBorder="1" applyAlignment="1">
      <alignment horizontal="right" vertical="center"/>
    </xf>
    <xf numFmtId="1" fontId="14" fillId="5" borderId="12" xfId="1" applyNumberFormat="1" applyFont="1" applyFill="1" applyBorder="1"/>
    <xf numFmtId="0" fontId="14" fillId="5" borderId="12" xfId="1" applyFont="1" applyFill="1" applyBorder="1"/>
    <xf numFmtId="170" fontId="14" fillId="0" borderId="12" xfId="2" applyNumberFormat="1" applyFont="1" applyFill="1" applyBorder="1" applyProtection="1">
      <protection locked="0"/>
    </xf>
    <xf numFmtId="1" fontId="13" fillId="5" borderId="24" xfId="1" applyNumberFormat="1" applyFont="1" applyFill="1" applyBorder="1" applyAlignment="1">
      <alignment horizontal="right"/>
    </xf>
    <xf numFmtId="1" fontId="13" fillId="5" borderId="24" xfId="1" applyNumberFormat="1" applyFont="1" applyFill="1" applyBorder="1" applyAlignment="1">
      <alignment horizontal="right" vertical="top" wrapText="1"/>
    </xf>
    <xf numFmtId="1" fontId="13" fillId="5" borderId="12" xfId="1" applyNumberFormat="1" applyFont="1" applyFill="1" applyBorder="1" applyAlignment="1">
      <alignment horizontal="right" vertical="top" wrapText="1"/>
    </xf>
    <xf numFmtId="0" fontId="13" fillId="5" borderId="12" xfId="1" applyFont="1" applyFill="1" applyBorder="1" applyAlignment="1">
      <alignment vertical="top" wrapText="1"/>
    </xf>
    <xf numFmtId="170" fontId="13" fillId="0" borderId="12" xfId="2" applyNumberFormat="1" applyFont="1" applyFill="1" applyBorder="1" applyAlignment="1" applyProtection="1">
      <alignment horizontal="right" vertical="top" wrapText="1"/>
      <protection locked="0"/>
    </xf>
    <xf numFmtId="0" fontId="14" fillId="0" borderId="0" xfId="1" applyFont="1" applyProtection="1">
      <protection locked="0"/>
    </xf>
    <xf numFmtId="1" fontId="14" fillId="5" borderId="24" xfId="1" applyNumberFormat="1" applyFont="1" applyFill="1" applyBorder="1" applyAlignment="1">
      <alignment horizontal="right" vertical="top" wrapText="1"/>
    </xf>
    <xf numFmtId="0" fontId="14" fillId="5" borderId="12" xfId="1" applyFont="1" applyFill="1" applyBorder="1" applyAlignment="1">
      <alignment vertical="top" wrapText="1"/>
    </xf>
    <xf numFmtId="1" fontId="14" fillId="5" borderId="12" xfId="1" applyNumberFormat="1" applyFont="1" applyFill="1" applyBorder="1" applyAlignment="1">
      <alignment horizontal="right" vertical="top" wrapText="1"/>
    </xf>
    <xf numFmtId="170" fontId="14" fillId="0" borderId="12" xfId="2" applyNumberFormat="1" applyFont="1" applyFill="1" applyBorder="1" applyAlignment="1" applyProtection="1">
      <alignment horizontal="right" vertical="top" wrapText="1"/>
      <protection locked="0"/>
    </xf>
    <xf numFmtId="0" fontId="14" fillId="0" borderId="0" xfId="1" applyFont="1" applyAlignment="1" applyProtection="1">
      <alignment vertical="top" wrapText="1"/>
      <protection locked="0"/>
    </xf>
    <xf numFmtId="170" fontId="13" fillId="0" borderId="12" xfId="2" applyNumberFormat="1" applyFont="1" applyFill="1" applyBorder="1" applyAlignment="1" applyProtection="1">
      <alignment vertical="center"/>
      <protection locked="0"/>
    </xf>
    <xf numFmtId="0" fontId="12" fillId="0" borderId="0" xfId="1" applyFont="1" applyAlignment="1" applyProtection="1">
      <alignment vertical="center"/>
      <protection locked="0"/>
    </xf>
    <xf numFmtId="1" fontId="14" fillId="5" borderId="24" xfId="1" applyNumberFormat="1" applyFont="1" applyFill="1" applyBorder="1" applyAlignment="1">
      <alignment horizontal="right"/>
    </xf>
    <xf numFmtId="170" fontId="14" fillId="0" borderId="12" xfId="2" applyNumberFormat="1" applyFont="1" applyFill="1" applyBorder="1" applyAlignment="1" applyProtection="1">
      <alignment vertical="center"/>
      <protection locked="0"/>
    </xf>
    <xf numFmtId="1" fontId="13" fillId="5" borderId="25" xfId="1" applyNumberFormat="1" applyFont="1" applyFill="1" applyBorder="1"/>
    <xf numFmtId="1" fontId="13" fillId="5" borderId="17" xfId="1" applyNumberFormat="1" applyFont="1" applyFill="1" applyBorder="1"/>
    <xf numFmtId="0" fontId="13" fillId="5" borderId="17" xfId="1" applyFont="1" applyFill="1" applyBorder="1"/>
    <xf numFmtId="170" fontId="13" fillId="0" borderId="17" xfId="2" applyNumberFormat="1" applyFont="1" applyFill="1" applyBorder="1" applyProtection="1">
      <protection locked="0"/>
    </xf>
    <xf numFmtId="170" fontId="13" fillId="0" borderId="19" xfId="2" applyNumberFormat="1" applyFont="1" applyBorder="1" applyProtection="1">
      <protection locked="0"/>
    </xf>
    <xf numFmtId="1" fontId="12" fillId="5" borderId="10" xfId="1" applyNumberFormat="1" applyFont="1" applyFill="1" applyBorder="1"/>
    <xf numFmtId="0" fontId="12" fillId="5" borderId="10" xfId="1" applyFont="1" applyFill="1" applyBorder="1"/>
    <xf numFmtId="170" fontId="12" fillId="5" borderId="10" xfId="2" applyNumberFormat="1" applyFont="1" applyFill="1" applyBorder="1" applyProtection="1"/>
    <xf numFmtId="170" fontId="13" fillId="0" borderId="14" xfId="2" applyNumberFormat="1" applyFont="1" applyFill="1" applyBorder="1" applyProtection="1">
      <protection locked="0"/>
    </xf>
    <xf numFmtId="0" fontId="12" fillId="0" borderId="0" xfId="1" applyFont="1" applyProtection="1">
      <protection locked="0"/>
    </xf>
    <xf numFmtId="1" fontId="13" fillId="5" borderId="24" xfId="1" applyNumberFormat="1" applyFont="1" applyFill="1" applyBorder="1" applyAlignment="1">
      <alignment vertical="center"/>
    </xf>
    <xf numFmtId="1" fontId="13" fillId="5" borderId="12" xfId="1" applyNumberFormat="1" applyFont="1" applyFill="1" applyBorder="1" applyAlignment="1">
      <alignment vertical="center"/>
    </xf>
    <xf numFmtId="170" fontId="13" fillId="0" borderId="14" xfId="2" applyNumberFormat="1" applyFont="1" applyFill="1" applyBorder="1" applyAlignment="1" applyProtection="1">
      <alignment vertical="center"/>
      <protection locked="0"/>
    </xf>
    <xf numFmtId="0" fontId="13" fillId="0" borderId="0" xfId="1" applyFont="1" applyAlignment="1" applyProtection="1">
      <alignment vertical="center"/>
      <protection locked="0"/>
    </xf>
    <xf numFmtId="170" fontId="13" fillId="0" borderId="12" xfId="2" applyNumberFormat="1" applyFont="1" applyBorder="1" applyProtection="1">
      <protection locked="0"/>
    </xf>
    <xf numFmtId="170" fontId="13" fillId="0" borderId="12" xfId="2" applyNumberFormat="1" applyFont="1" applyFill="1" applyBorder="1" applyAlignment="1" applyProtection="1">
      <alignment vertical="top" wrapText="1"/>
      <protection locked="0"/>
    </xf>
    <xf numFmtId="170" fontId="14" fillId="0" borderId="14" xfId="2" applyNumberFormat="1" applyFont="1" applyFill="1" applyBorder="1" applyProtection="1">
      <protection locked="0"/>
    </xf>
    <xf numFmtId="170" fontId="13" fillId="0" borderId="19" xfId="2" applyNumberFormat="1" applyFont="1" applyFill="1" applyBorder="1" applyProtection="1">
      <protection locked="0"/>
    </xf>
    <xf numFmtId="1" fontId="13" fillId="5" borderId="10" xfId="1" applyNumberFormat="1" applyFont="1" applyFill="1" applyBorder="1"/>
    <xf numFmtId="0" fontId="12" fillId="0" borderId="0" xfId="1" applyFont="1"/>
    <xf numFmtId="0" fontId="14" fillId="5" borderId="25" xfId="1" applyFont="1" applyFill="1" applyBorder="1" applyAlignment="1">
      <alignment horizontal="right"/>
    </xf>
    <xf numFmtId="0" fontId="14" fillId="5" borderId="17" xfId="1" applyFont="1" applyFill="1" applyBorder="1"/>
    <xf numFmtId="170" fontId="14" fillId="0" borderId="17" xfId="2" applyNumberFormat="1" applyFont="1" applyFill="1" applyBorder="1" applyProtection="1">
      <protection locked="0"/>
    </xf>
    <xf numFmtId="170" fontId="14" fillId="0" borderId="19" xfId="2" applyNumberFormat="1" applyFont="1" applyFill="1" applyBorder="1" applyProtection="1">
      <protection locked="0"/>
    </xf>
    <xf numFmtId="1" fontId="13" fillId="5" borderId="26" xfId="1" applyNumberFormat="1" applyFont="1" applyFill="1" applyBorder="1" applyAlignment="1">
      <alignment vertical="center"/>
    </xf>
    <xf numFmtId="1" fontId="13" fillId="5" borderId="15" xfId="1" applyNumberFormat="1" applyFont="1" applyFill="1" applyBorder="1" applyAlignment="1">
      <alignment vertical="center"/>
    </xf>
    <xf numFmtId="0" fontId="13" fillId="5" borderId="15" xfId="1" applyFont="1" applyFill="1" applyBorder="1"/>
    <xf numFmtId="170" fontId="13" fillId="0" borderId="12" xfId="2" applyNumberFormat="1" applyFont="1" applyFill="1" applyBorder="1" applyAlignment="1" applyProtection="1">
      <alignment vertical="top"/>
      <protection locked="0"/>
    </xf>
    <xf numFmtId="170" fontId="13" fillId="0" borderId="14" xfId="2" applyNumberFormat="1" applyFont="1" applyFill="1" applyBorder="1" applyAlignment="1" applyProtection="1">
      <alignment vertical="top"/>
      <protection locked="0"/>
    </xf>
    <xf numFmtId="170" fontId="13" fillId="0" borderId="12" xfId="2" applyNumberFormat="1" applyFont="1" applyFill="1" applyBorder="1" applyAlignment="1" applyProtection="1">
      <alignment horizontal="right" vertical="top"/>
      <protection locked="0"/>
    </xf>
    <xf numFmtId="170" fontId="13" fillId="0" borderId="14" xfId="2" applyNumberFormat="1" applyFont="1" applyFill="1" applyBorder="1" applyAlignment="1" applyProtection="1">
      <alignment horizontal="right" vertical="top"/>
      <protection locked="0"/>
    </xf>
    <xf numFmtId="1" fontId="13" fillId="5" borderId="24" xfId="1" applyNumberFormat="1" applyFont="1" applyFill="1" applyBorder="1" applyAlignment="1">
      <alignment horizontal="right" vertical="center" wrapText="1"/>
    </xf>
    <xf numFmtId="1" fontId="13" fillId="5" borderId="12" xfId="1" applyNumberFormat="1" applyFont="1" applyFill="1" applyBorder="1" applyAlignment="1">
      <alignment horizontal="right" vertical="center" wrapText="1"/>
    </xf>
    <xf numFmtId="0" fontId="13" fillId="5" borderId="12" xfId="1" applyFont="1" applyFill="1" applyBorder="1" applyAlignment="1">
      <alignment vertical="center" wrapText="1"/>
    </xf>
    <xf numFmtId="1" fontId="13" fillId="5" borderId="12" xfId="1" applyNumberFormat="1" applyFont="1" applyFill="1" applyBorder="1" applyAlignment="1">
      <alignment horizontal="right"/>
    </xf>
    <xf numFmtId="1" fontId="13" fillId="5" borderId="24" xfId="1" applyNumberFormat="1" applyFont="1" applyFill="1" applyBorder="1" applyAlignment="1">
      <alignment horizontal="right" vertical="top"/>
    </xf>
    <xf numFmtId="1" fontId="13" fillId="5" borderId="12" xfId="1" applyNumberFormat="1" applyFont="1" applyFill="1" applyBorder="1" applyAlignment="1">
      <alignment vertical="top"/>
    </xf>
    <xf numFmtId="0" fontId="13" fillId="0" borderId="0" xfId="1" applyFont="1" applyAlignment="1" applyProtection="1">
      <alignment vertical="top"/>
      <protection locked="0"/>
    </xf>
    <xf numFmtId="1" fontId="13" fillId="5" borderId="24" xfId="1" applyNumberFormat="1" applyFont="1" applyFill="1" applyBorder="1" applyAlignment="1">
      <alignment vertical="top"/>
    </xf>
    <xf numFmtId="1" fontId="14" fillId="5" borderId="17" xfId="1" applyNumberFormat="1" applyFont="1" applyFill="1" applyBorder="1"/>
    <xf numFmtId="1" fontId="14" fillId="5" borderId="25" xfId="1" applyNumberFormat="1" applyFont="1" applyFill="1" applyBorder="1" applyAlignment="1">
      <alignment horizontal="right"/>
    </xf>
    <xf numFmtId="0" fontId="13" fillId="5" borderId="10" xfId="1" applyFont="1" applyFill="1" applyBorder="1"/>
    <xf numFmtId="0" fontId="13" fillId="5" borderId="0" xfId="1" applyFont="1" applyFill="1"/>
    <xf numFmtId="0" fontId="12" fillId="5" borderId="0" xfId="1" applyFont="1" applyFill="1"/>
    <xf numFmtId="170" fontId="12" fillId="5" borderId="0" xfId="2" applyNumberFormat="1" applyFont="1" applyFill="1" applyBorder="1" applyProtection="1"/>
    <xf numFmtId="170" fontId="12" fillId="0" borderId="0" xfId="2" applyNumberFormat="1" applyFont="1" applyFill="1" applyBorder="1" applyProtection="1"/>
    <xf numFmtId="170" fontId="13" fillId="0" borderId="7" xfId="2" applyNumberFormat="1" applyFont="1" applyFill="1" applyBorder="1" applyProtection="1"/>
    <xf numFmtId="170" fontId="13" fillId="0" borderId="7" xfId="2" applyNumberFormat="1" applyFont="1" applyBorder="1" applyProtection="1"/>
    <xf numFmtId="0" fontId="13" fillId="7" borderId="24" xfId="1" applyFont="1" applyFill="1" applyBorder="1" applyAlignment="1">
      <alignment horizontal="right"/>
    </xf>
    <xf numFmtId="0" fontId="13" fillId="7" borderId="12" xfId="1" applyFont="1" applyFill="1" applyBorder="1"/>
    <xf numFmtId="0" fontId="14" fillId="7" borderId="24" xfId="1" applyFont="1" applyFill="1" applyBorder="1" applyAlignment="1">
      <alignment horizontal="right"/>
    </xf>
    <xf numFmtId="0" fontId="14" fillId="7" borderId="12" xfId="1" applyFont="1" applyFill="1" applyBorder="1"/>
    <xf numFmtId="0" fontId="13" fillId="7" borderId="25" xfId="1" applyFont="1" applyFill="1" applyBorder="1" applyAlignment="1">
      <alignment horizontal="right"/>
    </xf>
    <xf numFmtId="0" fontId="13" fillId="7" borderId="17" xfId="1" applyFont="1" applyFill="1" applyBorder="1"/>
    <xf numFmtId="0" fontId="12" fillId="7" borderId="10" xfId="1" applyFont="1" applyFill="1" applyBorder="1" applyAlignment="1">
      <alignment horizontal="right"/>
    </xf>
    <xf numFmtId="0" fontId="12" fillId="7" borderId="10" xfId="1" applyFont="1" applyFill="1" applyBorder="1"/>
    <xf numFmtId="170" fontId="12" fillId="7" borderId="10" xfId="2" applyNumberFormat="1" applyFont="1" applyFill="1" applyBorder="1" applyProtection="1"/>
    <xf numFmtId="0" fontId="13" fillId="7" borderId="24" xfId="1" applyFont="1" applyFill="1" applyBorder="1" applyAlignment="1">
      <alignment horizontal="right" vertical="top" wrapText="1"/>
    </xf>
    <xf numFmtId="0" fontId="13" fillId="7" borderId="12" xfId="1" applyFont="1" applyFill="1" applyBorder="1" applyAlignment="1">
      <alignment vertical="top" wrapText="1"/>
    </xf>
    <xf numFmtId="0" fontId="13" fillId="7" borderId="25" xfId="1" applyFont="1" applyFill="1" applyBorder="1" applyAlignment="1">
      <alignment horizontal="right" vertical="top"/>
    </xf>
    <xf numFmtId="0" fontId="13" fillId="7" borderId="17" xfId="1" applyFont="1" applyFill="1" applyBorder="1" applyAlignment="1">
      <alignment vertical="top" wrapText="1"/>
    </xf>
    <xf numFmtId="170" fontId="13" fillId="0" borderId="17" xfId="2" applyNumberFormat="1" applyFont="1" applyBorder="1" applyProtection="1">
      <protection locked="0"/>
    </xf>
    <xf numFmtId="0" fontId="13" fillId="7" borderId="10" xfId="1" applyFont="1" applyFill="1" applyBorder="1"/>
    <xf numFmtId="0" fontId="13" fillId="7" borderId="0" xfId="1" applyFont="1" applyFill="1"/>
    <xf numFmtId="0" fontId="12" fillId="7" borderId="0" xfId="1" applyFont="1" applyFill="1"/>
    <xf numFmtId="0" fontId="12" fillId="8" borderId="0" xfId="1" applyFont="1" applyFill="1"/>
    <xf numFmtId="0" fontId="13" fillId="8" borderId="0" xfId="1" applyFont="1" applyFill="1"/>
    <xf numFmtId="0" fontId="12" fillId="8" borderId="26" xfId="1" applyFont="1" applyFill="1" applyBorder="1"/>
    <xf numFmtId="0" fontId="12" fillId="8" borderId="15" xfId="1" applyFont="1" applyFill="1" applyBorder="1"/>
    <xf numFmtId="170" fontId="12" fillId="9" borderId="12" xfId="2" applyNumberFormat="1" applyFont="1" applyFill="1" applyBorder="1" applyProtection="1"/>
    <xf numFmtId="170" fontId="12" fillId="9" borderId="14" xfId="2" applyNumberFormat="1" applyFont="1" applyFill="1" applyBorder="1" applyProtection="1"/>
    <xf numFmtId="0" fontId="12" fillId="8" borderId="24" xfId="1" applyFont="1" applyFill="1" applyBorder="1" applyAlignment="1">
      <alignment horizontal="right" vertical="top"/>
    </xf>
    <xf numFmtId="0" fontId="12" fillId="8" borderId="12" xfId="1" applyFont="1" applyFill="1" applyBorder="1"/>
    <xf numFmtId="0" fontId="13" fillId="8" borderId="24" xfId="1" applyFont="1" applyFill="1" applyBorder="1" applyAlignment="1">
      <alignment horizontal="right" vertical="top"/>
    </xf>
    <xf numFmtId="0" fontId="13" fillId="8" borderId="12" xfId="1" applyFont="1" applyFill="1" applyBorder="1"/>
    <xf numFmtId="0" fontId="13" fillId="8" borderId="24" xfId="1" applyFont="1" applyFill="1" applyBorder="1" applyAlignment="1">
      <alignment horizontal="right" vertical="top" wrapText="1"/>
    </xf>
    <xf numFmtId="0" fontId="13" fillId="8" borderId="12" xfId="1" applyFont="1" applyFill="1" applyBorder="1" applyAlignment="1">
      <alignment vertical="top"/>
    </xf>
    <xf numFmtId="0" fontId="13" fillId="8" borderId="12" xfId="1" applyFont="1" applyFill="1" applyBorder="1" applyAlignment="1">
      <alignment vertical="top" wrapText="1"/>
    </xf>
    <xf numFmtId="170" fontId="13" fillId="0" borderId="14" xfId="2" applyNumberFormat="1" applyFont="1" applyFill="1" applyBorder="1" applyAlignment="1" applyProtection="1">
      <alignment vertical="top" wrapText="1"/>
      <protection locked="0"/>
    </xf>
    <xf numFmtId="0" fontId="13" fillId="0" borderId="0" xfId="1" applyFont="1" applyAlignment="1" applyProtection="1">
      <alignment vertical="top" wrapText="1"/>
      <protection locked="0"/>
    </xf>
    <xf numFmtId="170" fontId="12" fillId="0" borderId="14" xfId="2" applyNumberFormat="1" applyFont="1" applyFill="1" applyBorder="1" applyProtection="1">
      <protection locked="0"/>
    </xf>
    <xf numFmtId="170" fontId="12" fillId="0" borderId="14" xfId="2" applyNumberFormat="1" applyFont="1" applyFill="1" applyBorder="1" applyAlignment="1" applyProtection="1">
      <alignment vertical="top" wrapText="1"/>
      <protection locked="0"/>
    </xf>
    <xf numFmtId="0" fontId="13" fillId="8" borderId="25" xfId="1" applyFont="1" applyFill="1" applyBorder="1" applyAlignment="1">
      <alignment horizontal="right" vertical="top"/>
    </xf>
    <xf numFmtId="0" fontId="13" fillId="8" borderId="17" xfId="1" applyFont="1" applyFill="1" applyBorder="1"/>
    <xf numFmtId="170" fontId="12" fillId="0" borderId="19" xfId="2" applyNumberFormat="1" applyFont="1" applyFill="1" applyBorder="1" applyProtection="1">
      <protection locked="0"/>
    </xf>
    <xf numFmtId="0" fontId="12" fillId="8" borderId="10" xfId="1" applyFont="1" applyFill="1" applyBorder="1"/>
    <xf numFmtId="0" fontId="13" fillId="8" borderId="10" xfId="1" applyFont="1" applyFill="1" applyBorder="1"/>
    <xf numFmtId="170" fontId="12" fillId="8" borderId="10" xfId="2" applyNumberFormat="1" applyFont="1" applyFill="1" applyBorder="1" applyProtection="1"/>
    <xf numFmtId="170" fontId="12" fillId="9" borderId="15" xfId="2" applyNumberFormat="1" applyFont="1" applyFill="1" applyBorder="1" applyProtection="1"/>
    <xf numFmtId="0" fontId="12" fillId="8" borderId="24" xfId="1" applyFont="1" applyFill="1" applyBorder="1" applyAlignment="1">
      <alignment horizontal="right"/>
    </xf>
    <xf numFmtId="0" fontId="13" fillId="8" borderId="24" xfId="1" applyFont="1" applyFill="1" applyBorder="1" applyAlignment="1">
      <alignment horizontal="right"/>
    </xf>
    <xf numFmtId="0" fontId="14" fillId="8" borderId="24" xfId="1" applyFont="1" applyFill="1" applyBorder="1" applyAlignment="1">
      <alignment horizontal="right"/>
    </xf>
    <xf numFmtId="0" fontId="14" fillId="8" borderId="12" xfId="1" applyFont="1" applyFill="1" applyBorder="1"/>
    <xf numFmtId="170" fontId="15" fillId="0" borderId="14" xfId="2" applyNumberFormat="1" applyFont="1" applyFill="1" applyBorder="1" applyProtection="1">
      <protection locked="0"/>
    </xf>
    <xf numFmtId="170" fontId="12" fillId="0" borderId="12" xfId="2" applyNumberFormat="1" applyFont="1" applyFill="1" applyBorder="1" applyProtection="1">
      <protection locked="0"/>
    </xf>
    <xf numFmtId="0" fontId="14" fillId="8" borderId="25" xfId="1" applyFont="1" applyFill="1" applyBorder="1" applyAlignment="1">
      <alignment horizontal="right"/>
    </xf>
    <xf numFmtId="0" fontId="14" fillId="8" borderId="17" xfId="1" applyFont="1" applyFill="1" applyBorder="1"/>
    <xf numFmtId="0" fontId="12" fillId="10" borderId="0" xfId="1" applyFont="1" applyFill="1" applyAlignment="1">
      <alignment horizontal="right"/>
    </xf>
    <xf numFmtId="0" fontId="13" fillId="10" borderId="0" xfId="1" applyFont="1" applyFill="1"/>
    <xf numFmtId="0" fontId="13" fillId="10" borderId="0" xfId="1" applyFont="1" applyFill="1" applyAlignment="1">
      <alignment horizontal="right"/>
    </xf>
    <xf numFmtId="0" fontId="13" fillId="10" borderId="2" xfId="1" applyFont="1" applyFill="1" applyBorder="1" applyAlignment="1">
      <alignment horizontal="right" vertical="top"/>
    </xf>
    <xf numFmtId="0" fontId="13" fillId="10" borderId="2" xfId="1" applyFont="1" applyFill="1" applyBorder="1" applyAlignment="1">
      <alignment horizontal="left" vertical="top"/>
    </xf>
    <xf numFmtId="171" fontId="13" fillId="10" borderId="2" xfId="2" applyNumberFormat="1" applyFont="1" applyFill="1" applyBorder="1" applyProtection="1"/>
    <xf numFmtId="0" fontId="13" fillId="10" borderId="0" xfId="1" applyFont="1" applyFill="1" applyAlignment="1">
      <alignment horizontal="right" vertical="top"/>
    </xf>
    <xf numFmtId="0" fontId="13" fillId="10" borderId="0" xfId="1" applyFont="1" applyFill="1" applyAlignment="1">
      <alignment horizontal="left" vertical="top"/>
    </xf>
    <xf numFmtId="172" fontId="13" fillId="10" borderId="0" xfId="3" applyNumberFormat="1" applyFont="1" applyFill="1" applyBorder="1" applyProtection="1"/>
    <xf numFmtId="0" fontId="13" fillId="10" borderId="7" xfId="1" applyFont="1" applyFill="1" applyBorder="1" applyAlignment="1">
      <alignment horizontal="right" vertical="top" wrapText="1"/>
    </xf>
    <xf numFmtId="0" fontId="13" fillId="10" borderId="7" xfId="1" applyFont="1" applyFill="1" applyBorder="1" applyAlignment="1">
      <alignment horizontal="left" vertical="top" wrapText="1"/>
    </xf>
    <xf numFmtId="172" fontId="13" fillId="10" borderId="7" xfId="3" applyNumberFormat="1" applyFont="1" applyFill="1" applyBorder="1" applyAlignment="1" applyProtection="1">
      <alignment vertical="center"/>
    </xf>
    <xf numFmtId="0" fontId="13" fillId="0" borderId="0" xfId="1" applyFont="1" applyAlignment="1">
      <alignment vertical="center"/>
    </xf>
    <xf numFmtId="0" fontId="13" fillId="10" borderId="2" xfId="1" applyFont="1" applyFill="1" applyBorder="1" applyAlignment="1">
      <alignment horizontal="right" vertical="top" wrapText="1"/>
    </xf>
    <xf numFmtId="0" fontId="13" fillId="10" borderId="2" xfId="1" applyFont="1" applyFill="1" applyBorder="1" applyAlignment="1">
      <alignment horizontal="left" vertical="top" wrapText="1"/>
    </xf>
    <xf numFmtId="172" fontId="13" fillId="10" borderId="2" xfId="3" applyNumberFormat="1" applyFont="1" applyFill="1" applyBorder="1" applyAlignment="1" applyProtection="1">
      <alignment vertical="center"/>
    </xf>
    <xf numFmtId="0" fontId="13" fillId="10" borderId="0" xfId="1" applyFont="1" applyFill="1" applyAlignment="1">
      <alignment horizontal="right" vertical="top" wrapText="1"/>
    </xf>
    <xf numFmtId="0" fontId="13" fillId="10" borderId="0" xfId="1" applyFont="1" applyFill="1" applyAlignment="1">
      <alignment horizontal="left" vertical="top" wrapText="1"/>
    </xf>
    <xf numFmtId="171" fontId="13" fillId="10" borderId="0" xfId="2" applyNumberFormat="1" applyFont="1" applyFill="1" applyBorder="1" applyAlignment="1" applyProtection="1">
      <alignment vertical="top"/>
    </xf>
    <xf numFmtId="0" fontId="13" fillId="10" borderId="10" xfId="1" applyFont="1" applyFill="1" applyBorder="1" applyAlignment="1">
      <alignment horizontal="right" vertical="top" wrapText="1"/>
    </xf>
    <xf numFmtId="0" fontId="13" fillId="10" borderId="10" xfId="1" applyFont="1" applyFill="1" applyBorder="1" applyAlignment="1">
      <alignment horizontal="left" vertical="top" wrapText="1"/>
    </xf>
    <xf numFmtId="171" fontId="13" fillId="10" borderId="2" xfId="2" applyNumberFormat="1" applyFont="1" applyFill="1" applyBorder="1" applyAlignment="1" applyProtection="1">
      <alignment vertical="top"/>
    </xf>
    <xf numFmtId="170" fontId="13" fillId="10" borderId="2" xfId="2" applyNumberFormat="1" applyFont="1" applyFill="1" applyBorder="1" applyProtection="1"/>
    <xf numFmtId="0" fontId="13" fillId="10" borderId="7" xfId="1" applyFont="1" applyFill="1" applyBorder="1" applyAlignment="1">
      <alignment horizontal="right" vertical="top"/>
    </xf>
    <xf numFmtId="0" fontId="13" fillId="10" borderId="7" xfId="1" applyFont="1" applyFill="1" applyBorder="1" applyAlignment="1">
      <alignment horizontal="left" vertical="top"/>
    </xf>
    <xf numFmtId="172" fontId="13" fillId="10" borderId="7" xfId="3" applyNumberFormat="1" applyFont="1" applyFill="1" applyBorder="1" applyProtection="1"/>
    <xf numFmtId="170" fontId="13" fillId="10" borderId="0" xfId="2" applyNumberFormat="1" applyFont="1" applyFill="1" applyBorder="1" applyProtection="1"/>
    <xf numFmtId="170" fontId="13" fillId="10" borderId="0" xfId="2" applyNumberFormat="1" applyFont="1" applyFill="1" applyBorder="1" applyAlignment="1" applyProtection="1">
      <alignment horizontal="right"/>
    </xf>
    <xf numFmtId="172" fontId="13" fillId="10" borderId="7" xfId="3" applyNumberFormat="1" applyFont="1" applyFill="1" applyBorder="1" applyAlignment="1" applyProtection="1">
      <alignment vertical="top"/>
    </xf>
    <xf numFmtId="0" fontId="13" fillId="10" borderId="10" xfId="1" applyFont="1" applyFill="1" applyBorder="1" applyAlignment="1">
      <alignment horizontal="right" vertical="top"/>
    </xf>
    <xf numFmtId="0" fontId="13" fillId="10" borderId="10" xfId="1" applyFont="1" applyFill="1" applyBorder="1" applyAlignment="1">
      <alignment horizontal="left" vertical="top"/>
    </xf>
    <xf numFmtId="172" fontId="13" fillId="10" borderId="10" xfId="3" applyNumberFormat="1" applyFont="1" applyFill="1" applyBorder="1" applyProtection="1"/>
    <xf numFmtId="170" fontId="13" fillId="0" borderId="0" xfId="2" applyNumberFormat="1" applyFont="1" applyFill="1" applyBorder="1" applyProtection="1">
      <protection locked="0"/>
    </xf>
    <xf numFmtId="170" fontId="13" fillId="0" borderId="0" xfId="1" applyNumberFormat="1" applyFont="1" applyProtection="1">
      <protection locked="0"/>
    </xf>
    <xf numFmtId="0" fontId="12" fillId="11" borderId="0" xfId="1" applyFont="1" applyFill="1"/>
    <xf numFmtId="0" fontId="13" fillId="11" borderId="0" xfId="1" applyFont="1" applyFill="1"/>
    <xf numFmtId="170" fontId="13" fillId="11" borderId="0" xfId="1" applyNumberFormat="1" applyFont="1" applyFill="1"/>
    <xf numFmtId="0" fontId="12" fillId="3" borderId="0" xfId="1" applyFont="1" applyFill="1" applyAlignment="1">
      <alignment wrapText="1"/>
    </xf>
    <xf numFmtId="0" fontId="13" fillId="3" borderId="0" xfId="1" applyFont="1" applyFill="1"/>
    <xf numFmtId="170" fontId="13" fillId="3" borderId="0" xfId="2" applyNumberFormat="1" applyFont="1" applyFill="1" applyProtection="1"/>
    <xf numFmtId="0" fontId="11" fillId="3" borderId="2" xfId="1" applyFont="1" applyFill="1" applyBorder="1" applyAlignment="1">
      <alignment horizontal="center"/>
    </xf>
    <xf numFmtId="0" fontId="11" fillId="3" borderId="4" xfId="1" applyFont="1" applyFill="1" applyBorder="1" applyAlignment="1">
      <alignment horizontal="left"/>
    </xf>
    <xf numFmtId="166" fontId="4" fillId="0" borderId="5" xfId="1" applyNumberFormat="1" applyFont="1" applyBorder="1" applyAlignment="1" applyProtection="1">
      <alignment vertical="center"/>
      <protection locked="0"/>
    </xf>
    <xf numFmtId="170" fontId="14" fillId="0" borderId="12" xfId="2" applyNumberFormat="1" applyFont="1" applyBorder="1" applyProtection="1">
      <protection locked="0"/>
    </xf>
    <xf numFmtId="170" fontId="14" fillId="0" borderId="14" xfId="2" applyNumberFormat="1" applyFont="1" applyBorder="1" applyProtection="1">
      <protection locked="0"/>
    </xf>
    <xf numFmtId="1" fontId="14" fillId="5" borderId="12" xfId="1" applyNumberFormat="1" applyFont="1" applyFill="1" applyBorder="1" applyAlignment="1">
      <alignment horizontal="left" vertical="top" wrapText="1"/>
    </xf>
    <xf numFmtId="170" fontId="14" fillId="0" borderId="14" xfId="2" applyNumberFormat="1" applyFont="1" applyBorder="1" applyAlignment="1" applyProtection="1">
      <alignment horizontal="right" vertical="top" wrapText="1"/>
      <protection locked="0"/>
    </xf>
    <xf numFmtId="1" fontId="12" fillId="5" borderId="10" xfId="1" applyNumberFormat="1" applyFont="1" applyFill="1" applyBorder="1" applyAlignment="1">
      <alignment vertical="center"/>
    </xf>
    <xf numFmtId="1" fontId="13" fillId="5" borderId="10" xfId="1" applyNumberFormat="1" applyFont="1" applyFill="1" applyBorder="1" applyAlignment="1">
      <alignment vertical="center"/>
    </xf>
    <xf numFmtId="0" fontId="12" fillId="5" borderId="10" xfId="1" applyFont="1" applyFill="1" applyBorder="1" applyAlignment="1">
      <alignment vertical="center"/>
    </xf>
    <xf numFmtId="170" fontId="12" fillId="5" borderId="10" xfId="2" applyNumberFormat="1" applyFont="1" applyFill="1" applyBorder="1" applyAlignment="1" applyProtection="1">
      <alignment vertical="center"/>
    </xf>
    <xf numFmtId="170" fontId="14" fillId="0" borderId="17" xfId="2" applyNumberFormat="1" applyFont="1" applyBorder="1" applyProtection="1">
      <protection locked="0"/>
    </xf>
    <xf numFmtId="170" fontId="13" fillId="0" borderId="15" xfId="2" applyNumberFormat="1" applyFont="1" applyBorder="1" applyProtection="1">
      <protection locked="0"/>
    </xf>
    <xf numFmtId="170" fontId="13" fillId="0" borderId="18" xfId="2" applyNumberFormat="1" applyFont="1" applyFill="1" applyBorder="1" applyProtection="1">
      <protection locked="0"/>
    </xf>
    <xf numFmtId="170" fontId="13" fillId="0" borderId="12" xfId="2" applyNumberFormat="1" applyFont="1" applyBorder="1" applyAlignment="1" applyProtection="1">
      <alignment vertical="top"/>
      <protection locked="0"/>
    </xf>
    <xf numFmtId="170" fontId="13" fillId="0" borderId="12" xfId="2" applyNumberFormat="1" applyFont="1" applyFill="1" applyBorder="1" applyAlignment="1" applyProtection="1">
      <alignment horizontal="right"/>
      <protection locked="0"/>
    </xf>
    <xf numFmtId="170" fontId="13" fillId="0" borderId="14" xfId="2" applyNumberFormat="1" applyFont="1" applyFill="1" applyBorder="1" applyAlignment="1" applyProtection="1">
      <alignment horizontal="right"/>
      <protection locked="0"/>
    </xf>
    <xf numFmtId="170" fontId="13" fillId="0" borderId="13" xfId="2" applyNumberFormat="1" applyFont="1" applyFill="1" applyBorder="1" applyProtection="1">
      <protection locked="0"/>
    </xf>
    <xf numFmtId="170" fontId="13" fillId="0" borderId="16" xfId="2" applyNumberFormat="1" applyFont="1" applyFill="1" applyBorder="1" applyProtection="1"/>
    <xf numFmtId="170" fontId="13" fillId="0" borderId="16" xfId="2" applyNumberFormat="1" applyFont="1" applyFill="1" applyBorder="1" applyProtection="1">
      <protection locked="0"/>
    </xf>
    <xf numFmtId="170" fontId="13" fillId="0" borderId="14" xfId="2" applyNumberFormat="1" applyFont="1" applyFill="1" applyBorder="1" applyProtection="1"/>
    <xf numFmtId="170" fontId="14" fillId="0" borderId="14" xfId="2" applyNumberFormat="1" applyFont="1" applyFill="1" applyBorder="1" applyProtection="1"/>
    <xf numFmtId="170" fontId="14" fillId="0" borderId="12" xfId="2" applyNumberFormat="1" applyFont="1" applyFill="1" applyBorder="1" applyProtection="1"/>
    <xf numFmtId="170" fontId="13" fillId="0" borderId="19" xfId="2" applyNumberFormat="1" applyFont="1" applyFill="1" applyBorder="1" applyProtection="1"/>
    <xf numFmtId="170" fontId="13" fillId="0" borderId="14" xfId="2" applyNumberFormat="1" applyFont="1" applyBorder="1" applyAlignment="1" applyProtection="1">
      <alignment vertical="top"/>
      <protection locked="0"/>
    </xf>
    <xf numFmtId="170" fontId="13" fillId="0" borderId="17" xfId="2" applyNumberFormat="1" applyFont="1" applyBorder="1" applyAlignment="1" applyProtection="1">
      <alignment vertical="top"/>
      <protection locked="0"/>
    </xf>
    <xf numFmtId="170" fontId="13" fillId="0" borderId="19" xfId="2" applyNumberFormat="1" applyFont="1" applyBorder="1" applyAlignment="1" applyProtection="1">
      <alignment vertical="top"/>
      <protection locked="0"/>
    </xf>
    <xf numFmtId="170" fontId="12" fillId="7" borderId="0" xfId="2" applyNumberFormat="1" applyFont="1" applyFill="1" applyBorder="1" applyProtection="1"/>
    <xf numFmtId="0" fontId="14" fillId="8" borderId="24" xfId="1" applyFont="1" applyFill="1" applyBorder="1" applyAlignment="1">
      <alignment horizontal="right" vertical="top"/>
    </xf>
    <xf numFmtId="0" fontId="14" fillId="8" borderId="24" xfId="1" applyFont="1" applyFill="1" applyBorder="1" applyAlignment="1">
      <alignment horizontal="right" vertical="top" wrapText="1"/>
    </xf>
    <xf numFmtId="0" fontId="14" fillId="8" borderId="12" xfId="1" applyFont="1" applyFill="1" applyBorder="1" applyAlignment="1">
      <alignment vertical="top"/>
    </xf>
    <xf numFmtId="170" fontId="14" fillId="0" borderId="12" xfId="2" applyNumberFormat="1" applyFont="1" applyFill="1" applyBorder="1" applyAlignment="1" applyProtection="1">
      <alignment vertical="top"/>
      <protection locked="0"/>
    </xf>
    <xf numFmtId="0" fontId="14" fillId="8" borderId="12" xfId="1" applyFont="1" applyFill="1" applyBorder="1" applyAlignment="1">
      <alignment vertical="top" wrapText="1"/>
    </xf>
    <xf numFmtId="170" fontId="14" fillId="0" borderId="12" xfId="2" applyNumberFormat="1" applyFont="1" applyFill="1" applyBorder="1" applyAlignment="1" applyProtection="1">
      <alignment vertical="top" wrapText="1"/>
      <protection locked="0"/>
    </xf>
    <xf numFmtId="0" fontId="12" fillId="8" borderId="27" xfId="1" applyFont="1" applyFill="1" applyBorder="1"/>
    <xf numFmtId="0" fontId="13" fillId="10" borderId="28" xfId="1" applyFont="1" applyFill="1" applyBorder="1" applyAlignment="1">
      <alignment horizontal="right"/>
    </xf>
    <xf numFmtId="0" fontId="13" fillId="10" borderId="2" xfId="1" applyFont="1" applyFill="1" applyBorder="1" applyAlignment="1">
      <alignment horizontal="right"/>
    </xf>
    <xf numFmtId="0" fontId="13" fillId="10" borderId="2" xfId="1" applyFont="1" applyFill="1" applyBorder="1"/>
    <xf numFmtId="0" fontId="13" fillId="10" borderId="20" xfId="1" applyFont="1" applyFill="1" applyBorder="1"/>
    <xf numFmtId="0" fontId="13" fillId="10" borderId="28" xfId="1" applyFont="1" applyFill="1" applyBorder="1"/>
    <xf numFmtId="0" fontId="13" fillId="10" borderId="0" xfId="1" applyFont="1" applyFill="1" applyAlignment="1">
      <alignment vertical="top" wrapText="1"/>
    </xf>
    <xf numFmtId="0" fontId="13" fillId="10" borderId="28" xfId="1" applyFont="1" applyFill="1" applyBorder="1" applyAlignment="1">
      <alignment vertical="top" wrapText="1"/>
    </xf>
    <xf numFmtId="172" fontId="13" fillId="10" borderId="0" xfId="3" applyNumberFormat="1" applyFont="1" applyFill="1" applyBorder="1" applyAlignment="1" applyProtection="1">
      <alignment vertical="top"/>
    </xf>
    <xf numFmtId="0" fontId="13" fillId="0" borderId="0" xfId="1" applyFont="1" applyAlignment="1">
      <alignment vertical="top"/>
    </xf>
    <xf numFmtId="0" fontId="13" fillId="10" borderId="7" xfId="1" applyFont="1" applyFill="1" applyBorder="1" applyAlignment="1">
      <alignment vertical="top" wrapText="1"/>
    </xf>
    <xf numFmtId="0" fontId="13" fillId="10" borderId="29" xfId="1" applyFont="1" applyFill="1" applyBorder="1" applyAlignment="1">
      <alignment vertical="top" wrapText="1"/>
    </xf>
    <xf numFmtId="0" fontId="13" fillId="10" borderId="2" xfId="1" applyFont="1" applyFill="1" applyBorder="1" applyAlignment="1">
      <alignment vertical="top" wrapText="1"/>
    </xf>
    <xf numFmtId="0" fontId="13" fillId="10" borderId="20" xfId="1" applyFont="1" applyFill="1" applyBorder="1" applyAlignment="1">
      <alignment vertical="top" wrapText="1"/>
    </xf>
    <xf numFmtId="0" fontId="13" fillId="10" borderId="7" xfId="1" applyFont="1" applyFill="1" applyBorder="1" applyAlignment="1">
      <alignment horizontal="right"/>
    </xf>
    <xf numFmtId="0" fontId="13" fillId="10" borderId="7" xfId="1" applyFont="1" applyFill="1" applyBorder="1"/>
    <xf numFmtId="0" fontId="13" fillId="10" borderId="29" xfId="1" applyFont="1" applyFill="1" applyBorder="1"/>
    <xf numFmtId="0" fontId="13" fillId="10" borderId="7" xfId="1" applyFont="1" applyFill="1" applyBorder="1" applyAlignment="1">
      <alignment vertical="top"/>
    </xf>
    <xf numFmtId="0" fontId="13" fillId="10" borderId="29" xfId="1" applyFont="1" applyFill="1" applyBorder="1" applyAlignment="1">
      <alignment vertical="top"/>
    </xf>
    <xf numFmtId="0" fontId="13" fillId="10" borderId="10" xfId="1" applyFont="1" applyFill="1" applyBorder="1" applyAlignment="1">
      <alignment horizontal="right"/>
    </xf>
    <xf numFmtId="0" fontId="13" fillId="10" borderId="10" xfId="1" applyFont="1" applyFill="1" applyBorder="1"/>
    <xf numFmtId="0" fontId="13" fillId="10" borderId="27" xfId="1" applyFont="1" applyFill="1" applyBorder="1"/>
    <xf numFmtId="0" fontId="13" fillId="0" borderId="28" xfId="1" applyFont="1" applyBorder="1"/>
    <xf numFmtId="0" fontId="12" fillId="11" borderId="0" xfId="1" applyFont="1" applyFill="1" applyAlignment="1">
      <alignment horizontal="right"/>
    </xf>
    <xf numFmtId="0" fontId="12" fillId="11" borderId="28" xfId="1" applyFont="1" applyFill="1" applyBorder="1"/>
    <xf numFmtId="0" fontId="13" fillId="11" borderId="0" xfId="1" applyFont="1" applyFill="1" applyAlignment="1">
      <alignment horizontal="right"/>
    </xf>
    <xf numFmtId="0" fontId="13" fillId="11" borderId="28" xfId="1" applyFont="1" applyFill="1" applyBorder="1"/>
    <xf numFmtId="170" fontId="13" fillId="0" borderId="0" xfId="4" applyNumberFormat="1" applyFont="1" applyProtection="1">
      <protection locked="0"/>
    </xf>
    <xf numFmtId="0" fontId="12" fillId="3" borderId="0" xfId="1" applyFont="1" applyFill="1" applyAlignment="1">
      <alignment horizontal="right" wrapText="1"/>
    </xf>
    <xf numFmtId="0" fontId="13" fillId="3" borderId="28" xfId="1" applyFont="1" applyFill="1" applyBorder="1"/>
    <xf numFmtId="0" fontId="13" fillId="3" borderId="0" xfId="1" applyFont="1" applyFill="1" applyAlignment="1">
      <alignment horizontal="right"/>
    </xf>
    <xf numFmtId="170" fontId="12" fillId="9" borderId="18" xfId="2" applyNumberFormat="1" applyFont="1" applyFill="1" applyBorder="1" applyProtection="1"/>
    <xf numFmtId="0" fontId="16" fillId="3" borderId="0" xfId="1" applyFont="1" applyFill="1" applyAlignment="1">
      <alignment vertical="center"/>
    </xf>
    <xf numFmtId="168" fontId="12" fillId="4" borderId="11" xfId="1" applyNumberFormat="1" applyFont="1" applyFill="1" applyBorder="1" applyAlignment="1">
      <alignment horizontal="center" vertical="center"/>
    </xf>
    <xf numFmtId="168" fontId="12" fillId="3" borderId="11" xfId="1" applyNumberFormat="1" applyFont="1" applyFill="1" applyBorder="1" applyAlignment="1">
      <alignment horizontal="centerContinuous" vertical="center"/>
    </xf>
    <xf numFmtId="168" fontId="12" fillId="4" borderId="8" xfId="1" applyNumberFormat="1" applyFont="1" applyFill="1" applyBorder="1" applyAlignment="1">
      <alignment horizontal="center" vertical="center"/>
    </xf>
    <xf numFmtId="168" fontId="12" fillId="3" borderId="8" xfId="1" applyNumberFormat="1" applyFont="1" applyFill="1" applyBorder="1" applyAlignment="1">
      <alignment horizontal="center" vertical="center"/>
    </xf>
    <xf numFmtId="168" fontId="13" fillId="0" borderId="0" xfId="1" applyNumberFormat="1" applyFont="1" applyProtection="1">
      <protection locked="0"/>
    </xf>
    <xf numFmtId="168" fontId="12" fillId="6" borderId="0" xfId="1" applyNumberFormat="1" applyFont="1" applyFill="1" applyAlignment="1" applyProtection="1">
      <alignment horizontal="center"/>
      <protection locked="0"/>
    </xf>
    <xf numFmtId="168" fontId="13" fillId="0" borderId="13" xfId="2" applyNumberFormat="1" applyFont="1" applyBorder="1" applyProtection="1">
      <protection locked="0"/>
    </xf>
    <xf numFmtId="168" fontId="13" fillId="0" borderId="12" xfId="2" applyNumberFormat="1" applyFont="1" applyFill="1" applyBorder="1" applyProtection="1">
      <protection locked="0"/>
    </xf>
    <xf numFmtId="168" fontId="13" fillId="0" borderId="12" xfId="2" applyNumberFormat="1" applyFont="1" applyBorder="1" applyProtection="1">
      <protection locked="0"/>
    </xf>
    <xf numFmtId="168" fontId="14" fillId="0" borderId="12" xfId="2" applyNumberFormat="1" applyFont="1" applyFill="1" applyBorder="1" applyProtection="1">
      <protection locked="0"/>
    </xf>
    <xf numFmtId="168" fontId="13" fillId="0" borderId="12" xfId="2" applyNumberFormat="1" applyFont="1" applyFill="1" applyBorder="1" applyAlignment="1" applyProtection="1">
      <alignment horizontal="right" vertical="top" wrapText="1"/>
      <protection locked="0"/>
    </xf>
    <xf numFmtId="168" fontId="14" fillId="0" borderId="12" xfId="2" applyNumberFormat="1" applyFont="1" applyFill="1" applyBorder="1" applyAlignment="1" applyProtection="1">
      <alignment horizontal="right" vertical="top" wrapText="1"/>
      <protection locked="0"/>
    </xf>
    <xf numFmtId="168" fontId="13" fillId="0" borderId="12" xfId="2" applyNumberFormat="1" applyFont="1" applyFill="1" applyBorder="1" applyAlignment="1" applyProtection="1">
      <alignment vertical="center"/>
      <protection locked="0"/>
    </xf>
    <xf numFmtId="168" fontId="14" fillId="0" borderId="12" xfId="2" applyNumberFormat="1" applyFont="1" applyFill="1" applyBorder="1" applyAlignment="1" applyProtection="1">
      <alignment vertical="center"/>
      <protection locked="0"/>
    </xf>
    <xf numFmtId="168" fontId="13" fillId="0" borderId="17" xfId="2" applyNumberFormat="1" applyFont="1" applyFill="1" applyBorder="1" applyProtection="1">
      <protection locked="0"/>
    </xf>
    <xf numFmtId="168" fontId="13" fillId="0" borderId="17" xfId="2" applyNumberFormat="1" applyFont="1" applyBorder="1" applyProtection="1">
      <protection locked="0"/>
    </xf>
    <xf numFmtId="168" fontId="12" fillId="5" borderId="10" xfId="2" applyNumberFormat="1" applyFont="1" applyFill="1" applyBorder="1" applyProtection="1"/>
    <xf numFmtId="168" fontId="13" fillId="0" borderId="12" xfId="2" applyNumberFormat="1" applyFont="1" applyFill="1" applyBorder="1" applyAlignment="1" applyProtection="1">
      <alignment vertical="top" wrapText="1"/>
      <protection locked="0"/>
    </xf>
    <xf numFmtId="168" fontId="14" fillId="0" borderId="17" xfId="2" applyNumberFormat="1" applyFont="1" applyFill="1" applyBorder="1" applyProtection="1">
      <protection locked="0"/>
    </xf>
    <xf numFmtId="168" fontId="13" fillId="0" borderId="15" xfId="2" applyNumberFormat="1" applyFont="1" applyFill="1" applyBorder="1" applyProtection="1">
      <protection locked="0"/>
    </xf>
    <xf numFmtId="170" fontId="13" fillId="0" borderId="15" xfId="2" applyNumberFormat="1" applyFont="1" applyFill="1" applyBorder="1" applyProtection="1">
      <protection locked="0"/>
    </xf>
    <xf numFmtId="168" fontId="13" fillId="0" borderId="12" xfId="2" applyNumberFormat="1" applyFont="1" applyFill="1" applyBorder="1" applyAlignment="1" applyProtection="1">
      <alignment vertical="top"/>
      <protection locked="0"/>
    </xf>
    <xf numFmtId="168" fontId="13" fillId="0" borderId="12" xfId="2" applyNumberFormat="1" applyFont="1" applyFill="1" applyBorder="1" applyAlignment="1" applyProtection="1">
      <alignment horizontal="right" vertical="top"/>
      <protection locked="0"/>
    </xf>
    <xf numFmtId="1" fontId="14" fillId="5" borderId="12" xfId="1" applyNumberFormat="1" applyFont="1" applyFill="1" applyBorder="1" applyAlignment="1">
      <alignment horizontal="right"/>
    </xf>
    <xf numFmtId="1" fontId="13" fillId="5" borderId="24" xfId="1" applyNumberFormat="1" applyFont="1" applyFill="1" applyBorder="1" applyAlignment="1">
      <alignment horizontal="right" vertical="center"/>
    </xf>
    <xf numFmtId="168" fontId="12" fillId="5" borderId="0" xfId="2" applyNumberFormat="1" applyFont="1" applyFill="1" applyBorder="1" applyProtection="1"/>
    <xf numFmtId="168" fontId="12" fillId="0" borderId="0" xfId="2" applyNumberFormat="1" applyFont="1" applyFill="1" applyBorder="1" applyProtection="1"/>
    <xf numFmtId="168" fontId="13" fillId="0" borderId="7" xfId="2" applyNumberFormat="1" applyFont="1" applyFill="1" applyBorder="1" applyProtection="1"/>
    <xf numFmtId="168" fontId="13" fillId="0" borderId="7" xfId="2" applyNumberFormat="1" applyFont="1" applyBorder="1" applyProtection="1"/>
    <xf numFmtId="168" fontId="13" fillId="0" borderId="14" xfId="2" applyNumberFormat="1" applyFont="1" applyFill="1" applyBorder="1" applyProtection="1">
      <protection locked="0"/>
    </xf>
    <xf numFmtId="168" fontId="13" fillId="0" borderId="19" xfId="2" applyNumberFormat="1" applyFont="1" applyFill="1" applyBorder="1" applyProtection="1">
      <protection locked="0"/>
    </xf>
    <xf numFmtId="168" fontId="12" fillId="7" borderId="10" xfId="2" applyNumberFormat="1" applyFont="1" applyFill="1" applyBorder="1" applyProtection="1"/>
    <xf numFmtId="168" fontId="13" fillId="0" borderId="14" xfId="2" applyNumberFormat="1" applyFont="1" applyBorder="1" applyProtection="1">
      <protection locked="0"/>
    </xf>
    <xf numFmtId="0" fontId="13" fillId="7" borderId="12" xfId="1" applyFont="1" applyFill="1" applyBorder="1" applyAlignment="1">
      <alignment vertical="top"/>
    </xf>
    <xf numFmtId="168" fontId="13" fillId="0" borderId="12" xfId="2" applyNumberFormat="1" applyFont="1" applyBorder="1" applyAlignment="1" applyProtection="1">
      <alignment vertical="top"/>
      <protection locked="0"/>
    </xf>
    <xf numFmtId="168" fontId="13" fillId="0" borderId="14" xfId="2" applyNumberFormat="1" applyFont="1" applyBorder="1" applyAlignment="1" applyProtection="1">
      <alignment vertical="top"/>
      <protection locked="0"/>
    </xf>
    <xf numFmtId="0" fontId="13" fillId="7" borderId="17" xfId="1" applyFont="1" applyFill="1" applyBorder="1" applyAlignment="1">
      <alignment vertical="top"/>
    </xf>
    <xf numFmtId="168" fontId="13" fillId="0" borderId="17" xfId="2" applyNumberFormat="1" applyFont="1" applyBorder="1" applyAlignment="1" applyProtection="1">
      <alignment vertical="top"/>
      <protection locked="0"/>
    </xf>
    <xf numFmtId="168" fontId="13" fillId="0" borderId="19" xfId="2" applyNumberFormat="1" applyFont="1" applyBorder="1" applyAlignment="1" applyProtection="1">
      <alignment vertical="top"/>
      <protection locked="0"/>
    </xf>
    <xf numFmtId="168" fontId="12" fillId="7" borderId="0" xfId="2" applyNumberFormat="1" applyFont="1" applyFill="1" applyBorder="1" applyProtection="1"/>
    <xf numFmtId="168" fontId="12" fillId="9" borderId="12" xfId="2" applyNumberFormat="1" applyFont="1" applyFill="1" applyBorder="1" applyProtection="1"/>
    <xf numFmtId="168" fontId="12" fillId="9" borderId="14" xfId="2" applyNumberFormat="1" applyFont="1" applyFill="1" applyBorder="1" applyProtection="1"/>
    <xf numFmtId="168" fontId="13" fillId="0" borderId="14" xfId="2" applyNumberFormat="1" applyFont="1" applyFill="1" applyBorder="1" applyAlignment="1" applyProtection="1">
      <alignment vertical="top"/>
      <protection locked="0"/>
    </xf>
    <xf numFmtId="168" fontId="13" fillId="0" borderId="14" xfId="2" applyNumberFormat="1" applyFont="1" applyFill="1" applyBorder="1" applyAlignment="1" applyProtection="1">
      <alignment vertical="top" wrapText="1"/>
      <protection locked="0"/>
    </xf>
    <xf numFmtId="168" fontId="12" fillId="0" borderId="14" xfId="2" applyNumberFormat="1" applyFont="1" applyFill="1" applyBorder="1" applyProtection="1">
      <protection locked="0"/>
    </xf>
    <xf numFmtId="168" fontId="12" fillId="0" borderId="14" xfId="2" applyNumberFormat="1" applyFont="1" applyFill="1" applyBorder="1" applyAlignment="1" applyProtection="1">
      <alignment vertical="top" wrapText="1"/>
      <protection locked="0"/>
    </xf>
    <xf numFmtId="168" fontId="12" fillId="0" borderId="19" xfId="2" applyNumberFormat="1" applyFont="1" applyFill="1" applyBorder="1" applyProtection="1">
      <protection locked="0"/>
    </xf>
    <xf numFmtId="168" fontId="12" fillId="8" borderId="10" xfId="2" applyNumberFormat="1" applyFont="1" applyFill="1" applyBorder="1" applyProtection="1"/>
    <xf numFmtId="168" fontId="12" fillId="9" borderId="15" xfId="2" applyNumberFormat="1" applyFont="1" applyFill="1" applyBorder="1" applyProtection="1"/>
    <xf numFmtId="168" fontId="12" fillId="9" borderId="18" xfId="2" applyNumberFormat="1" applyFont="1" applyFill="1" applyBorder="1" applyProtection="1"/>
    <xf numFmtId="168" fontId="15" fillId="0" borderId="14" xfId="2" applyNumberFormat="1" applyFont="1" applyFill="1" applyBorder="1" applyProtection="1">
      <protection locked="0"/>
    </xf>
    <xf numFmtId="168" fontId="12" fillId="0" borderId="12" xfId="2" applyNumberFormat="1" applyFont="1" applyFill="1" applyBorder="1" applyProtection="1">
      <protection locked="0"/>
    </xf>
    <xf numFmtId="168" fontId="14" fillId="0" borderId="19" xfId="2" applyNumberFormat="1" applyFont="1" applyFill="1" applyBorder="1" applyProtection="1">
      <protection locked="0"/>
    </xf>
    <xf numFmtId="168" fontId="13" fillId="0" borderId="0" xfId="1" applyNumberFormat="1" applyFont="1"/>
    <xf numFmtId="168" fontId="13" fillId="10" borderId="0" xfId="1" applyNumberFormat="1" applyFont="1" applyFill="1"/>
    <xf numFmtId="168" fontId="13" fillId="10" borderId="2" xfId="2" applyNumberFormat="1" applyFont="1" applyFill="1" applyBorder="1" applyProtection="1"/>
    <xf numFmtId="168" fontId="13" fillId="10" borderId="0" xfId="3" applyNumberFormat="1" applyFont="1" applyFill="1" applyBorder="1" applyProtection="1"/>
    <xf numFmtId="168" fontId="13" fillId="10" borderId="0" xfId="3" applyNumberFormat="1" applyFont="1" applyFill="1" applyBorder="1" applyAlignment="1" applyProtection="1">
      <alignment horizontal="left" vertical="top"/>
    </xf>
    <xf numFmtId="172" fontId="13" fillId="10" borderId="0" xfId="3" applyNumberFormat="1" applyFont="1" applyFill="1" applyBorder="1" applyAlignment="1" applyProtection="1">
      <alignment horizontal="left" vertical="top"/>
    </xf>
    <xf numFmtId="0" fontId="13" fillId="0" borderId="0" xfId="1" applyFont="1" applyAlignment="1">
      <alignment horizontal="left" vertical="top"/>
    </xf>
    <xf numFmtId="168" fontId="13" fillId="10" borderId="7" xfId="3" applyNumberFormat="1" applyFont="1" applyFill="1" applyBorder="1" applyAlignment="1" applyProtection="1">
      <alignment horizontal="left" vertical="top"/>
    </xf>
    <xf numFmtId="172" fontId="13" fillId="10" borderId="7" xfId="3" applyNumberFormat="1" applyFont="1" applyFill="1" applyBorder="1" applyAlignment="1" applyProtection="1">
      <alignment horizontal="left" vertical="top"/>
    </xf>
    <xf numFmtId="168" fontId="13" fillId="10" borderId="2" xfId="2" applyNumberFormat="1" applyFont="1" applyFill="1" applyBorder="1" applyAlignment="1" applyProtection="1">
      <alignment vertical="top"/>
    </xf>
    <xf numFmtId="168" fontId="13" fillId="10" borderId="0" xfId="2" applyNumberFormat="1" applyFont="1" applyFill="1" applyBorder="1" applyAlignment="1" applyProtection="1">
      <alignment vertical="top"/>
    </xf>
    <xf numFmtId="168" fontId="13" fillId="10" borderId="7" xfId="3" applyNumberFormat="1" applyFont="1" applyFill="1" applyBorder="1" applyProtection="1"/>
    <xf numFmtId="168" fontId="13" fillId="10" borderId="0" xfId="2" applyNumberFormat="1" applyFont="1" applyFill="1" applyBorder="1" applyProtection="1"/>
    <xf numFmtId="168" fontId="13" fillId="10" borderId="0" xfId="2" applyNumberFormat="1" applyFont="1" applyFill="1" applyBorder="1" applyAlignment="1" applyProtection="1">
      <alignment horizontal="right"/>
    </xf>
    <xf numFmtId="168" fontId="13" fillId="10" borderId="7" xfId="3" applyNumberFormat="1" applyFont="1" applyFill="1" applyBorder="1" applyAlignment="1" applyProtection="1">
      <alignment vertical="top"/>
    </xf>
    <xf numFmtId="168" fontId="13" fillId="10" borderId="10" xfId="3" applyNumberFormat="1" applyFont="1" applyFill="1" applyBorder="1" applyProtection="1"/>
    <xf numFmtId="0" fontId="13" fillId="0" borderId="0" xfId="1" applyFont="1" applyAlignment="1">
      <alignment horizontal="right"/>
    </xf>
    <xf numFmtId="168" fontId="13" fillId="0" borderId="0" xfId="1" applyNumberFormat="1" applyFont="1" applyAlignment="1" applyProtection="1">
      <alignment horizontal="right"/>
      <protection locked="0"/>
    </xf>
    <xf numFmtId="170" fontId="13" fillId="0" borderId="0" xfId="1" applyNumberFormat="1" applyFont="1" applyAlignment="1" applyProtection="1">
      <alignment horizontal="right"/>
      <protection locked="0"/>
    </xf>
    <xf numFmtId="168" fontId="13" fillId="11" borderId="0" xfId="1" applyNumberFormat="1" applyFont="1" applyFill="1"/>
    <xf numFmtId="168" fontId="13" fillId="3" borderId="0" xfId="2" applyNumberFormat="1" applyFont="1" applyFill="1" applyProtection="1"/>
    <xf numFmtId="0" fontId="12" fillId="6" borderId="0" xfId="1" applyFont="1" applyFill="1" applyAlignment="1" applyProtection="1">
      <alignment horizontal="center"/>
      <protection locked="0"/>
    </xf>
    <xf numFmtId="170" fontId="14" fillId="0" borderId="12" xfId="2" applyNumberFormat="1" applyFont="1" applyBorder="1" applyAlignment="1" applyProtection="1">
      <alignment horizontal="right" vertical="top" wrapText="1"/>
      <protection locked="0"/>
    </xf>
    <xf numFmtId="1" fontId="13" fillId="5" borderId="23" xfId="1" applyNumberFormat="1" applyFont="1" applyFill="1" applyBorder="1" applyAlignment="1">
      <alignment vertical="center"/>
    </xf>
    <xf numFmtId="1" fontId="13" fillId="5" borderId="13" xfId="1" applyNumberFormat="1" applyFont="1" applyFill="1" applyBorder="1" applyAlignment="1">
      <alignment vertical="center"/>
    </xf>
    <xf numFmtId="170" fontId="13" fillId="0" borderId="0" xfId="5" applyNumberFormat="1" applyFont="1" applyProtection="1">
      <protection locked="0"/>
    </xf>
    <xf numFmtId="0" fontId="11" fillId="3" borderId="1" xfId="1" applyFont="1" applyFill="1" applyBorder="1" applyAlignment="1">
      <alignment horizontal="right"/>
    </xf>
    <xf numFmtId="0" fontId="12" fillId="3" borderId="6" xfId="1" applyFont="1" applyFill="1" applyBorder="1" applyAlignment="1">
      <alignment horizontal="right" vertical="center"/>
    </xf>
    <xf numFmtId="1" fontId="13" fillId="5" borderId="23" xfId="1" applyNumberFormat="1" applyFont="1" applyFill="1" applyBorder="1" applyAlignment="1">
      <alignment horizontal="right"/>
    </xf>
    <xf numFmtId="1" fontId="13" fillId="5" borderId="12" xfId="1" applyNumberFormat="1" applyFont="1" applyFill="1" applyBorder="1" applyAlignment="1">
      <alignment vertical="top" wrapText="1"/>
    </xf>
    <xf numFmtId="1" fontId="13" fillId="5" borderId="25" xfId="1" applyNumberFormat="1" applyFont="1" applyFill="1" applyBorder="1" applyAlignment="1">
      <alignment horizontal="right"/>
    </xf>
    <xf numFmtId="1" fontId="12" fillId="5" borderId="10" xfId="1" applyNumberFormat="1" applyFont="1" applyFill="1" applyBorder="1" applyAlignment="1">
      <alignment horizontal="right"/>
    </xf>
    <xf numFmtId="1" fontId="14" fillId="5" borderId="12" xfId="1" applyNumberFormat="1" applyFont="1" applyFill="1" applyBorder="1" applyAlignment="1">
      <alignment vertical="top" wrapText="1"/>
    </xf>
    <xf numFmtId="170" fontId="14" fillId="0" borderId="14" xfId="2" applyNumberFormat="1" applyFont="1" applyFill="1" applyBorder="1" applyAlignment="1" applyProtection="1">
      <alignment horizontal="right" vertical="top" wrapText="1"/>
      <protection locked="0"/>
    </xf>
    <xf numFmtId="170" fontId="13" fillId="0" borderId="14" xfId="2" applyNumberFormat="1" applyFont="1" applyFill="1" applyBorder="1" applyAlignment="1" applyProtection="1">
      <alignment horizontal="right" vertical="top" wrapText="1"/>
      <protection locked="0"/>
    </xf>
    <xf numFmtId="170" fontId="14" fillId="0" borderId="19" xfId="2" applyNumberFormat="1" applyFont="1" applyFill="1" applyBorder="1" applyAlignment="1" applyProtection="1">
      <alignment horizontal="right"/>
      <protection locked="0"/>
    </xf>
    <xf numFmtId="1" fontId="13" fillId="5" borderId="10" xfId="1" applyNumberFormat="1" applyFont="1" applyFill="1" applyBorder="1" applyAlignment="1">
      <alignment horizontal="right"/>
    </xf>
    <xf numFmtId="1" fontId="13" fillId="5" borderId="26" xfId="1" applyNumberFormat="1" applyFont="1" applyFill="1" applyBorder="1" applyAlignment="1">
      <alignment horizontal="right" vertical="center"/>
    </xf>
    <xf numFmtId="0" fontId="13" fillId="5" borderId="10" xfId="1" applyFont="1" applyFill="1" applyBorder="1" applyAlignment="1">
      <alignment horizontal="right"/>
    </xf>
    <xf numFmtId="0" fontId="13" fillId="5" borderId="0" xfId="1" applyFont="1" applyFill="1" applyAlignment="1">
      <alignment horizontal="right"/>
    </xf>
    <xf numFmtId="0" fontId="13" fillId="7" borderId="10" xfId="1" applyFont="1" applyFill="1" applyBorder="1" applyAlignment="1">
      <alignment horizontal="right"/>
    </xf>
    <xf numFmtId="0" fontId="13" fillId="7" borderId="0" xfId="1" applyFont="1" applyFill="1" applyAlignment="1">
      <alignment horizontal="right"/>
    </xf>
    <xf numFmtId="0" fontId="12" fillId="8" borderId="0" xfId="1" applyFont="1" applyFill="1" applyAlignment="1">
      <alignment horizontal="right"/>
    </xf>
    <xf numFmtId="0" fontId="12" fillId="8" borderId="26" xfId="1" applyFont="1" applyFill="1" applyBorder="1" applyAlignment="1">
      <alignment horizontal="right"/>
    </xf>
    <xf numFmtId="0" fontId="13" fillId="8" borderId="25" xfId="1" applyFont="1" applyFill="1" applyBorder="1" applyAlignment="1">
      <alignment horizontal="right" vertical="top" wrapText="1"/>
    </xf>
    <xf numFmtId="0" fontId="13" fillId="8" borderId="17" xfId="1" applyFont="1" applyFill="1" applyBorder="1" applyAlignment="1">
      <alignment vertical="top" wrapText="1"/>
    </xf>
    <xf numFmtId="170" fontId="13" fillId="0" borderId="17" xfId="2" applyNumberFormat="1" applyFont="1" applyFill="1" applyBorder="1" applyAlignment="1" applyProtection="1">
      <alignment vertical="top" wrapText="1"/>
      <protection locked="0"/>
    </xf>
    <xf numFmtId="170" fontId="12" fillId="0" borderId="19" xfId="2" applyNumberFormat="1" applyFont="1" applyFill="1" applyBorder="1" applyAlignment="1" applyProtection="1">
      <alignment vertical="top" wrapText="1"/>
      <protection locked="0"/>
    </xf>
    <xf numFmtId="0" fontId="12" fillId="8" borderId="10" xfId="1" applyFont="1" applyFill="1" applyBorder="1" applyAlignment="1">
      <alignment horizontal="right"/>
    </xf>
    <xf numFmtId="0" fontId="12" fillId="10" borderId="0" xfId="1" applyFont="1" applyFill="1" applyAlignment="1">
      <alignment horizontal="left"/>
    </xf>
    <xf numFmtId="172" fontId="13" fillId="10" borderId="2" xfId="3" applyNumberFormat="1" applyFont="1" applyFill="1" applyBorder="1" applyAlignment="1" applyProtection="1">
      <alignment vertical="top"/>
    </xf>
    <xf numFmtId="170" fontId="13" fillId="0" borderId="16" xfId="2" applyNumberFormat="1" applyFont="1" applyBorder="1" applyProtection="1"/>
    <xf numFmtId="170" fontId="13" fillId="0" borderId="14" xfId="2" applyNumberFormat="1" applyFont="1" applyBorder="1" applyProtection="1"/>
    <xf numFmtId="170" fontId="13" fillId="0" borderId="14" xfId="2" applyNumberFormat="1" applyFont="1" applyFill="1" applyBorder="1" applyAlignment="1" applyProtection="1">
      <alignment vertical="top" wrapText="1"/>
    </xf>
    <xf numFmtId="170" fontId="13" fillId="0" borderId="14" xfId="2" applyNumberFormat="1" applyFont="1" applyFill="1" applyBorder="1" applyAlignment="1" applyProtection="1">
      <alignment vertical="center"/>
    </xf>
    <xf numFmtId="170" fontId="13" fillId="0" borderId="14" xfId="2" applyNumberFormat="1" applyFont="1" applyFill="1" applyBorder="1" applyAlignment="1" applyProtection="1">
      <alignment vertical="top"/>
    </xf>
    <xf numFmtId="170" fontId="15" fillId="0" borderId="14" xfId="2" applyNumberFormat="1" applyFont="1" applyFill="1" applyBorder="1" applyProtection="1"/>
    <xf numFmtId="170" fontId="12" fillId="0" borderId="14" xfId="2" applyNumberFormat="1" applyFont="1" applyFill="1" applyBorder="1" applyProtection="1"/>
    <xf numFmtId="170" fontId="14" fillId="0" borderId="19" xfId="2" applyNumberFormat="1" applyFont="1" applyFill="1" applyBorder="1" applyProtection="1"/>
    <xf numFmtId="0" fontId="12" fillId="0" borderId="0" xfId="1" applyFont="1" applyAlignment="1">
      <alignment horizontal="right"/>
    </xf>
    <xf numFmtId="170" fontId="13" fillId="0" borderId="0" xfId="2" applyNumberFormat="1" applyFont="1" applyFill="1" applyBorder="1" applyProtection="1"/>
    <xf numFmtId="170" fontId="13" fillId="0" borderId="17" xfId="2" applyNumberFormat="1" applyFont="1" applyFill="1" applyBorder="1" applyAlignment="1" applyProtection="1">
      <alignment vertical="top"/>
      <protection locked="0"/>
    </xf>
    <xf numFmtId="170" fontId="13" fillId="0" borderId="19" xfId="2" applyNumberFormat="1" applyFont="1" applyFill="1" applyBorder="1" applyAlignment="1" applyProtection="1">
      <alignment vertical="top"/>
      <protection locked="0"/>
    </xf>
    <xf numFmtId="170" fontId="13" fillId="0" borderId="18" xfId="2" applyNumberFormat="1" applyFont="1" applyBorder="1" applyProtection="1">
      <protection locked="0"/>
    </xf>
    <xf numFmtId="0" fontId="17" fillId="12" borderId="0" xfId="1" applyFont="1" applyFill="1" applyAlignment="1" applyProtection="1">
      <alignment vertical="center"/>
      <protection locked="0"/>
    </xf>
    <xf numFmtId="1" fontId="13" fillId="5" borderId="24" xfId="1" applyNumberFormat="1" applyFont="1" applyFill="1" applyBorder="1" applyAlignment="1">
      <alignment vertical="top" wrapText="1"/>
    </xf>
    <xf numFmtId="4" fontId="4" fillId="0" borderId="0" xfId="6" applyNumberFormat="1" applyFont="1" applyProtection="1">
      <protection locked="0"/>
    </xf>
    <xf numFmtId="170" fontId="13" fillId="0" borderId="0" xfId="2" applyNumberFormat="1" applyFont="1" applyAlignment="1" applyProtection="1">
      <alignment vertical="top"/>
      <protection locked="0"/>
    </xf>
    <xf numFmtId="3" fontId="4" fillId="0" borderId="0" xfId="6" applyNumberFormat="1" applyFont="1" applyProtection="1">
      <protection locked="0"/>
    </xf>
    <xf numFmtId="170" fontId="14" fillId="0" borderId="0" xfId="2" applyNumberFormat="1" applyFont="1" applyAlignment="1" applyProtection="1">
      <alignment vertical="top" wrapText="1"/>
      <protection locked="0"/>
    </xf>
    <xf numFmtId="170" fontId="13" fillId="0" borderId="0" xfId="2" applyNumberFormat="1" applyFont="1" applyFill="1" applyAlignment="1" applyProtection="1">
      <alignment vertical="top"/>
      <protection locked="0"/>
    </xf>
    <xf numFmtId="170" fontId="13" fillId="0" borderId="12" xfId="2" applyNumberFormat="1" applyFont="1" applyFill="1" applyBorder="1" applyAlignment="1" applyProtection="1">
      <alignment horizontal="left" vertical="top" wrapText="1"/>
      <protection locked="0"/>
    </xf>
    <xf numFmtId="170" fontId="13" fillId="0" borderId="14" xfId="2" applyNumberFormat="1" applyFont="1" applyFill="1" applyBorder="1" applyAlignment="1" applyProtection="1">
      <alignment horizontal="left" vertical="top"/>
      <protection locked="0"/>
    </xf>
    <xf numFmtId="170" fontId="14" fillId="0" borderId="0" xfId="2" applyNumberFormat="1" applyFont="1" applyAlignment="1" applyProtection="1">
      <alignment vertical="top"/>
      <protection locked="0"/>
    </xf>
    <xf numFmtId="1" fontId="13" fillId="5" borderId="24" xfId="1" applyNumberFormat="1" applyFont="1" applyFill="1" applyBorder="1" applyAlignment="1">
      <alignment horizontal="right" wrapText="1"/>
    </xf>
    <xf numFmtId="1" fontId="14" fillId="5" borderId="12" xfId="1" applyNumberFormat="1" applyFont="1" applyFill="1" applyBorder="1" applyAlignment="1">
      <alignment horizontal="right" vertical="top"/>
    </xf>
    <xf numFmtId="0" fontId="4" fillId="0" borderId="0" xfId="6" applyFont="1" applyProtection="1">
      <protection locked="0"/>
    </xf>
    <xf numFmtId="0" fontId="12" fillId="10" borderId="0" xfId="1" applyFont="1" applyFill="1"/>
    <xf numFmtId="170" fontId="19" fillId="0" borderId="0" xfId="1" applyNumberFormat="1" applyFont="1" applyProtection="1">
      <protection locked="0"/>
    </xf>
    <xf numFmtId="0" fontId="17" fillId="12" borderId="0" xfId="1" applyFont="1" applyFill="1" applyAlignment="1">
      <alignment vertical="center"/>
    </xf>
    <xf numFmtId="170" fontId="13" fillId="0" borderId="16" xfId="7" applyNumberFormat="1" applyFont="1" applyBorder="1" applyProtection="1">
      <protection locked="0"/>
    </xf>
    <xf numFmtId="170" fontId="13" fillId="0" borderId="14" xfId="7" applyNumberFormat="1" applyFont="1" applyBorder="1" applyProtection="1">
      <protection locked="0"/>
    </xf>
    <xf numFmtId="170" fontId="13" fillId="0" borderId="19" xfId="7" applyNumberFormat="1" applyFont="1" applyBorder="1" applyProtection="1">
      <protection locked="0"/>
    </xf>
    <xf numFmtId="170" fontId="13" fillId="0" borderId="14" xfId="7" applyNumberFormat="1" applyFont="1" applyFill="1" applyBorder="1" applyProtection="1">
      <protection locked="0"/>
    </xf>
    <xf numFmtId="170" fontId="13" fillId="0" borderId="14" xfId="7" applyNumberFormat="1" applyFont="1" applyFill="1" applyBorder="1" applyAlignment="1" applyProtection="1">
      <alignment vertical="center"/>
      <protection locked="0"/>
    </xf>
    <xf numFmtId="170" fontId="14" fillId="0" borderId="14" xfId="7" applyNumberFormat="1" applyFont="1" applyFill="1" applyBorder="1" applyProtection="1">
      <protection locked="0"/>
    </xf>
    <xf numFmtId="170" fontId="14" fillId="0" borderId="19" xfId="7" applyNumberFormat="1" applyFont="1" applyFill="1" applyBorder="1" applyProtection="1">
      <protection locked="0"/>
    </xf>
    <xf numFmtId="170" fontId="13" fillId="0" borderId="18" xfId="7" applyNumberFormat="1" applyFont="1" applyFill="1" applyBorder="1" applyProtection="1">
      <protection locked="0"/>
    </xf>
    <xf numFmtId="170" fontId="13" fillId="0" borderId="14" xfId="7" applyNumberFormat="1" applyFont="1" applyFill="1" applyBorder="1" applyAlignment="1" applyProtection="1">
      <alignment vertical="top"/>
      <protection locked="0"/>
    </xf>
    <xf numFmtId="170" fontId="13" fillId="0" borderId="14" xfId="7" applyNumberFormat="1" applyFont="1" applyFill="1" applyBorder="1" applyAlignment="1" applyProtection="1">
      <alignment horizontal="right" vertical="top"/>
      <protection locked="0"/>
    </xf>
    <xf numFmtId="170" fontId="13" fillId="0" borderId="19" xfId="7" applyNumberFormat="1" applyFont="1" applyFill="1" applyBorder="1" applyProtection="1">
      <protection locked="0"/>
    </xf>
    <xf numFmtId="170" fontId="13" fillId="0" borderId="12" xfId="7" applyNumberFormat="1" applyFont="1" applyFill="1" applyBorder="1" applyProtection="1">
      <protection locked="0"/>
    </xf>
    <xf numFmtId="170" fontId="13" fillId="0" borderId="12" xfId="7" applyNumberFormat="1" applyFont="1" applyBorder="1" applyProtection="1">
      <protection locked="0"/>
    </xf>
    <xf numFmtId="170" fontId="13" fillId="0" borderId="17" xfId="7" applyNumberFormat="1" applyFont="1" applyBorder="1" applyProtection="1">
      <protection locked="0"/>
    </xf>
    <xf numFmtId="170" fontId="13" fillId="0" borderId="14" xfId="7" applyNumberFormat="1" applyFont="1" applyFill="1" applyBorder="1" applyAlignment="1" applyProtection="1">
      <alignment vertical="top" wrapText="1"/>
      <protection locked="0"/>
    </xf>
    <xf numFmtId="170" fontId="12" fillId="0" borderId="14" xfId="7" applyNumberFormat="1" applyFont="1" applyFill="1" applyBorder="1" applyProtection="1">
      <protection locked="0"/>
    </xf>
    <xf numFmtId="170" fontId="12" fillId="0" borderId="14" xfId="7" applyNumberFormat="1" applyFont="1" applyFill="1" applyBorder="1" applyAlignment="1" applyProtection="1">
      <alignment vertical="top" wrapText="1"/>
      <protection locked="0"/>
    </xf>
    <xf numFmtId="170" fontId="12" fillId="0" borderId="19" xfId="7" applyNumberFormat="1" applyFont="1" applyFill="1" applyBorder="1" applyProtection="1">
      <protection locked="0"/>
    </xf>
    <xf numFmtId="170" fontId="15" fillId="0" borderId="14" xfId="7" applyNumberFormat="1" applyFont="1" applyFill="1" applyBorder="1" applyProtection="1">
      <protection locked="0"/>
    </xf>
    <xf numFmtId="1" fontId="13" fillId="5" borderId="12" xfId="1" applyNumberFormat="1" applyFont="1" applyFill="1" applyBorder="1" applyAlignment="1">
      <alignment horizontal="right" wrapText="1"/>
    </xf>
    <xf numFmtId="0" fontId="13" fillId="5" borderId="12" xfId="1" applyFont="1" applyFill="1" applyBorder="1" applyAlignment="1">
      <alignment wrapText="1"/>
    </xf>
    <xf numFmtId="170" fontId="13" fillId="0" borderId="12" xfId="2" applyNumberFormat="1" applyFont="1" applyBorder="1" applyAlignment="1" applyProtection="1">
      <protection locked="0"/>
    </xf>
    <xf numFmtId="170" fontId="13" fillId="0" borderId="14" xfId="2" applyNumberFormat="1" applyFont="1" applyBorder="1" applyAlignment="1" applyProtection="1">
      <protection locked="0"/>
    </xf>
    <xf numFmtId="170" fontId="13" fillId="0" borderId="12" xfId="2" applyNumberFormat="1" applyFont="1" applyFill="1" applyBorder="1" applyAlignment="1" applyProtection="1">
      <protection locked="0"/>
    </xf>
    <xf numFmtId="170" fontId="13" fillId="0" borderId="14" xfId="2" applyNumberFormat="1" applyFont="1" applyFill="1" applyBorder="1" applyAlignment="1" applyProtection="1">
      <protection locked="0"/>
    </xf>
    <xf numFmtId="0" fontId="13" fillId="10" borderId="0" xfId="1" applyFont="1" applyFill="1" applyAlignment="1">
      <alignment horizontal="right" vertical="center" wrapText="1"/>
    </xf>
    <xf numFmtId="0" fontId="13" fillId="10" borderId="0" xfId="1" applyFont="1" applyFill="1" applyAlignment="1">
      <alignment vertical="center" wrapText="1"/>
    </xf>
    <xf numFmtId="172" fontId="13" fillId="10" borderId="0" xfId="3" applyNumberFormat="1" applyFont="1" applyFill="1" applyBorder="1" applyAlignment="1" applyProtection="1">
      <alignment vertical="center"/>
    </xf>
    <xf numFmtId="0" fontId="13" fillId="10" borderId="7" xfId="1" applyFont="1" applyFill="1" applyBorder="1" applyAlignment="1">
      <alignment horizontal="right" vertical="center" wrapText="1"/>
    </xf>
    <xf numFmtId="0" fontId="13" fillId="10" borderId="7" xfId="1" applyFont="1" applyFill="1" applyBorder="1" applyAlignment="1">
      <alignment vertical="center" wrapText="1"/>
    </xf>
    <xf numFmtId="0" fontId="13" fillId="10" borderId="2" xfId="1" applyFont="1" applyFill="1" applyBorder="1" applyAlignment="1">
      <alignment horizontal="left"/>
    </xf>
    <xf numFmtId="0" fontId="13" fillId="10" borderId="0" xfId="1" applyFont="1" applyFill="1" applyAlignment="1">
      <alignment horizontal="left"/>
    </xf>
    <xf numFmtId="0" fontId="13" fillId="10" borderId="7" xfId="1" applyFont="1" applyFill="1" applyBorder="1" applyAlignment="1">
      <alignment horizontal="left"/>
    </xf>
    <xf numFmtId="0" fontId="13" fillId="10" borderId="10" xfId="1" applyFont="1" applyFill="1" applyBorder="1" applyAlignment="1">
      <alignment horizontal="left"/>
    </xf>
    <xf numFmtId="169" fontId="13" fillId="3" borderId="0" xfId="2" applyFont="1" applyFill="1" applyProtection="1"/>
    <xf numFmtId="0" fontId="14" fillId="0" borderId="0" xfId="1" applyFont="1" applyAlignment="1" applyProtection="1">
      <alignment vertical="top"/>
      <protection locked="0"/>
    </xf>
    <xf numFmtId="170" fontId="12" fillId="5" borderId="10" xfId="2" quotePrefix="1" applyNumberFormat="1" applyFont="1" applyFill="1" applyBorder="1" applyProtection="1"/>
    <xf numFmtId="170" fontId="13" fillId="0" borderId="2" xfId="2" applyNumberFormat="1" applyFont="1" applyBorder="1" applyAlignment="1" applyProtection="1">
      <alignment vertical="top"/>
      <protection locked="0"/>
    </xf>
    <xf numFmtId="170" fontId="13" fillId="0" borderId="0" xfId="2" applyNumberFormat="1" applyFont="1" applyBorder="1" applyAlignment="1" applyProtection="1">
      <alignment vertical="top"/>
      <protection locked="0"/>
    </xf>
    <xf numFmtId="170" fontId="13" fillId="0" borderId="0" xfId="2" applyNumberFormat="1" applyFont="1" applyBorder="1" applyProtection="1">
      <protection locked="0"/>
    </xf>
    <xf numFmtId="170" fontId="13" fillId="0" borderId="0" xfId="2" applyNumberFormat="1" applyFont="1" applyBorder="1" applyProtection="1"/>
    <xf numFmtId="170" fontId="14" fillId="0" borderId="0" xfId="2" applyNumberFormat="1" applyFont="1" applyBorder="1" applyProtection="1">
      <protection locked="0"/>
    </xf>
    <xf numFmtId="170" fontId="14" fillId="0" borderId="0" xfId="2" applyNumberFormat="1" applyFont="1" applyBorder="1" applyAlignment="1" applyProtection="1">
      <alignment horizontal="right" vertical="top" wrapText="1"/>
      <protection locked="0"/>
    </xf>
    <xf numFmtId="170" fontId="13" fillId="0" borderId="0" xfId="2" applyNumberFormat="1" applyFont="1" applyFill="1" applyBorder="1" applyAlignment="1" applyProtection="1">
      <alignment vertical="top"/>
      <protection locked="0"/>
    </xf>
    <xf numFmtId="170" fontId="14" fillId="0" borderId="0" xfId="2" applyNumberFormat="1" applyFont="1" applyBorder="1" applyProtection="1"/>
    <xf numFmtId="170" fontId="13" fillId="0" borderId="0" xfId="2" applyNumberFormat="1" applyFont="1" applyFill="1" applyBorder="1" applyAlignment="1" applyProtection="1">
      <alignment vertical="center"/>
      <protection locked="0"/>
    </xf>
    <xf numFmtId="170" fontId="13" fillId="0" borderId="0" xfId="2" applyNumberFormat="1" applyFont="1" applyFill="1" applyBorder="1" applyAlignment="1" applyProtection="1">
      <alignment vertical="top" wrapText="1"/>
      <protection locked="0"/>
    </xf>
    <xf numFmtId="170" fontId="14" fillId="0" borderId="0" xfId="2" applyNumberFormat="1" applyFont="1" applyFill="1" applyBorder="1" applyProtection="1">
      <protection locked="0"/>
    </xf>
    <xf numFmtId="170" fontId="13" fillId="0" borderId="0" xfId="1" applyNumberFormat="1" applyFont="1"/>
    <xf numFmtId="170" fontId="13" fillId="0" borderId="21" xfId="2" applyNumberFormat="1" applyFont="1" applyFill="1" applyBorder="1" applyProtection="1">
      <protection locked="0"/>
    </xf>
    <xf numFmtId="170" fontId="13" fillId="0" borderId="23" xfId="2" applyNumberFormat="1" applyFont="1" applyFill="1" applyBorder="1" applyProtection="1">
      <protection locked="0"/>
    </xf>
    <xf numFmtId="170" fontId="13" fillId="0" borderId="22" xfId="2" applyNumberFormat="1" applyFont="1" applyFill="1" applyBorder="1" applyProtection="1">
      <protection locked="0"/>
    </xf>
    <xf numFmtId="170" fontId="14" fillId="0" borderId="22" xfId="2" applyNumberFormat="1" applyFont="1" applyFill="1" applyBorder="1" applyProtection="1">
      <protection locked="0"/>
    </xf>
    <xf numFmtId="170" fontId="13" fillId="0" borderId="30" xfId="2" applyNumberFormat="1" applyFont="1" applyFill="1" applyBorder="1" applyProtection="1">
      <protection locked="0"/>
    </xf>
    <xf numFmtId="170" fontId="14" fillId="0" borderId="0" xfId="2" applyNumberFormat="1" applyFont="1" applyFill="1" applyBorder="1" applyAlignment="1" applyProtection="1">
      <alignment vertical="top"/>
      <protection locked="0"/>
    </xf>
    <xf numFmtId="170" fontId="14" fillId="0" borderId="0" xfId="2" applyNumberFormat="1" applyFont="1" applyFill="1" applyBorder="1" applyAlignment="1" applyProtection="1">
      <alignment vertical="top" wrapText="1"/>
      <protection locked="0"/>
    </xf>
    <xf numFmtId="165" fontId="64" fillId="0" borderId="14" xfId="187" applyNumberFormat="1" applyFont="1" applyBorder="1" applyAlignment="1">
      <alignment horizontal="right" vertical="center"/>
    </xf>
    <xf numFmtId="38" fontId="62" fillId="0" borderId="13" xfId="88" applyNumberFormat="1" applyFont="1" applyBorder="1" applyAlignment="1">
      <alignment horizontal="right" vertical="center"/>
    </xf>
    <xf numFmtId="38" fontId="64" fillId="0" borderId="13" xfId="88" applyNumberFormat="1" applyFont="1" applyBorder="1" applyAlignment="1">
      <alignment horizontal="right" vertical="center"/>
    </xf>
    <xf numFmtId="38" fontId="64" fillId="0" borderId="93" xfId="88" applyNumberFormat="1" applyFont="1" applyBorder="1" applyAlignment="1">
      <alignment horizontal="right" vertical="center"/>
    </xf>
    <xf numFmtId="38" fontId="64" fillId="0" borderId="0" xfId="88" applyNumberFormat="1" applyFont="1" applyAlignment="1">
      <alignment horizontal="right" vertical="center"/>
    </xf>
    <xf numFmtId="38" fontId="4" fillId="0" borderId="0" xfId="88" applyNumberFormat="1" applyFont="1" applyAlignment="1">
      <alignment horizontal="right" vertical="center"/>
    </xf>
    <xf numFmtId="38" fontId="4" fillId="0" borderId="0" xfId="88" applyNumberFormat="1" applyFont="1" applyAlignment="1">
      <alignment horizontal="right"/>
    </xf>
    <xf numFmtId="164" fontId="4" fillId="0" borderId="0" xfId="159"/>
    <xf numFmtId="164" fontId="4" fillId="0" borderId="0" xfId="159" applyAlignment="1">
      <alignment vertical="center"/>
    </xf>
    <xf numFmtId="164" fontId="62" fillId="0" borderId="0" xfId="159" applyFont="1" applyAlignment="1">
      <alignment vertical="center"/>
    </xf>
    <xf numFmtId="164" fontId="63" fillId="0" borderId="52" xfId="159" applyFont="1" applyBorder="1" applyAlignment="1">
      <alignment vertical="center"/>
    </xf>
    <xf numFmtId="164" fontId="63" fillId="0" borderId="53" xfId="159" applyFont="1" applyBorder="1" applyAlignment="1">
      <alignment horizontal="right" vertical="center"/>
    </xf>
    <xf numFmtId="164" fontId="63" fillId="0" borderId="54" xfId="159" applyFont="1" applyBorder="1" applyAlignment="1">
      <alignment horizontal="right" vertical="center"/>
    </xf>
    <xf numFmtId="164" fontId="4" fillId="0" borderId="55" xfId="159" applyBorder="1"/>
    <xf numFmtId="164" fontId="63" fillId="0" borderId="56" xfId="159" applyFont="1" applyBorder="1" applyAlignment="1">
      <alignment vertical="center"/>
    </xf>
    <xf numFmtId="164" fontId="63" fillId="0" borderId="57" xfId="159" applyFont="1" applyBorder="1" applyAlignment="1">
      <alignment horizontal="right" vertical="center"/>
    </xf>
    <xf numFmtId="164" fontId="63" fillId="0" borderId="0" xfId="159" applyFont="1" applyAlignment="1">
      <alignment horizontal="right" vertical="center"/>
    </xf>
    <xf numFmtId="164" fontId="63" fillId="0" borderId="58" xfId="159" applyFont="1" applyBorder="1" applyAlignment="1">
      <alignment vertical="center"/>
    </xf>
    <xf numFmtId="164" fontId="63" fillId="0" borderId="59" xfId="159" applyFont="1" applyBorder="1" applyAlignment="1">
      <alignment vertical="center"/>
    </xf>
    <xf numFmtId="164" fontId="63" fillId="0" borderId="60" xfId="159" applyFont="1" applyBorder="1" applyAlignment="1">
      <alignment horizontal="right" vertical="center"/>
    </xf>
    <xf numFmtId="164" fontId="63" fillId="0" borderId="60" xfId="159" quotePrefix="1" applyFont="1" applyBorder="1" applyAlignment="1">
      <alignment horizontal="right" vertical="center"/>
    </xf>
    <xf numFmtId="164" fontId="63" fillId="0" borderId="7" xfId="159" applyFont="1" applyBorder="1" applyAlignment="1">
      <alignment horizontal="right" vertical="center"/>
    </xf>
    <xf numFmtId="164" fontId="64" fillId="0" borderId="61" xfId="159" applyFont="1" applyBorder="1" applyAlignment="1">
      <alignment vertical="center"/>
    </xf>
    <xf numFmtId="164" fontId="63" fillId="0" borderId="62" xfId="159" applyFont="1" applyBorder="1" applyAlignment="1">
      <alignment horizontal="centerContinuous" vertical="center"/>
    </xf>
    <xf numFmtId="164" fontId="64" fillId="0" borderId="2" xfId="159" applyFont="1" applyBorder="1" applyAlignment="1">
      <alignment horizontal="centerContinuous" vertical="center"/>
    </xf>
    <xf numFmtId="164" fontId="64" fillId="0" borderId="20" xfId="159" applyFont="1" applyBorder="1" applyAlignment="1">
      <alignment horizontal="centerContinuous" vertical="center"/>
    </xf>
    <xf numFmtId="164" fontId="64" fillId="0" borderId="2" xfId="159" applyFont="1" applyBorder="1" applyAlignment="1">
      <alignment vertical="center"/>
    </xf>
    <xf numFmtId="164" fontId="6" fillId="0" borderId="63" xfId="159" applyFont="1" applyBorder="1" applyAlignment="1">
      <alignment horizontal="left" vertical="center"/>
    </xf>
    <xf numFmtId="164" fontId="64" fillId="0" borderId="64" xfId="159" applyFont="1" applyBorder="1" applyAlignment="1">
      <alignment vertical="center"/>
    </xf>
    <xf numFmtId="168" fontId="64" fillId="0" borderId="15" xfId="159" applyNumberFormat="1" applyFont="1" applyBorder="1" applyAlignment="1">
      <alignment vertical="center"/>
    </xf>
    <xf numFmtId="165" fontId="64" fillId="0" borderId="18" xfId="159" applyNumberFormat="1" applyFont="1" applyBorder="1" applyAlignment="1">
      <alignment horizontal="right" vertical="center"/>
    </xf>
    <xf numFmtId="164" fontId="6" fillId="0" borderId="65" xfId="159" applyFont="1" applyBorder="1" applyAlignment="1">
      <alignment horizontal="left" vertical="center"/>
    </xf>
    <xf numFmtId="164" fontId="64" fillId="0" borderId="66" xfId="159" applyFont="1" applyBorder="1" applyAlignment="1">
      <alignment vertical="center"/>
    </xf>
    <xf numFmtId="168" fontId="64" fillId="0" borderId="12" xfId="159" applyNumberFormat="1" applyFont="1" applyBorder="1" applyAlignment="1">
      <alignment vertical="center"/>
    </xf>
    <xf numFmtId="165" fontId="64" fillId="0" borderId="14" xfId="159" quotePrefix="1" applyNumberFormat="1" applyFont="1" applyBorder="1" applyAlignment="1">
      <alignment horizontal="right" vertical="center"/>
    </xf>
    <xf numFmtId="164" fontId="6" fillId="0" borderId="67" xfId="159" applyFont="1" applyBorder="1" applyAlignment="1">
      <alignment horizontal="left" vertical="center"/>
    </xf>
    <xf numFmtId="165" fontId="64" fillId="0" borderId="14" xfId="159" applyNumberFormat="1" applyFont="1" applyBorder="1" applyAlignment="1">
      <alignment horizontal="right" vertical="center"/>
    </xf>
    <xf numFmtId="164" fontId="4" fillId="0" borderId="67" xfId="159" applyBorder="1"/>
    <xf numFmtId="164" fontId="64" fillId="0" borderId="68" xfId="159" applyFont="1" applyBorder="1" applyAlignment="1">
      <alignment vertical="center"/>
    </xf>
    <xf numFmtId="168" fontId="64" fillId="0" borderId="17" xfId="159" applyNumberFormat="1" applyFont="1" applyBorder="1" applyAlignment="1">
      <alignment vertical="center"/>
    </xf>
    <xf numFmtId="165" fontId="64" fillId="0" borderId="19" xfId="159" applyNumberFormat="1" applyFont="1" applyBorder="1" applyAlignment="1">
      <alignment horizontal="right" vertical="center"/>
    </xf>
    <xf numFmtId="164" fontId="6" fillId="0" borderId="69" xfId="159" applyFont="1" applyBorder="1" applyAlignment="1">
      <alignment horizontal="left" vertical="center"/>
    </xf>
    <xf numFmtId="164" fontId="64" fillId="0" borderId="70" xfId="159" applyFont="1" applyBorder="1" applyAlignment="1">
      <alignment vertical="center"/>
    </xf>
    <xf numFmtId="37" fontId="64" fillId="0" borderId="71" xfId="159" applyNumberFormat="1" applyFont="1" applyBorder="1" applyAlignment="1">
      <alignment vertical="center"/>
    </xf>
    <xf numFmtId="165" fontId="64" fillId="0" borderId="62" xfId="159" applyNumberFormat="1" applyFont="1" applyBorder="1" applyAlignment="1">
      <alignment vertical="center"/>
    </xf>
    <xf numFmtId="164" fontId="6" fillId="0" borderId="58" xfId="159" applyFont="1" applyBorder="1" applyAlignment="1">
      <alignment horizontal="left" vertical="center"/>
    </xf>
    <xf numFmtId="164" fontId="64" fillId="0" borderId="72" xfId="159" applyFont="1" applyBorder="1" applyAlignment="1">
      <alignment vertical="center"/>
    </xf>
    <xf numFmtId="168" fontId="64" fillId="0" borderId="57" xfId="159" applyNumberFormat="1" applyFont="1" applyBorder="1" applyAlignment="1">
      <alignment vertical="center"/>
    </xf>
    <xf numFmtId="37" fontId="64" fillId="0" borderId="57" xfId="159" applyNumberFormat="1" applyFont="1" applyBorder="1" applyAlignment="1">
      <alignment vertical="center"/>
    </xf>
    <xf numFmtId="165" fontId="64" fillId="0" borderId="73" xfId="159" applyNumberFormat="1" applyFont="1" applyBorder="1" applyAlignment="1">
      <alignment vertical="center"/>
    </xf>
    <xf numFmtId="167" fontId="4" fillId="0" borderId="74" xfId="159" applyNumberFormat="1" applyBorder="1" applyAlignment="1">
      <alignment vertical="center"/>
    </xf>
    <xf numFmtId="164" fontId="64" fillId="0" borderId="75" xfId="159" applyFont="1" applyBorder="1" applyAlignment="1">
      <alignment vertical="center"/>
    </xf>
    <xf numFmtId="164" fontId="6" fillId="0" borderId="76" xfId="159" applyFont="1" applyBorder="1" applyAlignment="1">
      <alignment horizontal="left" vertical="center"/>
    </xf>
    <xf numFmtId="164" fontId="64" fillId="0" borderId="0" xfId="159" applyFont="1" applyAlignment="1">
      <alignment vertical="center"/>
    </xf>
    <xf numFmtId="167" fontId="4" fillId="0" borderId="0" xfId="159" applyNumberFormat="1"/>
    <xf numFmtId="164" fontId="4" fillId="0" borderId="0" xfId="159" quotePrefix="1" applyAlignment="1">
      <alignment horizontal="left" vertical="center"/>
    </xf>
    <xf numFmtId="164" fontId="4" fillId="0" borderId="0" xfId="159" applyAlignment="1">
      <alignment horizontal="left" vertical="center"/>
    </xf>
    <xf numFmtId="164" fontId="63" fillId="0" borderId="71" xfId="159" applyFont="1" applyBorder="1" applyAlignment="1">
      <alignment horizontal="centerContinuous" vertical="center"/>
    </xf>
    <xf numFmtId="164" fontId="64" fillId="0" borderId="71" xfId="159" applyFont="1" applyBorder="1" applyAlignment="1">
      <alignment horizontal="centerContinuous" vertical="center"/>
    </xf>
    <xf numFmtId="164" fontId="4" fillId="0" borderId="0" xfId="159" quotePrefix="1" applyAlignment="1">
      <alignment horizontal="left" vertical="center" wrapText="1"/>
    </xf>
    <xf numFmtId="167" fontId="64" fillId="0" borderId="74" xfId="159" applyNumberFormat="1" applyFont="1" applyBorder="1" applyAlignment="1">
      <alignment vertical="center"/>
    </xf>
    <xf numFmtId="164" fontId="64" fillId="0" borderId="77" xfId="159" applyFont="1" applyBorder="1" applyAlignment="1">
      <alignment vertical="center"/>
    </xf>
    <xf numFmtId="168" fontId="64" fillId="0" borderId="15" xfId="159" quotePrefix="1" applyNumberFormat="1" applyFont="1" applyBorder="1" applyAlignment="1">
      <alignment vertical="center"/>
    </xf>
    <xf numFmtId="165" fontId="64" fillId="0" borderId="78" xfId="159" applyNumberFormat="1" applyFont="1" applyBorder="1" applyAlignment="1">
      <alignment horizontal="right" vertical="center"/>
    </xf>
    <xf numFmtId="164" fontId="64" fillId="0" borderId="79" xfId="159" applyFont="1" applyBorder="1" applyAlignment="1">
      <alignment vertical="center"/>
    </xf>
    <xf numFmtId="164" fontId="64" fillId="0" borderId="0" xfId="159" applyFont="1" applyAlignment="1">
      <alignment horizontal="right"/>
    </xf>
    <xf numFmtId="164" fontId="64" fillId="0" borderId="0" xfId="159" applyFont="1"/>
    <xf numFmtId="164" fontId="65" fillId="0" borderId="52" xfId="159" applyFont="1" applyBorder="1" applyAlignment="1">
      <alignment horizontal="left" vertical="center"/>
    </xf>
    <xf numFmtId="38" fontId="5" fillId="0" borderId="53" xfId="159" applyNumberFormat="1" applyFont="1" applyBorder="1" applyAlignment="1">
      <alignment horizontal="right" vertical="center"/>
    </xf>
    <xf numFmtId="38" fontId="5" fillId="0" borderId="54" xfId="159" applyNumberFormat="1" applyFont="1" applyBorder="1" applyAlignment="1">
      <alignment horizontal="right" vertical="center"/>
    </xf>
    <xf numFmtId="164" fontId="4" fillId="0" borderId="0" xfId="159" applyAlignment="1">
      <alignment horizontal="right"/>
    </xf>
    <xf numFmtId="164" fontId="65" fillId="0" borderId="56" xfId="159" applyFont="1" applyBorder="1" applyAlignment="1">
      <alignment horizontal="left" vertical="center"/>
    </xf>
    <xf numFmtId="0" fontId="5" fillId="0" borderId="57" xfId="159" applyNumberFormat="1" applyFont="1" applyBorder="1" applyAlignment="1">
      <alignment horizontal="right" vertical="center"/>
    </xf>
    <xf numFmtId="38" fontId="66" fillId="0" borderId="57" xfId="159" applyNumberFormat="1" applyFont="1" applyBorder="1" applyAlignment="1">
      <alignment horizontal="right" vertical="center"/>
    </xf>
    <xf numFmtId="167" fontId="5" fillId="0" borderId="73" xfId="159" applyNumberFormat="1" applyFont="1" applyBorder="1" applyAlignment="1">
      <alignment horizontal="right" vertical="center"/>
    </xf>
    <xf numFmtId="164" fontId="4" fillId="0" borderId="58" xfId="159" applyBorder="1" applyAlignment="1">
      <alignment vertical="center"/>
    </xf>
    <xf numFmtId="167" fontId="63" fillId="0" borderId="59" xfId="159" applyNumberFormat="1" applyFont="1" applyBorder="1" applyAlignment="1">
      <alignment horizontal="left" vertical="center"/>
    </xf>
    <xf numFmtId="0" fontId="5" fillId="0" borderId="60" xfId="159" applyNumberFormat="1" applyFont="1" applyBorder="1" applyAlignment="1">
      <alignment horizontal="right" vertical="center"/>
    </xf>
    <xf numFmtId="167" fontId="5" fillId="0" borderId="60" xfId="159" applyNumberFormat="1" applyFont="1" applyBorder="1" applyAlignment="1">
      <alignment horizontal="right" vertical="center"/>
    </xf>
    <xf numFmtId="167" fontId="5" fillId="0" borderId="7" xfId="159" applyNumberFormat="1" applyFont="1" applyBorder="1" applyAlignment="1">
      <alignment horizontal="right" vertical="center"/>
    </xf>
    <xf numFmtId="164" fontId="4" fillId="0" borderId="58" xfId="159" applyBorder="1"/>
    <xf numFmtId="164" fontId="4" fillId="0" borderId="61" xfId="159" applyBorder="1" applyAlignment="1">
      <alignment horizontal="left" vertical="center"/>
    </xf>
    <xf numFmtId="167" fontId="65" fillId="0" borderId="71" xfId="159" applyNumberFormat="1" applyFont="1" applyBorder="1" applyAlignment="1">
      <alignment horizontal="center" vertical="center"/>
    </xf>
    <xf numFmtId="38" fontId="63" fillId="0" borderId="71" xfId="159" applyNumberFormat="1" applyFont="1" applyBorder="1" applyAlignment="1">
      <alignment horizontal="center" vertical="center" wrapText="1"/>
    </xf>
    <xf numFmtId="167" fontId="63" fillId="0" borderId="2" xfId="159" quotePrefix="1" applyNumberFormat="1" applyFont="1" applyBorder="1" applyAlignment="1">
      <alignment horizontal="center" vertical="center" wrapText="1"/>
    </xf>
    <xf numFmtId="164" fontId="63" fillId="0" borderId="63" xfId="159" applyFont="1" applyBorder="1" applyAlignment="1">
      <alignment vertical="center"/>
    </xf>
    <xf numFmtId="164" fontId="4" fillId="0" borderId="0" xfId="159" applyAlignment="1">
      <alignment horizontal="right" vertical="center"/>
    </xf>
    <xf numFmtId="164" fontId="4" fillId="0" borderId="0" xfId="159" applyAlignment="1">
      <alignment horizontal="center" vertical="center"/>
    </xf>
    <xf numFmtId="164" fontId="64" fillId="0" borderId="82" xfId="159" applyFont="1" applyBorder="1" applyAlignment="1">
      <alignment vertical="center"/>
    </xf>
    <xf numFmtId="168" fontId="64" fillId="0" borderId="13" xfId="159" quotePrefix="1" applyNumberFormat="1" applyFont="1" applyBorder="1" applyAlignment="1">
      <alignment vertical="center"/>
    </xf>
    <xf numFmtId="164" fontId="63" fillId="0" borderId="91" xfId="159" applyFont="1" applyBorder="1" applyAlignment="1">
      <alignment vertical="center"/>
    </xf>
    <xf numFmtId="164" fontId="64" fillId="0" borderId="56" xfId="159" applyFont="1" applyBorder="1" applyAlignment="1">
      <alignment vertical="center"/>
    </xf>
    <xf numFmtId="168" fontId="64" fillId="0" borderId="57" xfId="159" quotePrefix="1" applyNumberFormat="1" applyFont="1" applyBorder="1" applyAlignment="1">
      <alignment vertical="center"/>
    </xf>
    <xf numFmtId="164" fontId="6" fillId="0" borderId="83" xfId="159" applyFont="1" applyBorder="1" applyAlignment="1">
      <alignment horizontal="left" vertical="center"/>
    </xf>
    <xf numFmtId="164" fontId="64" fillId="0" borderId="84" xfId="159" applyFont="1" applyBorder="1" applyAlignment="1">
      <alignment vertical="center"/>
    </xf>
    <xf numFmtId="168" fontId="64" fillId="0" borderId="80" xfId="159" quotePrefix="1" applyNumberFormat="1" applyFont="1" applyBorder="1" applyAlignment="1">
      <alignment vertical="center"/>
    </xf>
    <xf numFmtId="164" fontId="4" fillId="0" borderId="81" xfId="159" applyBorder="1"/>
    <xf numFmtId="164" fontId="4" fillId="0" borderId="85" xfId="159" applyBorder="1" applyAlignment="1">
      <alignment horizontal="left" vertical="center"/>
    </xf>
    <xf numFmtId="38" fontId="64" fillId="0" borderId="86" xfId="159" applyNumberFormat="1" applyFont="1" applyBorder="1" applyAlignment="1">
      <alignment horizontal="right" vertical="center"/>
    </xf>
    <xf numFmtId="38" fontId="6" fillId="0" borderId="87" xfId="159" applyNumberFormat="1" applyFont="1" applyBorder="1" applyAlignment="1">
      <alignment horizontal="right" vertical="center"/>
    </xf>
    <xf numFmtId="164" fontId="5" fillId="0" borderId="0" xfId="159" applyFont="1" applyAlignment="1">
      <alignment horizontal="left" vertical="center"/>
    </xf>
    <xf numFmtId="38" fontId="64" fillId="0" borderId="54" xfId="159" applyNumberFormat="1" applyFont="1" applyBorder="1" applyAlignment="1">
      <alignment horizontal="right" vertical="center"/>
    </xf>
    <xf numFmtId="38" fontId="6" fillId="0" borderId="0" xfId="159" applyNumberFormat="1" applyFont="1" applyAlignment="1">
      <alignment horizontal="right" vertical="center"/>
    </xf>
    <xf numFmtId="38" fontId="64" fillId="0" borderId="0" xfId="159" applyNumberFormat="1" applyFont="1" applyAlignment="1">
      <alignment horizontal="right" vertical="center"/>
    </xf>
    <xf numFmtId="38" fontId="4" fillId="0" borderId="0" xfId="159" applyNumberFormat="1" applyAlignment="1">
      <alignment horizontal="right" vertical="center"/>
    </xf>
    <xf numFmtId="164" fontId="4" fillId="0" borderId="0" xfId="159" applyAlignment="1">
      <alignment horizontal="left"/>
    </xf>
    <xf numFmtId="38" fontId="4" fillId="0" borderId="0" xfId="159" applyNumberFormat="1" applyAlignment="1">
      <alignment horizontal="right"/>
    </xf>
    <xf numFmtId="38" fontId="64" fillId="0" borderId="0" xfId="159" applyNumberFormat="1" applyFont="1" applyAlignment="1">
      <alignment horizontal="right"/>
    </xf>
    <xf numFmtId="38" fontId="63" fillId="0" borderId="0" xfId="159" applyNumberFormat="1" applyFont="1" applyAlignment="1">
      <alignment horizontal="right" vertical="center"/>
    </xf>
    <xf numFmtId="38" fontId="5" fillId="0" borderId="0" xfId="159" applyNumberFormat="1" applyFont="1" applyAlignment="1">
      <alignment horizontal="right" vertical="center"/>
    </xf>
    <xf numFmtId="164" fontId="4" fillId="0" borderId="88" xfId="159" applyBorder="1" applyAlignment="1">
      <alignment vertical="center"/>
    </xf>
    <xf numFmtId="167" fontId="9" fillId="0" borderId="80" xfId="159" applyNumberFormat="1" applyFont="1" applyBorder="1" applyAlignment="1">
      <alignment horizontal="center" vertical="center" wrapText="1"/>
    </xf>
    <xf numFmtId="167" fontId="63" fillId="0" borderId="80" xfId="159" applyNumberFormat="1" applyFont="1" applyBorder="1" applyAlignment="1">
      <alignment horizontal="center" vertical="center" wrapText="1"/>
    </xf>
    <xf numFmtId="167" fontId="65" fillId="0" borderId="80" xfId="159" applyNumberFormat="1" applyFont="1" applyBorder="1" applyAlignment="1">
      <alignment horizontal="center" vertical="center"/>
    </xf>
    <xf numFmtId="164" fontId="4" fillId="0" borderId="57" xfId="159" applyBorder="1" applyAlignment="1">
      <alignment horizontal="center" vertical="center"/>
    </xf>
    <xf numFmtId="167" fontId="63" fillId="0" borderId="10" xfId="159" quotePrefix="1" applyNumberFormat="1" applyFont="1" applyBorder="1" applyAlignment="1">
      <alignment horizontal="center" vertical="center" wrapText="1"/>
    </xf>
    <xf numFmtId="164" fontId="63" fillId="0" borderId="81" xfId="159" applyFont="1" applyBorder="1" applyAlignment="1">
      <alignment vertical="center"/>
    </xf>
    <xf numFmtId="164" fontId="64" fillId="0" borderId="0" xfId="159" applyFont="1" applyAlignment="1">
      <alignment horizontal="right" vertical="center"/>
    </xf>
    <xf numFmtId="164" fontId="6" fillId="0" borderId="0" xfId="159" applyFont="1" applyAlignment="1">
      <alignment horizontal="right" vertical="center"/>
    </xf>
    <xf numFmtId="164" fontId="64" fillId="0" borderId="82" xfId="159" applyFont="1" applyBorder="1" applyAlignment="1">
      <alignment horizontal="left" vertical="center"/>
    </xf>
    <xf numFmtId="38" fontId="62" fillId="0" borderId="13" xfId="159" applyNumberFormat="1" applyFont="1" applyBorder="1" applyAlignment="1">
      <alignment horizontal="right" vertical="center"/>
    </xf>
    <xf numFmtId="38" fontId="64" fillId="0" borderId="13" xfId="159" applyNumberFormat="1" applyFont="1" applyBorder="1" applyAlignment="1">
      <alignment horizontal="right" vertical="center"/>
    </xf>
    <xf numFmtId="38" fontId="64" fillId="0" borderId="2" xfId="159" applyNumberFormat="1" applyFont="1" applyBorder="1" applyAlignment="1">
      <alignment horizontal="right" vertical="center"/>
    </xf>
    <xf numFmtId="164" fontId="63" fillId="0" borderId="65" xfId="159" applyFont="1" applyBorder="1" applyAlignment="1">
      <alignment vertical="center"/>
    </xf>
    <xf numFmtId="37" fontId="64" fillId="0" borderId="0" xfId="159" applyNumberFormat="1" applyFont="1" applyAlignment="1">
      <alignment horizontal="right" vertical="center"/>
    </xf>
    <xf numFmtId="165" fontId="64" fillId="0" borderId="0" xfId="159" applyNumberFormat="1" applyFont="1" applyAlignment="1">
      <alignment horizontal="right" vertical="center"/>
    </xf>
    <xf numFmtId="164" fontId="64" fillId="0" borderId="89" xfId="159" applyFont="1" applyBorder="1" applyAlignment="1">
      <alignment horizontal="left" vertical="center"/>
    </xf>
    <xf numFmtId="38" fontId="64" fillId="0" borderId="12" xfId="159" applyNumberFormat="1" applyFont="1" applyBorder="1" applyAlignment="1">
      <alignment horizontal="right" vertical="center"/>
    </xf>
    <xf numFmtId="38" fontId="64" fillId="0" borderId="12" xfId="159" quotePrefix="1" applyNumberFormat="1" applyFont="1" applyBorder="1" applyAlignment="1">
      <alignment horizontal="right" vertical="center"/>
    </xf>
    <xf numFmtId="38" fontId="64" fillId="0" borderId="22" xfId="159" applyNumberFormat="1" applyFont="1" applyBorder="1" applyAlignment="1">
      <alignment horizontal="right" vertical="center"/>
    </xf>
    <xf numFmtId="165" fontId="64" fillId="0" borderId="0" xfId="159" quotePrefix="1" applyNumberFormat="1" applyFont="1" applyAlignment="1">
      <alignment horizontal="right" vertical="center"/>
    </xf>
    <xf numFmtId="38" fontId="62" fillId="0" borderId="12" xfId="159" applyNumberFormat="1" applyFont="1" applyBorder="1" applyAlignment="1">
      <alignment horizontal="right" vertical="center"/>
    </xf>
    <xf numFmtId="164" fontId="64" fillId="0" borderId="66" xfId="159" applyFont="1" applyBorder="1" applyAlignment="1">
      <alignment horizontal="left" vertical="center"/>
    </xf>
    <xf numFmtId="38" fontId="62" fillId="0" borderId="14" xfId="159" quotePrefix="1" applyNumberFormat="1" applyFont="1" applyBorder="1" applyAlignment="1">
      <alignment horizontal="right" vertical="center"/>
    </xf>
    <xf numFmtId="38" fontId="64" fillId="0" borderId="14" xfId="159" applyNumberFormat="1" applyFont="1" applyBorder="1" applyAlignment="1">
      <alignment horizontal="right" vertical="center"/>
    </xf>
    <xf numFmtId="38" fontId="64" fillId="0" borderId="14" xfId="159" quotePrefix="1" applyNumberFormat="1" applyFont="1" applyBorder="1" applyAlignment="1">
      <alignment horizontal="right" vertical="center"/>
    </xf>
    <xf numFmtId="38" fontId="62" fillId="0" borderId="14" xfId="159" applyNumberFormat="1" applyFont="1" applyBorder="1" applyAlignment="1">
      <alignment horizontal="right" vertical="center"/>
    </xf>
    <xf numFmtId="164" fontId="64" fillId="0" borderId="90" xfId="159" applyFont="1" applyBorder="1" applyAlignment="1">
      <alignment horizontal="left" vertical="center"/>
    </xf>
    <xf numFmtId="38" fontId="64" fillId="0" borderId="16" xfId="159" applyNumberFormat="1" applyFont="1" applyBorder="1" applyAlignment="1">
      <alignment horizontal="right" vertical="center"/>
    </xf>
    <xf numFmtId="164" fontId="4" fillId="0" borderId="91" xfId="159" applyBorder="1"/>
    <xf numFmtId="164" fontId="63" fillId="0" borderId="92" xfId="159" quotePrefix="1" applyFont="1" applyBorder="1" applyAlignment="1">
      <alignment horizontal="left" vertical="center"/>
    </xf>
    <xf numFmtId="38" fontId="64" fillId="0" borderId="93" xfId="159" applyNumberFormat="1" applyFont="1" applyBorder="1" applyAlignment="1">
      <alignment horizontal="right" vertical="center"/>
    </xf>
    <xf numFmtId="38" fontId="63" fillId="0" borderId="93" xfId="159" quotePrefix="1" applyNumberFormat="1" applyFont="1" applyBorder="1" applyAlignment="1">
      <alignment horizontal="left" vertical="center"/>
    </xf>
    <xf numFmtId="38" fontId="6" fillId="0" borderId="94" xfId="159" applyNumberFormat="1" applyFont="1" applyBorder="1" applyAlignment="1">
      <alignment horizontal="right" vertical="center"/>
    </xf>
    <xf numFmtId="164" fontId="5" fillId="0" borderId="0" xfId="159" applyFont="1" applyAlignment="1">
      <alignment horizontal="left"/>
    </xf>
    <xf numFmtId="164" fontId="4" fillId="0" borderId="88" xfId="159" applyBorder="1" applyAlignment="1">
      <alignment horizontal="left" vertical="center"/>
    </xf>
    <xf numFmtId="38" fontId="63" fillId="0" borderId="80" xfId="159" applyNumberFormat="1" applyFont="1" applyBorder="1" applyAlignment="1">
      <alignment horizontal="center" vertical="center" wrapText="1"/>
    </xf>
    <xf numFmtId="167" fontId="63" fillId="0" borderId="10" xfId="159" applyNumberFormat="1" applyFont="1" applyBorder="1" applyAlignment="1">
      <alignment horizontal="center" vertical="center" wrapText="1"/>
    </xf>
    <xf numFmtId="164" fontId="64" fillId="0" borderId="77" xfId="159" applyFont="1" applyBorder="1" applyAlignment="1">
      <alignment horizontal="left" vertical="center"/>
    </xf>
    <xf numFmtId="174" fontId="62" fillId="0" borderId="15" xfId="159" applyNumberFormat="1" applyFont="1" applyBorder="1" applyAlignment="1">
      <alignment horizontal="right" vertical="center"/>
    </xf>
    <xf numFmtId="174" fontId="64" fillId="0" borderId="15" xfId="159" applyNumberFormat="1" applyFont="1" applyBorder="1" applyAlignment="1">
      <alignment horizontal="right" vertical="center"/>
    </xf>
    <xf numFmtId="174" fontId="64" fillId="0" borderId="0" xfId="159" applyNumberFormat="1" applyFont="1" applyAlignment="1">
      <alignment horizontal="right" vertical="center"/>
    </xf>
    <xf numFmtId="174" fontId="64" fillId="0" borderId="12" xfId="159" applyNumberFormat="1" applyFont="1" applyBorder="1" applyAlignment="1">
      <alignment horizontal="right" vertical="center"/>
    </xf>
    <xf numFmtId="174" fontId="64" fillId="0" borderId="12" xfId="159" quotePrefix="1" applyNumberFormat="1" applyFont="1" applyBorder="1" applyAlignment="1">
      <alignment horizontal="right" vertical="center"/>
    </xf>
    <xf numFmtId="174" fontId="64" fillId="0" borderId="22" xfId="159" applyNumberFormat="1" applyFont="1" applyBorder="1" applyAlignment="1">
      <alignment horizontal="right" vertical="center"/>
    </xf>
    <xf numFmtId="174" fontId="62" fillId="0" borderId="12" xfId="159" applyNumberFormat="1" applyFont="1" applyBorder="1" applyAlignment="1">
      <alignment horizontal="right" vertical="center"/>
    </xf>
    <xf numFmtId="174" fontId="64" fillId="0" borderId="22" xfId="159" quotePrefix="1" applyNumberFormat="1" applyFont="1" applyBorder="1" applyAlignment="1">
      <alignment horizontal="right" vertical="center"/>
    </xf>
    <xf numFmtId="174" fontId="62" fillId="0" borderId="12" xfId="159" quotePrefix="1" applyNumberFormat="1" applyFont="1" applyBorder="1" applyAlignment="1">
      <alignment horizontal="right" vertical="center"/>
    </xf>
    <xf numFmtId="174" fontId="64" fillId="0" borderId="14" xfId="159" applyNumberFormat="1" applyFont="1" applyBorder="1" applyAlignment="1">
      <alignment horizontal="right" vertical="center"/>
    </xf>
    <xf numFmtId="174" fontId="64" fillId="0" borderId="14" xfId="159" quotePrefix="1" applyNumberFormat="1" applyFont="1" applyBorder="1" applyAlignment="1">
      <alignment horizontal="right" vertical="center"/>
    </xf>
    <xf numFmtId="164" fontId="64" fillId="0" borderId="68" xfId="159" applyFont="1" applyBorder="1" applyAlignment="1">
      <alignment horizontal="left" vertical="center"/>
    </xf>
    <xf numFmtId="174" fontId="64" fillId="0" borderId="17" xfId="159" applyNumberFormat="1" applyFont="1" applyBorder="1" applyAlignment="1">
      <alignment horizontal="right" vertical="center"/>
    </xf>
    <xf numFmtId="174" fontId="62" fillId="0" borderId="17" xfId="159" applyNumberFormat="1" applyFont="1" applyBorder="1" applyAlignment="1">
      <alignment horizontal="right" vertical="center"/>
    </xf>
    <xf numFmtId="174" fontId="64" fillId="0" borderId="19" xfId="159" applyNumberFormat="1" applyFont="1" applyBorder="1" applyAlignment="1">
      <alignment horizontal="right" vertical="center"/>
    </xf>
    <xf numFmtId="164" fontId="64" fillId="0" borderId="95" xfId="159" applyFont="1" applyBorder="1" applyAlignment="1">
      <alignment horizontal="left" vertical="center"/>
    </xf>
    <xf numFmtId="165" fontId="64" fillId="0" borderId="96" xfId="159" applyNumberFormat="1" applyFont="1" applyBorder="1" applyAlignment="1">
      <alignment horizontal="right" vertical="center"/>
    </xf>
    <xf numFmtId="174" fontId="64" fillId="0" borderId="96" xfId="159" applyNumberFormat="1" applyFont="1" applyBorder="1" applyAlignment="1">
      <alignment horizontal="right" vertical="center"/>
    </xf>
    <xf numFmtId="174" fontId="64" fillId="0" borderId="98" xfId="159" applyNumberFormat="1" applyFont="1" applyBorder="1" applyAlignment="1">
      <alignment horizontal="right" vertical="center"/>
    </xf>
    <xf numFmtId="164" fontId="4" fillId="0" borderId="97" xfId="159" applyBorder="1"/>
    <xf numFmtId="0" fontId="12" fillId="5" borderId="2" xfId="1" applyFont="1" applyFill="1" applyBorder="1" applyAlignment="1">
      <alignment horizontal="left" vertical="center"/>
    </xf>
    <xf numFmtId="0" fontId="10" fillId="5" borderId="2" xfId="1" applyFill="1" applyBorder="1" applyAlignment="1">
      <alignment horizontal="left" vertical="center"/>
    </xf>
    <xf numFmtId="0" fontId="12" fillId="7" borderId="10" xfId="1" applyFont="1" applyFill="1" applyBorder="1" applyAlignment="1">
      <alignment horizontal="left" vertical="center"/>
    </xf>
    <xf numFmtId="0" fontId="10" fillId="7" borderId="10" xfId="1" applyFill="1" applyBorder="1" applyAlignment="1">
      <alignment horizontal="left" vertical="center"/>
    </xf>
    <xf numFmtId="0" fontId="13" fillId="0" borderId="0" xfId="1" applyFont="1" applyAlignment="1">
      <alignment horizontal="left"/>
    </xf>
    <xf numFmtId="0" fontId="10" fillId="0" borderId="0" xfId="1" applyAlignment="1">
      <alignment horizontal="left"/>
    </xf>
    <xf numFmtId="164" fontId="62" fillId="0" borderId="75" xfId="159" applyFont="1" applyBorder="1" applyAlignment="1">
      <alignment horizontal="center" vertical="top" wrapText="1"/>
    </xf>
    <xf numFmtId="164" fontId="62" fillId="0" borderId="0" xfId="159" applyFont="1" applyAlignment="1">
      <alignment horizontal="center" vertical="top" wrapText="1"/>
    </xf>
    <xf numFmtId="164" fontId="4" fillId="0" borderId="0" xfId="159" applyAlignment="1">
      <alignment horizontal="center" vertical="top"/>
    </xf>
  </cellXfs>
  <cellStyles count="240">
    <cellStyle name="20% - Akzent1" xfId="8" xr:uid="{00000000-0005-0000-0000-000000000000}"/>
    <cellStyle name="20% - Akzent2" xfId="9" xr:uid="{00000000-0005-0000-0000-000001000000}"/>
    <cellStyle name="20% - Akzent3" xfId="10" xr:uid="{00000000-0005-0000-0000-000002000000}"/>
    <cellStyle name="20% - Akzent4" xfId="11" xr:uid="{00000000-0005-0000-0000-000003000000}"/>
    <cellStyle name="20% - Akzent5" xfId="12" xr:uid="{00000000-0005-0000-0000-000004000000}"/>
    <cellStyle name="20% - Akzent6" xfId="13" xr:uid="{00000000-0005-0000-0000-000005000000}"/>
    <cellStyle name="40% - Akzent1" xfId="14" xr:uid="{00000000-0005-0000-0000-000006000000}"/>
    <cellStyle name="40% - Akzent2" xfId="15" xr:uid="{00000000-0005-0000-0000-000007000000}"/>
    <cellStyle name="40% - Akzent3" xfId="16" xr:uid="{00000000-0005-0000-0000-000008000000}"/>
    <cellStyle name="40% - Akzent4" xfId="17" xr:uid="{00000000-0005-0000-0000-000009000000}"/>
    <cellStyle name="40% - Akzent5" xfId="18" xr:uid="{00000000-0005-0000-0000-00000A000000}"/>
    <cellStyle name="40% - Akzent6" xfId="19" xr:uid="{00000000-0005-0000-0000-00000B000000}"/>
    <cellStyle name="60% - Akzent1" xfId="20" xr:uid="{00000000-0005-0000-0000-00000C000000}"/>
    <cellStyle name="60% - Akzent2" xfId="21" xr:uid="{00000000-0005-0000-0000-00000D000000}"/>
    <cellStyle name="60% - Akzent3" xfId="22" xr:uid="{00000000-0005-0000-0000-00000E000000}"/>
    <cellStyle name="60% - Akzent4" xfId="23" xr:uid="{00000000-0005-0000-0000-00000F000000}"/>
    <cellStyle name="60% - Akzent5" xfId="24" xr:uid="{00000000-0005-0000-0000-000010000000}"/>
    <cellStyle name="60% - Akzent6" xfId="25" xr:uid="{00000000-0005-0000-0000-000011000000}"/>
    <cellStyle name="Accent1 - 20%" xfId="26" xr:uid="{00000000-0005-0000-0000-000012000000}"/>
    <cellStyle name="Accent1 - 40%" xfId="27" xr:uid="{00000000-0005-0000-0000-000013000000}"/>
    <cellStyle name="Accent1 - 60%" xfId="28" xr:uid="{00000000-0005-0000-0000-000014000000}"/>
    <cellStyle name="Accent2 - 20%" xfId="29" xr:uid="{00000000-0005-0000-0000-000015000000}"/>
    <cellStyle name="Accent2 - 40%" xfId="30" xr:uid="{00000000-0005-0000-0000-000016000000}"/>
    <cellStyle name="Accent2 - 60%" xfId="31" xr:uid="{00000000-0005-0000-0000-000017000000}"/>
    <cellStyle name="Accent3 - 20%" xfId="32" xr:uid="{00000000-0005-0000-0000-000018000000}"/>
    <cellStyle name="Accent3 - 40%" xfId="33" xr:uid="{00000000-0005-0000-0000-000019000000}"/>
    <cellStyle name="Accent3 - 60%" xfId="34" xr:uid="{00000000-0005-0000-0000-00001A000000}"/>
    <cellStyle name="Accent4 - 20%" xfId="35" xr:uid="{00000000-0005-0000-0000-00001B000000}"/>
    <cellStyle name="Accent4 - 40%" xfId="36" xr:uid="{00000000-0005-0000-0000-00001C000000}"/>
    <cellStyle name="Accent4 - 60%" xfId="37" xr:uid="{00000000-0005-0000-0000-00001D000000}"/>
    <cellStyle name="Accent5 - 20%" xfId="38" xr:uid="{00000000-0005-0000-0000-00001E000000}"/>
    <cellStyle name="Accent5 - 40%" xfId="39" xr:uid="{00000000-0005-0000-0000-00001F000000}"/>
    <cellStyle name="Accent5 - 60%" xfId="40" xr:uid="{00000000-0005-0000-0000-000020000000}"/>
    <cellStyle name="Accent6 - 20%" xfId="41" xr:uid="{00000000-0005-0000-0000-000021000000}"/>
    <cellStyle name="Accent6 - 40%" xfId="42" xr:uid="{00000000-0005-0000-0000-000022000000}"/>
    <cellStyle name="Accent6 - 60%" xfId="43" xr:uid="{00000000-0005-0000-0000-000023000000}"/>
    <cellStyle name="Akzent1 2" xfId="44" xr:uid="{00000000-0005-0000-0000-000024000000}"/>
    <cellStyle name="Akzent1 3" xfId="45" xr:uid="{00000000-0005-0000-0000-000025000000}"/>
    <cellStyle name="Akzent1 3 2" xfId="46" xr:uid="{00000000-0005-0000-0000-000026000000}"/>
    <cellStyle name="Akzent2 2" xfId="47" xr:uid="{00000000-0005-0000-0000-000027000000}"/>
    <cellStyle name="Akzent2 3" xfId="48" xr:uid="{00000000-0005-0000-0000-000028000000}"/>
    <cellStyle name="Akzent2 3 2" xfId="49" xr:uid="{00000000-0005-0000-0000-000029000000}"/>
    <cellStyle name="Akzent3 2" xfId="50" xr:uid="{00000000-0005-0000-0000-00002A000000}"/>
    <cellStyle name="Akzent3 3" xfId="51" xr:uid="{00000000-0005-0000-0000-00002B000000}"/>
    <cellStyle name="Akzent3 3 2" xfId="52" xr:uid="{00000000-0005-0000-0000-00002C000000}"/>
    <cellStyle name="Akzent4 2" xfId="53" xr:uid="{00000000-0005-0000-0000-00002D000000}"/>
    <cellStyle name="Akzent4 3" xfId="54" xr:uid="{00000000-0005-0000-0000-00002E000000}"/>
    <cellStyle name="Akzent4 3 2" xfId="55" xr:uid="{00000000-0005-0000-0000-00002F000000}"/>
    <cellStyle name="Akzent5 2" xfId="56" xr:uid="{00000000-0005-0000-0000-000030000000}"/>
    <cellStyle name="Akzent5 3" xfId="57" xr:uid="{00000000-0005-0000-0000-000031000000}"/>
    <cellStyle name="Akzent5 3 2" xfId="58" xr:uid="{00000000-0005-0000-0000-000032000000}"/>
    <cellStyle name="Akzent6 2" xfId="59" xr:uid="{00000000-0005-0000-0000-000033000000}"/>
    <cellStyle name="Akzent6 3" xfId="60" xr:uid="{00000000-0005-0000-0000-000034000000}"/>
    <cellStyle name="Akzent6 3 2" xfId="61" xr:uid="{00000000-0005-0000-0000-000035000000}"/>
    <cellStyle name="Ausgabe 2" xfId="62" xr:uid="{00000000-0005-0000-0000-000036000000}"/>
    <cellStyle name="Ausgabe 2 2" xfId="190" xr:uid="{00000000-0005-0000-0000-000037000000}"/>
    <cellStyle name="Ausgabe 2 3" xfId="215" xr:uid="{00000000-0005-0000-0000-000038000000}"/>
    <cellStyle name="Ausgabe 2 4" xfId="230" xr:uid="{00000000-0005-0000-0000-000039000000}"/>
    <cellStyle name="Ausgabe 3" xfId="63" xr:uid="{00000000-0005-0000-0000-00003A000000}"/>
    <cellStyle name="Ausgabe 3 2" xfId="64" xr:uid="{00000000-0005-0000-0000-00003B000000}"/>
    <cellStyle name="Ausgabe 3 3" xfId="223" xr:uid="{00000000-0005-0000-0000-00003C000000}"/>
    <cellStyle name="Ausgabe 3 4" xfId="231" xr:uid="{00000000-0005-0000-0000-00003D000000}"/>
    <cellStyle name="Berechnung 2" xfId="65" xr:uid="{00000000-0005-0000-0000-00003E000000}"/>
    <cellStyle name="Berechnung 2 2" xfId="191" xr:uid="{00000000-0005-0000-0000-00003F000000}"/>
    <cellStyle name="Berechnung 2 3" xfId="216" xr:uid="{00000000-0005-0000-0000-000040000000}"/>
    <cellStyle name="Berechnung 2 4" xfId="232" xr:uid="{00000000-0005-0000-0000-000041000000}"/>
    <cellStyle name="Berechnung 3" xfId="66" xr:uid="{00000000-0005-0000-0000-000042000000}"/>
    <cellStyle name="Berechnung 3 2" xfId="67" xr:uid="{00000000-0005-0000-0000-000043000000}"/>
    <cellStyle name="Berechnung 3 3" xfId="224" xr:uid="{00000000-0005-0000-0000-000044000000}"/>
    <cellStyle name="Berechnung 3 4" xfId="233" xr:uid="{00000000-0005-0000-0000-000045000000}"/>
    <cellStyle name="Dezimal 2" xfId="68" xr:uid="{00000000-0005-0000-0000-000046000000}"/>
    <cellStyle name="Eingabe 2" xfId="69" xr:uid="{00000000-0005-0000-0000-000047000000}"/>
    <cellStyle name="Eingabe 2 2" xfId="192" xr:uid="{00000000-0005-0000-0000-000048000000}"/>
    <cellStyle name="Eingabe 2 3" xfId="217" xr:uid="{00000000-0005-0000-0000-000049000000}"/>
    <cellStyle name="Eingabe 2 4" xfId="238" xr:uid="{00000000-0005-0000-0000-00004A000000}"/>
    <cellStyle name="Eingabe 3" xfId="70" xr:uid="{00000000-0005-0000-0000-00004B000000}"/>
    <cellStyle name="Eingabe 3 2" xfId="71" xr:uid="{00000000-0005-0000-0000-00004C000000}"/>
    <cellStyle name="Eingabe 3 3" xfId="225" xr:uid="{00000000-0005-0000-0000-00004D000000}"/>
    <cellStyle name="Eingabe 3 4" xfId="239" xr:uid="{00000000-0005-0000-0000-00004E000000}"/>
    <cellStyle name="Emphasis 1" xfId="72" xr:uid="{00000000-0005-0000-0000-00004F000000}"/>
    <cellStyle name="Emphasis 2" xfId="73" xr:uid="{00000000-0005-0000-0000-000050000000}"/>
    <cellStyle name="Emphasis 3" xfId="74" xr:uid="{00000000-0005-0000-0000-000051000000}"/>
    <cellStyle name="Ergebnis 2" xfId="75" xr:uid="{00000000-0005-0000-0000-000052000000}"/>
    <cellStyle name="Ergebnis 2 2" xfId="193" xr:uid="{00000000-0005-0000-0000-000053000000}"/>
    <cellStyle name="Ergebnis 2 3" xfId="218" xr:uid="{00000000-0005-0000-0000-000054000000}"/>
    <cellStyle name="Ergebnis 2 4" xfId="234" xr:uid="{00000000-0005-0000-0000-000055000000}"/>
    <cellStyle name="Ergebnis 3" xfId="76" xr:uid="{00000000-0005-0000-0000-000056000000}"/>
    <cellStyle name="Ergebnis 3 2" xfId="77" xr:uid="{00000000-0005-0000-0000-000057000000}"/>
    <cellStyle name="Ergebnis 3 3" xfId="226" xr:uid="{00000000-0005-0000-0000-000058000000}"/>
    <cellStyle name="Ergebnis 3 4" xfId="235" xr:uid="{00000000-0005-0000-0000-000059000000}"/>
    <cellStyle name="Erklärender Text 2" xfId="78" xr:uid="{00000000-0005-0000-0000-00005A000000}"/>
    <cellStyle name="Erklärender Text 3" xfId="79" xr:uid="{00000000-0005-0000-0000-00005B000000}"/>
    <cellStyle name="Gut 2" xfId="80" xr:uid="{00000000-0005-0000-0000-00005C000000}"/>
    <cellStyle name="Gut 3" xfId="81" xr:uid="{00000000-0005-0000-0000-00005D000000}"/>
    <cellStyle name="Gut 3 2" xfId="82" xr:uid="{00000000-0005-0000-0000-00005E000000}"/>
    <cellStyle name="Komma 2" xfId="2" xr:uid="{00000000-0005-0000-0000-00005F000000}"/>
    <cellStyle name="Komma 2 2" xfId="83" xr:uid="{00000000-0005-0000-0000-000060000000}"/>
    <cellStyle name="Komma 2 2 2" xfId="219" xr:uid="{00000000-0005-0000-0000-000061000000}"/>
    <cellStyle name="Komma 3" xfId="84" xr:uid="{00000000-0005-0000-0000-000062000000}"/>
    <cellStyle name="Komma 3 2" xfId="85" xr:uid="{00000000-0005-0000-0000-000063000000}"/>
    <cellStyle name="Komma 3 3" xfId="86" xr:uid="{00000000-0005-0000-0000-000064000000}"/>
    <cellStyle name="Komma 4" xfId="87" xr:uid="{00000000-0005-0000-0000-000065000000}"/>
    <cellStyle name="Komma 4 2" xfId="88" xr:uid="{00000000-0005-0000-0000-000066000000}"/>
    <cellStyle name="Komma 5" xfId="7" xr:uid="{00000000-0005-0000-0000-000067000000}"/>
    <cellStyle name="Komma 5 2" xfId="214" xr:uid="{00000000-0005-0000-0000-000068000000}"/>
    <cellStyle name="Milliers 2" xfId="89" xr:uid="{00000000-0005-0000-0000-000069000000}"/>
    <cellStyle name="Neutral 2" xfId="90" xr:uid="{00000000-0005-0000-0000-00006A000000}"/>
    <cellStyle name="Neutral 3" xfId="91" xr:uid="{00000000-0005-0000-0000-00006B000000}"/>
    <cellStyle name="Neutral 3 2" xfId="92" xr:uid="{00000000-0005-0000-0000-00006C000000}"/>
    <cellStyle name="Normal" xfId="0" builtinId="0"/>
    <cellStyle name="Normal 2" xfId="93" xr:uid="{00000000-0005-0000-0000-00006D000000}"/>
    <cellStyle name="Normal 2 2" xfId="229" xr:uid="{00000000-0005-0000-0000-00006E000000}"/>
    <cellStyle name="Normal 3" xfId="228" xr:uid="{00000000-0005-0000-0000-00006F000000}"/>
    <cellStyle name="Normal_GEFI BROCHURE DU BUDGET" xfId="6" xr:uid="{00000000-0005-0000-0000-000071000000}"/>
    <cellStyle name="Notiz 2" xfId="94" xr:uid="{00000000-0005-0000-0000-000072000000}"/>
    <cellStyle name="Notiz 2 2" xfId="194" xr:uid="{00000000-0005-0000-0000-000073000000}"/>
    <cellStyle name="Notiz 2 3" xfId="220" xr:uid="{00000000-0005-0000-0000-000074000000}"/>
    <cellStyle name="Notiz 2 4" xfId="236" xr:uid="{00000000-0005-0000-0000-000075000000}"/>
    <cellStyle name="Notiz 3" xfId="95" xr:uid="{00000000-0005-0000-0000-000076000000}"/>
    <cellStyle name="Notiz 3 2" xfId="96" xr:uid="{00000000-0005-0000-0000-000077000000}"/>
    <cellStyle name="Notiz 3 3" xfId="227" xr:uid="{00000000-0005-0000-0000-000078000000}"/>
    <cellStyle name="Notiz 3 4" xfId="237" xr:uid="{00000000-0005-0000-0000-000079000000}"/>
    <cellStyle name="Prozent 2" xfId="3" xr:uid="{00000000-0005-0000-0000-00007A000000}"/>
    <cellStyle name="Prozent 3" xfId="187" xr:uid="{00000000-0005-0000-0000-00007B000000}"/>
    <cellStyle name="SAPBEXaggData" xfId="97" xr:uid="{00000000-0005-0000-0000-00007C000000}"/>
    <cellStyle name="SAPBEXaggDataEmph" xfId="98" xr:uid="{00000000-0005-0000-0000-00007D000000}"/>
    <cellStyle name="SAPBEXaggItem" xfId="99" xr:uid="{00000000-0005-0000-0000-00007E000000}"/>
    <cellStyle name="SAPBEXaggItemX" xfId="100" xr:uid="{00000000-0005-0000-0000-00007F000000}"/>
    <cellStyle name="SAPBEXchaText" xfId="101" xr:uid="{00000000-0005-0000-0000-000080000000}"/>
    <cellStyle name="SAPBEXexcBad7" xfId="102" xr:uid="{00000000-0005-0000-0000-000081000000}"/>
    <cellStyle name="SAPBEXexcBad8" xfId="103" xr:uid="{00000000-0005-0000-0000-000082000000}"/>
    <cellStyle name="SAPBEXexcBad9" xfId="104" xr:uid="{00000000-0005-0000-0000-000083000000}"/>
    <cellStyle name="SAPBEXexcCritical4" xfId="105" xr:uid="{00000000-0005-0000-0000-000084000000}"/>
    <cellStyle name="SAPBEXexcCritical5" xfId="106" xr:uid="{00000000-0005-0000-0000-000085000000}"/>
    <cellStyle name="SAPBEXexcCritical6" xfId="107" xr:uid="{00000000-0005-0000-0000-000086000000}"/>
    <cellStyle name="SAPBEXexcGood1" xfId="108" xr:uid="{00000000-0005-0000-0000-000087000000}"/>
    <cellStyle name="SAPBEXexcGood2" xfId="109" xr:uid="{00000000-0005-0000-0000-000088000000}"/>
    <cellStyle name="SAPBEXexcGood3" xfId="110" xr:uid="{00000000-0005-0000-0000-000089000000}"/>
    <cellStyle name="SAPBEXfilterDrill" xfId="111" xr:uid="{00000000-0005-0000-0000-00008A000000}"/>
    <cellStyle name="SAPBEXfilterItem" xfId="112" xr:uid="{00000000-0005-0000-0000-00008B000000}"/>
    <cellStyle name="SAPBEXfilterText" xfId="113" xr:uid="{00000000-0005-0000-0000-00008C000000}"/>
    <cellStyle name="SAPBEXformats" xfId="114" xr:uid="{00000000-0005-0000-0000-00008D000000}"/>
    <cellStyle name="SAPBEXheaderItem" xfId="115" xr:uid="{00000000-0005-0000-0000-00008E000000}"/>
    <cellStyle name="SAPBEXheaderText" xfId="116" xr:uid="{00000000-0005-0000-0000-00008F000000}"/>
    <cellStyle name="SAPBEXHLevel0" xfId="117" xr:uid="{00000000-0005-0000-0000-000090000000}"/>
    <cellStyle name="SAPBEXHLevel0X" xfId="118" xr:uid="{00000000-0005-0000-0000-000091000000}"/>
    <cellStyle name="SAPBEXHLevel1" xfId="119" xr:uid="{00000000-0005-0000-0000-000092000000}"/>
    <cellStyle name="SAPBEXHLevel1X" xfId="120" xr:uid="{00000000-0005-0000-0000-000093000000}"/>
    <cellStyle name="SAPBEXHLevel2" xfId="121" xr:uid="{00000000-0005-0000-0000-000094000000}"/>
    <cellStyle name="SAPBEXHLevel2X" xfId="122" xr:uid="{00000000-0005-0000-0000-000095000000}"/>
    <cellStyle name="SAPBEXHLevel3" xfId="123" xr:uid="{00000000-0005-0000-0000-000096000000}"/>
    <cellStyle name="SAPBEXHLevel3X" xfId="124" xr:uid="{00000000-0005-0000-0000-000097000000}"/>
    <cellStyle name="SAPBEXinputData" xfId="125" xr:uid="{00000000-0005-0000-0000-000098000000}"/>
    <cellStyle name="SAPBEXItemHeader" xfId="126" xr:uid="{00000000-0005-0000-0000-000099000000}"/>
    <cellStyle name="SAPBEXresData" xfId="127" xr:uid="{00000000-0005-0000-0000-00009A000000}"/>
    <cellStyle name="SAPBEXresDataEmph" xfId="128" xr:uid="{00000000-0005-0000-0000-00009B000000}"/>
    <cellStyle name="SAPBEXresItem" xfId="129" xr:uid="{00000000-0005-0000-0000-00009C000000}"/>
    <cellStyle name="SAPBEXresItemX" xfId="130" xr:uid="{00000000-0005-0000-0000-00009D000000}"/>
    <cellStyle name="SAPBEXstdData" xfId="131" xr:uid="{00000000-0005-0000-0000-00009E000000}"/>
    <cellStyle name="SAPBEXstdDataEmph" xfId="132" xr:uid="{00000000-0005-0000-0000-00009F000000}"/>
    <cellStyle name="SAPBEXstdItem" xfId="133" xr:uid="{00000000-0005-0000-0000-0000A0000000}"/>
    <cellStyle name="SAPBEXstdItemX" xfId="134" xr:uid="{00000000-0005-0000-0000-0000A1000000}"/>
    <cellStyle name="SAPBEXtitle" xfId="135" xr:uid="{00000000-0005-0000-0000-0000A2000000}"/>
    <cellStyle name="SAPBEXunassignedItem" xfId="136" xr:uid="{00000000-0005-0000-0000-0000A3000000}"/>
    <cellStyle name="SAPBEXundefined" xfId="137" xr:uid="{00000000-0005-0000-0000-0000A4000000}"/>
    <cellStyle name="Schlecht 2" xfId="138" xr:uid="{00000000-0005-0000-0000-0000A5000000}"/>
    <cellStyle name="Schlecht 3" xfId="139" xr:uid="{00000000-0005-0000-0000-0000A6000000}"/>
    <cellStyle name="Schlecht 3 2" xfId="140" xr:uid="{00000000-0005-0000-0000-0000A7000000}"/>
    <cellStyle name="Sheet Title" xfId="141" xr:uid="{00000000-0005-0000-0000-0000A8000000}"/>
    <cellStyle name="St0" xfId="142" xr:uid="{00000000-0005-0000-0000-0000A9000000}"/>
    <cellStyle name="Standard 10" xfId="5" xr:uid="{00000000-0005-0000-0000-0000AB000000}"/>
    <cellStyle name="Standard 10 2" xfId="209" xr:uid="{00000000-0005-0000-0000-0000AC000000}"/>
    <cellStyle name="Standard 10 3" xfId="195" xr:uid="{00000000-0005-0000-0000-0000AD000000}"/>
    <cellStyle name="Standard 11" xfId="143" xr:uid="{00000000-0005-0000-0000-0000AE000000}"/>
    <cellStyle name="Standard 11 2" xfId="196" xr:uid="{00000000-0005-0000-0000-0000AF000000}"/>
    <cellStyle name="Standard 12" xfId="144" xr:uid="{00000000-0005-0000-0000-0000B0000000}"/>
    <cellStyle name="Standard 12 2" xfId="197" xr:uid="{00000000-0005-0000-0000-0000B1000000}"/>
    <cellStyle name="Standard 13" xfId="145" xr:uid="{00000000-0005-0000-0000-0000B2000000}"/>
    <cellStyle name="Standard 13 2" xfId="198" xr:uid="{00000000-0005-0000-0000-0000B3000000}"/>
    <cellStyle name="Standard 14" xfId="146" xr:uid="{00000000-0005-0000-0000-0000B4000000}"/>
    <cellStyle name="Standard 14 2" xfId="199" xr:uid="{00000000-0005-0000-0000-0000B5000000}"/>
    <cellStyle name="Standard 15" xfId="147" xr:uid="{00000000-0005-0000-0000-0000B6000000}"/>
    <cellStyle name="Standard 15 2" xfId="200" xr:uid="{00000000-0005-0000-0000-0000B7000000}"/>
    <cellStyle name="Standard 16" xfId="148" xr:uid="{00000000-0005-0000-0000-0000B8000000}"/>
    <cellStyle name="Standard 16 2" xfId="201" xr:uid="{00000000-0005-0000-0000-0000B9000000}"/>
    <cellStyle name="Standard 17" xfId="149" xr:uid="{00000000-0005-0000-0000-0000BA000000}"/>
    <cellStyle name="Standard 17 2" xfId="202" xr:uid="{00000000-0005-0000-0000-0000BB000000}"/>
    <cellStyle name="Standard 18" xfId="150" xr:uid="{00000000-0005-0000-0000-0000BC000000}"/>
    <cellStyle name="Standard 18 2" xfId="203" xr:uid="{00000000-0005-0000-0000-0000BD000000}"/>
    <cellStyle name="Standard 19" xfId="151" xr:uid="{00000000-0005-0000-0000-0000BE000000}"/>
    <cellStyle name="Standard 19 2" xfId="204" xr:uid="{00000000-0005-0000-0000-0000BF000000}"/>
    <cellStyle name="Standard 2" xfId="1" xr:uid="{00000000-0005-0000-0000-0000C0000000}"/>
    <cellStyle name="Standard 2 2" xfId="4" xr:uid="{00000000-0005-0000-0000-0000C1000000}"/>
    <cellStyle name="Standard 20" xfId="152" xr:uid="{00000000-0005-0000-0000-0000C2000000}"/>
    <cellStyle name="Standard 20 2" xfId="205" xr:uid="{00000000-0005-0000-0000-0000C3000000}"/>
    <cellStyle name="Standard 21" xfId="212" xr:uid="{00000000-0005-0000-0000-0000C4000000}"/>
    <cellStyle name="Standard 22" xfId="210" xr:uid="{00000000-0005-0000-0000-0000C5000000}"/>
    <cellStyle name="Standard 23" xfId="211" xr:uid="{00000000-0005-0000-0000-0000C6000000}"/>
    <cellStyle name="Standard 24" xfId="213" xr:uid="{00000000-0005-0000-0000-0000C7000000}"/>
    <cellStyle name="Standard 3" xfId="153" xr:uid="{00000000-0005-0000-0000-0000C8000000}"/>
    <cellStyle name="Standard 3 2" xfId="154" xr:uid="{00000000-0005-0000-0000-0000C9000000}"/>
    <cellStyle name="Standard 4" xfId="155" xr:uid="{00000000-0005-0000-0000-0000CA000000}"/>
    <cellStyle name="Standard 5" xfId="156" xr:uid="{00000000-0005-0000-0000-0000CB000000}"/>
    <cellStyle name="Standard 6" xfId="157" xr:uid="{00000000-0005-0000-0000-0000CC000000}"/>
    <cellStyle name="Standard 6 2" xfId="206" xr:uid="{00000000-0005-0000-0000-0000CD000000}"/>
    <cellStyle name="Standard 6 3" xfId="221" xr:uid="{00000000-0005-0000-0000-0000CE000000}"/>
    <cellStyle name="Standard 6 4" xfId="188" xr:uid="{00000000-0005-0000-0000-0000CF000000}"/>
    <cellStyle name="Standard 7" xfId="158" xr:uid="{00000000-0005-0000-0000-0000D0000000}"/>
    <cellStyle name="Standard 7 2" xfId="159" xr:uid="{00000000-0005-0000-0000-0000D1000000}"/>
    <cellStyle name="Standard 7 2 2" xfId="207" xr:uid="{00000000-0005-0000-0000-0000D2000000}"/>
    <cellStyle name="Standard 7 3" xfId="222" xr:uid="{00000000-0005-0000-0000-0000D3000000}"/>
    <cellStyle name="Standard 7 4" xfId="189" xr:uid="{00000000-0005-0000-0000-0000D4000000}"/>
    <cellStyle name="Standard 8" xfId="160" xr:uid="{00000000-0005-0000-0000-0000D5000000}"/>
    <cellStyle name="Standard 8 2" xfId="161" xr:uid="{00000000-0005-0000-0000-0000D6000000}"/>
    <cellStyle name="Standard 9" xfId="162" xr:uid="{00000000-0005-0000-0000-0000D7000000}"/>
    <cellStyle name="Standard 9 2" xfId="208" xr:uid="{00000000-0005-0000-0000-0000D8000000}"/>
    <cellStyle name="Titel3" xfId="163" xr:uid="{00000000-0005-0000-0000-0000D9000000}"/>
    <cellStyle name="Überschrift 1 2" xfId="164" xr:uid="{00000000-0005-0000-0000-0000DA000000}"/>
    <cellStyle name="Überschrift 1 3" xfId="165" xr:uid="{00000000-0005-0000-0000-0000DB000000}"/>
    <cellStyle name="Überschrift 1 3 2" xfId="166" xr:uid="{00000000-0005-0000-0000-0000DC000000}"/>
    <cellStyle name="Überschrift 2 2" xfId="167" xr:uid="{00000000-0005-0000-0000-0000DD000000}"/>
    <cellStyle name="Überschrift 2 3" xfId="168" xr:uid="{00000000-0005-0000-0000-0000DE000000}"/>
    <cellStyle name="Überschrift 2 3 2" xfId="169" xr:uid="{00000000-0005-0000-0000-0000DF000000}"/>
    <cellStyle name="Überschrift 3 2" xfId="170" xr:uid="{00000000-0005-0000-0000-0000E0000000}"/>
    <cellStyle name="Überschrift 3 3" xfId="171" xr:uid="{00000000-0005-0000-0000-0000E1000000}"/>
    <cellStyle name="Überschrift 3 3 2" xfId="172" xr:uid="{00000000-0005-0000-0000-0000E2000000}"/>
    <cellStyle name="Überschrift 4 2" xfId="173" xr:uid="{00000000-0005-0000-0000-0000E3000000}"/>
    <cellStyle name="Überschrift 4 3" xfId="174" xr:uid="{00000000-0005-0000-0000-0000E4000000}"/>
    <cellStyle name="Überschrift 4 3 2" xfId="175" xr:uid="{00000000-0005-0000-0000-0000E5000000}"/>
    <cellStyle name="Überschrift 5" xfId="176" xr:uid="{00000000-0005-0000-0000-0000E6000000}"/>
    <cellStyle name="Überschrift 6" xfId="177" xr:uid="{00000000-0005-0000-0000-0000E7000000}"/>
    <cellStyle name="Verknüpfte Zelle 2" xfId="178" xr:uid="{00000000-0005-0000-0000-0000E8000000}"/>
    <cellStyle name="Verknüpfte Zelle 3" xfId="179" xr:uid="{00000000-0005-0000-0000-0000E9000000}"/>
    <cellStyle name="Verknüpfte Zelle 3 2" xfId="180" xr:uid="{00000000-0005-0000-0000-0000EA000000}"/>
    <cellStyle name="Warnender Text 2" xfId="181" xr:uid="{00000000-0005-0000-0000-0000EB000000}"/>
    <cellStyle name="Warnender Text 3" xfId="182" xr:uid="{00000000-0005-0000-0000-0000EC000000}"/>
    <cellStyle name="Warnender Text 3 2" xfId="183" xr:uid="{00000000-0005-0000-0000-0000ED000000}"/>
    <cellStyle name="Zelle überprüfen 2" xfId="184" xr:uid="{00000000-0005-0000-0000-0000EE000000}"/>
    <cellStyle name="Zelle überprüfen 3" xfId="185" xr:uid="{00000000-0005-0000-0000-0000EF000000}"/>
    <cellStyle name="Zelle überprüfen 3 2" xfId="186" xr:uid="{00000000-0005-0000-0000-0000F0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M186"/>
  <sheetViews>
    <sheetView tabSelected="1" view="pageLayout" topLeftCell="A70" zoomScaleNormal="115" workbookViewId="0">
      <selection activeCell="F2" sqref="F2"/>
    </sheetView>
  </sheetViews>
  <sheetFormatPr baseColWidth="10" defaultColWidth="11.5" defaultRowHeight="13"/>
  <cols>
    <col min="1" max="1" width="17.1640625" style="84" customWidth="1"/>
    <col min="2" max="2" width="1.6640625" style="84" customWidth="1"/>
    <col min="3" max="3" width="44.6640625" style="84" customWidth="1"/>
    <col min="4" max="4" width="11.5" style="84" customWidth="1"/>
    <col min="5" max="5" width="11.5" style="84"/>
    <col min="6" max="7" width="11.5" style="84" customWidth="1"/>
    <col min="8" max="16384" width="11.5" style="84"/>
  </cols>
  <sheetData>
    <row r="1" spans="1:39" s="77" customFormat="1" ht="18" customHeight="1">
      <c r="A1" s="72" t="s">
        <v>156</v>
      </c>
      <c r="B1" s="253" t="s">
        <v>633</v>
      </c>
      <c r="C1" s="254" t="s">
        <v>6</v>
      </c>
      <c r="D1" s="74" t="s">
        <v>7</v>
      </c>
      <c r="E1" s="75" t="s">
        <v>9</v>
      </c>
      <c r="F1" s="74" t="s">
        <v>7</v>
      </c>
      <c r="G1" s="75" t="s">
        <v>9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</row>
    <row r="2" spans="1:39" s="83" customFormat="1" ht="15" customHeight="1">
      <c r="A2" s="78"/>
      <c r="B2" s="79"/>
      <c r="C2" s="80" t="s">
        <v>158</v>
      </c>
      <c r="D2" s="81">
        <v>2014</v>
      </c>
      <c r="E2" s="82">
        <v>2015</v>
      </c>
      <c r="F2" s="81">
        <v>2015</v>
      </c>
      <c r="G2" s="82">
        <v>2016</v>
      </c>
    </row>
    <row r="3" spans="1:39" ht="15" customHeight="1">
      <c r="A3" s="678" t="s">
        <v>159</v>
      </c>
      <c r="B3" s="679"/>
      <c r="C3" s="679"/>
      <c r="D3" s="85"/>
      <c r="E3" s="85" t="s">
        <v>389</v>
      </c>
      <c r="F3" s="85"/>
      <c r="G3" s="85"/>
    </row>
    <row r="4" spans="1:39" s="91" customFormat="1" ht="12.75" customHeight="1">
      <c r="A4" s="86">
        <v>30</v>
      </c>
      <c r="B4" s="87"/>
      <c r="C4" s="88" t="s">
        <v>14</v>
      </c>
      <c r="D4" s="492">
        <v>4958624.9403400002</v>
      </c>
      <c r="E4" s="492">
        <v>5058273.578999999</v>
      </c>
      <c r="F4" s="493">
        <v>5100269.1957700001</v>
      </c>
      <c r="G4" s="493">
        <v>5164956.4859999996</v>
      </c>
    </row>
    <row r="5" spans="1:39" s="91" customFormat="1" ht="12.75" customHeight="1">
      <c r="A5" s="92">
        <v>31</v>
      </c>
      <c r="B5" s="93"/>
      <c r="C5" s="94" t="s">
        <v>160</v>
      </c>
      <c r="D5" s="492">
        <v>2943690.2916999999</v>
      </c>
      <c r="E5" s="492">
        <v>2976696.6282500001</v>
      </c>
      <c r="F5" s="493">
        <v>2943087.0589099997</v>
      </c>
      <c r="G5" s="493">
        <v>3012788.307</v>
      </c>
    </row>
    <row r="6" spans="1:39" s="91" customFormat="1" ht="12.75" customHeight="1">
      <c r="A6" s="97" t="s">
        <v>17</v>
      </c>
      <c r="B6" s="98"/>
      <c r="C6" s="99" t="s">
        <v>161</v>
      </c>
      <c r="D6" s="492">
        <v>214002.93190999998</v>
      </c>
      <c r="E6" s="492">
        <v>209706.1</v>
      </c>
      <c r="F6" s="493">
        <v>218499.45496999999</v>
      </c>
      <c r="G6" s="493">
        <v>207089.3</v>
      </c>
    </row>
    <row r="7" spans="1:39" s="91" customFormat="1" ht="12.75" customHeight="1">
      <c r="A7" s="97" t="s">
        <v>162</v>
      </c>
      <c r="B7" s="98"/>
      <c r="C7" s="99" t="s">
        <v>163</v>
      </c>
      <c r="D7" s="492">
        <v>-3425.25279</v>
      </c>
      <c r="E7" s="492">
        <v>897</v>
      </c>
      <c r="F7" s="493">
        <v>-7985.4787900000001</v>
      </c>
      <c r="G7" s="493">
        <v>2658.2</v>
      </c>
    </row>
    <row r="8" spans="1:39" s="91" customFormat="1" ht="12.75" customHeight="1">
      <c r="A8" s="101">
        <v>330</v>
      </c>
      <c r="B8" s="93"/>
      <c r="C8" s="94" t="s">
        <v>164</v>
      </c>
      <c r="D8" s="492">
        <v>503685.37785000005</v>
      </c>
      <c r="E8" s="492">
        <v>461127.44199999998</v>
      </c>
      <c r="F8" s="493">
        <v>493650.41839000001</v>
      </c>
      <c r="G8" s="493">
        <v>466662.75300000003</v>
      </c>
    </row>
    <row r="9" spans="1:39" s="91" customFormat="1" ht="12.75" customHeight="1">
      <c r="A9" s="101">
        <v>332</v>
      </c>
      <c r="B9" s="93"/>
      <c r="C9" s="94" t="s">
        <v>165</v>
      </c>
      <c r="D9" s="492">
        <v>27564.754710000001</v>
      </c>
      <c r="E9" s="492">
        <v>27300.524000000001</v>
      </c>
      <c r="F9" s="493">
        <v>30767.697459999999</v>
      </c>
      <c r="G9" s="493">
        <v>23943.821</v>
      </c>
    </row>
    <row r="10" spans="1:39" s="91" customFormat="1" ht="12.75" customHeight="1">
      <c r="A10" s="101">
        <v>339</v>
      </c>
      <c r="B10" s="93"/>
      <c r="C10" s="94" t="s">
        <v>166</v>
      </c>
      <c r="D10" s="492">
        <v>0</v>
      </c>
      <c r="E10" s="492">
        <v>0</v>
      </c>
      <c r="F10" s="493">
        <v>0</v>
      </c>
      <c r="G10" s="493">
        <v>0</v>
      </c>
    </row>
    <row r="11" spans="1:39" s="91" customFormat="1" ht="12.75" customHeight="1">
      <c r="A11" s="92">
        <v>350</v>
      </c>
      <c r="B11" s="93"/>
      <c r="C11" s="94" t="s">
        <v>167</v>
      </c>
      <c r="D11" s="492">
        <v>41408.952219999999</v>
      </c>
      <c r="E11" s="492">
        <v>7167.8</v>
      </c>
      <c r="F11" s="493">
        <v>41382.404179999998</v>
      </c>
      <c r="G11" s="493">
        <v>6927</v>
      </c>
    </row>
    <row r="12" spans="1:39" s="106" customFormat="1" ht="14">
      <c r="A12" s="102">
        <v>351</v>
      </c>
      <c r="B12" s="103"/>
      <c r="C12" s="104" t="s">
        <v>168</v>
      </c>
      <c r="D12" s="492">
        <v>17754.986649999999</v>
      </c>
      <c r="E12" s="492">
        <v>9478</v>
      </c>
      <c r="F12" s="493">
        <v>15460.432919999999</v>
      </c>
      <c r="G12" s="493">
        <v>0</v>
      </c>
    </row>
    <row r="13" spans="1:39" s="91" customFormat="1" ht="12.75" customHeight="1">
      <c r="A13" s="92">
        <v>36</v>
      </c>
      <c r="B13" s="93"/>
      <c r="C13" s="94" t="s">
        <v>169</v>
      </c>
      <c r="D13" s="492">
        <v>5145992.1653699996</v>
      </c>
      <c r="E13" s="492">
        <v>5449901.9680000003</v>
      </c>
      <c r="F13" s="493">
        <v>5379964.2988500008</v>
      </c>
      <c r="G13" s="493">
        <v>5701333.4306000005</v>
      </c>
    </row>
    <row r="14" spans="1:39" s="91" customFormat="1" ht="14">
      <c r="A14" s="107" t="s">
        <v>170</v>
      </c>
      <c r="B14" s="93"/>
      <c r="C14" s="108" t="s">
        <v>171</v>
      </c>
      <c r="D14" s="494">
        <v>601131.44683000003</v>
      </c>
      <c r="E14" s="494">
        <v>555471.69999999995</v>
      </c>
      <c r="F14" s="493">
        <v>651906.80065999995</v>
      </c>
      <c r="G14" s="493">
        <v>640871.59100000001</v>
      </c>
    </row>
    <row r="15" spans="1:39" s="91" customFormat="1" ht="14">
      <c r="A15" s="107" t="s">
        <v>172</v>
      </c>
      <c r="B15" s="93"/>
      <c r="C15" s="108" t="s">
        <v>173</v>
      </c>
      <c r="D15" s="494">
        <v>147283.16052999999</v>
      </c>
      <c r="E15" s="494">
        <v>236902.5</v>
      </c>
      <c r="F15" s="493">
        <v>185404.80377999999</v>
      </c>
      <c r="G15" s="493">
        <v>230435.8</v>
      </c>
    </row>
    <row r="16" spans="1:39" s="111" customFormat="1" ht="26.25" customHeight="1">
      <c r="A16" s="107" t="s">
        <v>174</v>
      </c>
      <c r="B16" s="258"/>
      <c r="C16" s="108" t="s">
        <v>175</v>
      </c>
      <c r="D16" s="495">
        <v>156907.18143</v>
      </c>
      <c r="E16" s="495">
        <v>165607.68799999999</v>
      </c>
      <c r="F16" s="493">
        <v>156928.18937000001</v>
      </c>
      <c r="G16" s="493">
        <v>171979.95300000001</v>
      </c>
    </row>
    <row r="17" spans="1:7" s="113" customFormat="1">
      <c r="A17" s="92">
        <v>37</v>
      </c>
      <c r="B17" s="93"/>
      <c r="C17" s="94" t="s">
        <v>176</v>
      </c>
      <c r="D17" s="492">
        <v>633057.67476999993</v>
      </c>
      <c r="E17" s="492">
        <v>663146.64</v>
      </c>
      <c r="F17" s="493">
        <v>633555.76824999996</v>
      </c>
      <c r="G17" s="493">
        <v>647813</v>
      </c>
    </row>
    <row r="18" spans="1:7" s="113" customFormat="1">
      <c r="A18" s="101" t="s">
        <v>177</v>
      </c>
      <c r="B18" s="93"/>
      <c r="C18" s="94" t="s">
        <v>178</v>
      </c>
      <c r="D18" s="494">
        <v>396313.97499999998</v>
      </c>
      <c r="E18" s="494">
        <v>404114</v>
      </c>
      <c r="F18" s="493">
        <v>415738.57876999996</v>
      </c>
      <c r="G18" s="493">
        <v>405518</v>
      </c>
    </row>
    <row r="19" spans="1:7" s="113" customFormat="1">
      <c r="A19" s="101" t="s">
        <v>179</v>
      </c>
      <c r="B19" s="93"/>
      <c r="C19" s="94" t="s">
        <v>180</v>
      </c>
      <c r="D19" s="494">
        <v>179989.80768999999</v>
      </c>
      <c r="E19" s="494">
        <v>209750</v>
      </c>
      <c r="F19" s="493">
        <v>182502.44765000002</v>
      </c>
      <c r="G19" s="493">
        <v>197562</v>
      </c>
    </row>
    <row r="20" spans="1:7" s="91" customFormat="1" ht="12.75" customHeight="1">
      <c r="A20" s="116">
        <v>39</v>
      </c>
      <c r="B20" s="117"/>
      <c r="C20" s="118" t="s">
        <v>181</v>
      </c>
      <c r="D20" s="492">
        <v>0</v>
      </c>
      <c r="E20" s="492">
        <v>0</v>
      </c>
      <c r="F20" s="493">
        <v>0</v>
      </c>
      <c r="G20" s="493">
        <v>0</v>
      </c>
    </row>
    <row r="21" spans="1:7" ht="12.75" customHeight="1">
      <c r="A21" s="121"/>
      <c r="B21" s="121"/>
      <c r="C21" s="122" t="s">
        <v>182</v>
      </c>
      <c r="D21" s="123">
        <f t="shared" ref="D21" si="0">D4+D5+SUM(D8:D13)+D17</f>
        <v>14271779.143609999</v>
      </c>
      <c r="E21" s="123">
        <f>E4+E5+SUM(E8:E13)+E17</f>
        <v>14653092.581250001</v>
      </c>
      <c r="F21" s="123">
        <f t="shared" ref="F21:G21" si="1">F4+F5+SUM(F8:F13)+F17</f>
        <v>14638137.274730001</v>
      </c>
      <c r="G21" s="123">
        <f t="shared" si="1"/>
        <v>15024424.797600001</v>
      </c>
    </row>
    <row r="22" spans="1:7" s="91" customFormat="1" ht="12.75" customHeight="1">
      <c r="A22" s="101" t="s">
        <v>183</v>
      </c>
      <c r="B22" s="93"/>
      <c r="C22" s="94" t="s">
        <v>184</v>
      </c>
      <c r="D22" s="496">
        <v>5691673.9698700001</v>
      </c>
      <c r="E22" s="496">
        <v>6081239</v>
      </c>
      <c r="F22" s="497">
        <v>5874296.0014599999</v>
      </c>
      <c r="G22" s="144">
        <v>6269494</v>
      </c>
    </row>
    <row r="23" spans="1:7" s="91" customFormat="1" ht="12.75" customHeight="1">
      <c r="A23" s="101" t="s">
        <v>185</v>
      </c>
      <c r="B23" s="93"/>
      <c r="C23" s="94" t="s">
        <v>186</v>
      </c>
      <c r="D23" s="496">
        <v>614696.37309999997</v>
      </c>
      <c r="E23" s="496">
        <v>559950</v>
      </c>
      <c r="F23" s="497">
        <v>573882.15997000004</v>
      </c>
      <c r="G23" s="144">
        <v>564695.9</v>
      </c>
    </row>
    <row r="24" spans="1:7" s="125" customFormat="1" ht="12.75" customHeight="1">
      <c r="A24" s="92">
        <v>41</v>
      </c>
      <c r="B24" s="93"/>
      <c r="C24" s="94" t="s">
        <v>187</v>
      </c>
      <c r="D24" s="496">
        <v>85588.66412999999</v>
      </c>
      <c r="E24" s="496">
        <v>191833</v>
      </c>
      <c r="F24" s="497">
        <v>326270.55851</v>
      </c>
      <c r="G24" s="144">
        <v>199435</v>
      </c>
    </row>
    <row r="25" spans="1:7" s="91" customFormat="1" ht="12.75" customHeight="1">
      <c r="A25" s="126">
        <v>42</v>
      </c>
      <c r="B25" s="127"/>
      <c r="C25" s="94" t="s">
        <v>188</v>
      </c>
      <c r="D25" s="245">
        <v>2805375.6884099999</v>
      </c>
      <c r="E25" s="245">
        <v>2822631.932</v>
      </c>
      <c r="F25" s="497">
        <v>2915289.4748400003</v>
      </c>
      <c r="G25" s="124">
        <v>2924971.7170000002</v>
      </c>
    </row>
    <row r="26" spans="1:7" s="129" customFormat="1" ht="12.75" customHeight="1">
      <c r="A26" s="102">
        <v>430</v>
      </c>
      <c r="B26" s="93"/>
      <c r="C26" s="94" t="s">
        <v>189</v>
      </c>
      <c r="D26" s="498">
        <v>257818.94284999999</v>
      </c>
      <c r="E26" s="498">
        <v>166057.9</v>
      </c>
      <c r="F26" s="497">
        <v>252458.69099</v>
      </c>
      <c r="G26" s="128">
        <v>200345.8</v>
      </c>
    </row>
    <row r="27" spans="1:7" s="129" customFormat="1" ht="12.75" customHeight="1">
      <c r="A27" s="102">
        <v>431</v>
      </c>
      <c r="B27" s="93"/>
      <c r="C27" s="94" t="s">
        <v>190</v>
      </c>
      <c r="D27" s="498">
        <v>13135.081910000001</v>
      </c>
      <c r="E27" s="498">
        <v>8839.7000000000007</v>
      </c>
      <c r="F27" s="497">
        <v>11039.85434</v>
      </c>
      <c r="G27" s="128">
        <v>11758.6</v>
      </c>
    </row>
    <row r="28" spans="1:7" s="129" customFormat="1" ht="12.75" customHeight="1">
      <c r="A28" s="102">
        <v>432</v>
      </c>
      <c r="B28" s="93"/>
      <c r="C28" s="94" t="s">
        <v>191</v>
      </c>
      <c r="D28" s="498">
        <v>-3136.34105</v>
      </c>
      <c r="E28" s="498">
        <v>0</v>
      </c>
      <c r="F28" s="497">
        <v>-111.65639</v>
      </c>
      <c r="G28" s="128">
        <v>0</v>
      </c>
    </row>
    <row r="29" spans="1:7" s="129" customFormat="1" ht="12.75" customHeight="1">
      <c r="A29" s="102">
        <v>439</v>
      </c>
      <c r="B29" s="93"/>
      <c r="C29" s="94" t="s">
        <v>192</v>
      </c>
      <c r="D29" s="498">
        <v>51809.508820000003</v>
      </c>
      <c r="E29" s="498">
        <v>96086.986599999989</v>
      </c>
      <c r="F29" s="497">
        <v>35577.89301</v>
      </c>
      <c r="G29" s="128">
        <v>76079.491999999998</v>
      </c>
    </row>
    <row r="30" spans="1:7" s="91" customFormat="1" ht="14">
      <c r="A30" s="102">
        <v>450</v>
      </c>
      <c r="B30" s="103"/>
      <c r="C30" s="104" t="s">
        <v>193</v>
      </c>
      <c r="D30" s="492">
        <v>32091.964540000001</v>
      </c>
      <c r="E30" s="492">
        <v>68620.062000000005</v>
      </c>
      <c r="F30" s="497">
        <v>30116.485690000001</v>
      </c>
      <c r="G30" s="96">
        <v>79903.990000000005</v>
      </c>
    </row>
    <row r="31" spans="1:7" s="106" customFormat="1" ht="14">
      <c r="A31" s="102">
        <v>451</v>
      </c>
      <c r="B31" s="103"/>
      <c r="C31" s="104" t="s">
        <v>194</v>
      </c>
      <c r="D31" s="499">
        <v>0</v>
      </c>
      <c r="E31" s="499">
        <v>0</v>
      </c>
      <c r="F31" s="497">
        <v>0</v>
      </c>
      <c r="G31" s="194">
        <v>51911</v>
      </c>
    </row>
    <row r="32" spans="1:7" s="91" customFormat="1" ht="12.75" customHeight="1">
      <c r="A32" s="92">
        <v>46</v>
      </c>
      <c r="B32" s="93"/>
      <c r="C32" s="94" t="s">
        <v>195</v>
      </c>
      <c r="D32" s="245">
        <v>3654454.801</v>
      </c>
      <c r="E32" s="245">
        <v>3691845</v>
      </c>
      <c r="F32" s="497">
        <v>3816645.7475999999</v>
      </c>
      <c r="G32" s="124">
        <v>3817445.0055300002</v>
      </c>
    </row>
    <row r="33" spans="1:7" s="106" customFormat="1" ht="12.75" customHeight="1">
      <c r="A33" s="114" t="s">
        <v>196</v>
      </c>
      <c r="B33" s="98"/>
      <c r="C33" s="99" t="s">
        <v>197</v>
      </c>
      <c r="D33" s="245">
        <v>41847.28082</v>
      </c>
      <c r="E33" s="245">
        <v>28478.3</v>
      </c>
      <c r="F33" s="497">
        <v>39673.563190000001</v>
      </c>
      <c r="G33" s="124">
        <v>35787.599999999999</v>
      </c>
    </row>
    <row r="34" spans="1:7" s="91" customFormat="1" ht="15" customHeight="1">
      <c r="A34" s="92">
        <v>47</v>
      </c>
      <c r="B34" s="93"/>
      <c r="C34" s="94" t="s">
        <v>176</v>
      </c>
      <c r="D34" s="245">
        <v>633057.67476999993</v>
      </c>
      <c r="E34" s="245">
        <v>663146.64</v>
      </c>
      <c r="F34" s="497">
        <v>633555.76824999996</v>
      </c>
      <c r="G34" s="124">
        <v>647813</v>
      </c>
    </row>
    <row r="35" spans="1:7" s="91" customFormat="1" ht="15" customHeight="1">
      <c r="A35" s="116">
        <v>49</v>
      </c>
      <c r="B35" s="117"/>
      <c r="C35" s="118" t="s">
        <v>198</v>
      </c>
      <c r="D35" s="492">
        <v>0</v>
      </c>
      <c r="E35" s="492">
        <v>0</v>
      </c>
      <c r="F35" s="497">
        <v>0</v>
      </c>
      <c r="G35" s="120">
        <v>0</v>
      </c>
    </row>
    <row r="36" spans="1:7" s="225" customFormat="1" ht="13.5" customHeight="1">
      <c r="A36" s="260"/>
      <c r="B36" s="261"/>
      <c r="C36" s="262" t="s">
        <v>199</v>
      </c>
      <c r="D36" s="263">
        <f t="shared" ref="D36:G36" si="2">D22+D23+D24+D25+D26+D27+D28+D29+D30+D31+D32+D34</f>
        <v>13836566.328349994</v>
      </c>
      <c r="E36" s="263">
        <f t="shared" si="2"/>
        <v>14350250.220600002</v>
      </c>
      <c r="F36" s="263">
        <f t="shared" si="2"/>
        <v>14469020.978269998</v>
      </c>
      <c r="G36" s="263">
        <f t="shared" si="2"/>
        <v>14843853.504530001</v>
      </c>
    </row>
    <row r="37" spans="1:7" s="76" customFormat="1" ht="15" customHeight="1">
      <c r="A37" s="260"/>
      <c r="B37" s="261"/>
      <c r="C37" s="262" t="s">
        <v>200</v>
      </c>
      <c r="D37" s="263">
        <f t="shared" ref="D37:G37" si="3">D36-D21</f>
        <v>-435212.81526000425</v>
      </c>
      <c r="E37" s="263">
        <f t="shared" si="3"/>
        <v>-302842.36064999923</v>
      </c>
      <c r="F37" s="263">
        <f t="shared" si="3"/>
        <v>-169116.29646000266</v>
      </c>
      <c r="G37" s="263">
        <f t="shared" si="3"/>
        <v>-180571.29306999967</v>
      </c>
    </row>
    <row r="38" spans="1:7" s="106" customFormat="1" ht="15" customHeight="1">
      <c r="A38" s="101">
        <v>340</v>
      </c>
      <c r="B38" s="93"/>
      <c r="C38" s="94" t="s">
        <v>201</v>
      </c>
      <c r="D38" s="245">
        <v>122641.91751</v>
      </c>
      <c r="E38" s="245">
        <v>128274.163</v>
      </c>
      <c r="F38" s="130">
        <v>133830.18698999999</v>
      </c>
      <c r="G38" s="124">
        <v>117042.1</v>
      </c>
    </row>
    <row r="39" spans="1:7" s="106" customFormat="1" ht="15" customHeight="1">
      <c r="A39" s="101">
        <v>341</v>
      </c>
      <c r="B39" s="93"/>
      <c r="C39" s="94" t="s">
        <v>202</v>
      </c>
      <c r="D39" s="245">
        <v>1710.9639299999999</v>
      </c>
      <c r="E39" s="245">
        <v>344.6</v>
      </c>
      <c r="F39" s="130">
        <v>1739.5748999999998</v>
      </c>
      <c r="G39" s="124">
        <v>533.70000000000005</v>
      </c>
    </row>
    <row r="40" spans="1:7" s="106" customFormat="1" ht="15" customHeight="1">
      <c r="A40" s="101">
        <v>342</v>
      </c>
      <c r="B40" s="93"/>
      <c r="C40" s="94" t="s">
        <v>203</v>
      </c>
      <c r="D40" s="245">
        <v>814.59722999999997</v>
      </c>
      <c r="E40" s="245">
        <v>705</v>
      </c>
      <c r="F40" s="130">
        <v>694.52233999999999</v>
      </c>
      <c r="G40" s="124">
        <v>755</v>
      </c>
    </row>
    <row r="41" spans="1:7" s="106" customFormat="1" ht="15" customHeight="1">
      <c r="A41" s="101">
        <v>343</v>
      </c>
      <c r="B41" s="93"/>
      <c r="C41" s="94" t="s">
        <v>204</v>
      </c>
      <c r="D41" s="245">
        <v>13502.086880000001</v>
      </c>
      <c r="E41" s="245">
        <v>5829</v>
      </c>
      <c r="F41" s="130">
        <v>3005.0072400000004</v>
      </c>
      <c r="G41" s="124">
        <v>11477.8</v>
      </c>
    </row>
    <row r="42" spans="1:7" s="106" customFormat="1" ht="15" customHeight="1">
      <c r="A42" s="101">
        <v>344</v>
      </c>
      <c r="B42" s="93"/>
      <c r="C42" s="94" t="s">
        <v>205</v>
      </c>
      <c r="D42" s="245">
        <v>2488.28917</v>
      </c>
      <c r="E42" s="245">
        <v>70</v>
      </c>
      <c r="F42" s="130">
        <v>42628.754409999994</v>
      </c>
      <c r="G42" s="124">
        <v>20</v>
      </c>
    </row>
    <row r="43" spans="1:7" s="106" customFormat="1" ht="15" customHeight="1">
      <c r="A43" s="101">
        <v>349</v>
      </c>
      <c r="B43" s="93"/>
      <c r="C43" s="94" t="s">
        <v>206</v>
      </c>
      <c r="D43" s="245">
        <v>1007.86076</v>
      </c>
      <c r="E43" s="245">
        <v>2053.6</v>
      </c>
      <c r="F43" s="130">
        <v>325.21897999999999</v>
      </c>
      <c r="G43" s="124">
        <v>190</v>
      </c>
    </row>
    <row r="44" spans="1:7" s="91" customFormat="1" ht="15" customHeight="1">
      <c r="A44" s="92">
        <v>440</v>
      </c>
      <c r="B44" s="93"/>
      <c r="C44" s="94" t="s">
        <v>207</v>
      </c>
      <c r="D44" s="245">
        <v>43136.89056</v>
      </c>
      <c r="E44" s="245">
        <v>44738.1</v>
      </c>
      <c r="F44" s="130">
        <v>40753.594969999998</v>
      </c>
      <c r="G44" s="124">
        <v>38947.599999999999</v>
      </c>
    </row>
    <row r="45" spans="1:7" s="91" customFormat="1" ht="15" customHeight="1">
      <c r="A45" s="92">
        <v>441</v>
      </c>
      <c r="B45" s="93"/>
      <c r="C45" s="94" t="s">
        <v>208</v>
      </c>
      <c r="D45" s="245">
        <v>10601.7225</v>
      </c>
      <c r="E45" s="245">
        <v>2157.3000000000002</v>
      </c>
      <c r="F45" s="130">
        <v>6206.4453899999999</v>
      </c>
      <c r="G45" s="124">
        <v>2620.5</v>
      </c>
    </row>
    <row r="46" spans="1:7" s="91" customFormat="1" ht="15" customHeight="1">
      <c r="A46" s="92">
        <v>442</v>
      </c>
      <c r="B46" s="93"/>
      <c r="C46" s="94" t="s">
        <v>209</v>
      </c>
      <c r="D46" s="245">
        <v>548.47964999999999</v>
      </c>
      <c r="E46" s="245">
        <v>106</v>
      </c>
      <c r="F46" s="130">
        <v>562.96044999999992</v>
      </c>
      <c r="G46" s="124">
        <v>115</v>
      </c>
    </row>
    <row r="47" spans="1:7" s="91" customFormat="1" ht="15" customHeight="1">
      <c r="A47" s="92">
        <v>443</v>
      </c>
      <c r="B47" s="93"/>
      <c r="C47" s="94" t="s">
        <v>210</v>
      </c>
      <c r="D47" s="245">
        <v>22893.32994</v>
      </c>
      <c r="E47" s="245">
        <v>24499.15</v>
      </c>
      <c r="F47" s="130">
        <v>23259.118600000002</v>
      </c>
      <c r="G47" s="124">
        <v>26015.759999999998</v>
      </c>
    </row>
    <row r="48" spans="1:7" s="91" customFormat="1" ht="15" customHeight="1">
      <c r="A48" s="92">
        <v>444</v>
      </c>
      <c r="B48" s="93"/>
      <c r="C48" s="94" t="s">
        <v>205</v>
      </c>
      <c r="D48" s="245">
        <v>4213.0234299999993</v>
      </c>
      <c r="E48" s="245">
        <v>3020</v>
      </c>
      <c r="F48" s="130">
        <v>49429.706009999994</v>
      </c>
      <c r="G48" s="124">
        <v>2000</v>
      </c>
    </row>
    <row r="49" spans="1:7" s="91" customFormat="1" ht="15" customHeight="1">
      <c r="A49" s="92">
        <v>445</v>
      </c>
      <c r="B49" s="93"/>
      <c r="C49" s="94" t="s">
        <v>211</v>
      </c>
      <c r="D49" s="245">
        <v>54727.358</v>
      </c>
      <c r="E49" s="245">
        <v>32638.6</v>
      </c>
      <c r="F49" s="130">
        <v>37748.265950000001</v>
      </c>
      <c r="G49" s="124">
        <v>37120.800000000003</v>
      </c>
    </row>
    <row r="50" spans="1:7" s="91" customFormat="1" ht="15" customHeight="1">
      <c r="A50" s="92">
        <v>446</v>
      </c>
      <c r="B50" s="93"/>
      <c r="C50" s="94" t="s">
        <v>212</v>
      </c>
      <c r="D50" s="245">
        <v>270557.56300000002</v>
      </c>
      <c r="E50" s="245">
        <v>227775</v>
      </c>
      <c r="F50" s="130">
        <v>165860.75</v>
      </c>
      <c r="G50" s="124">
        <v>240038</v>
      </c>
    </row>
    <row r="51" spans="1:7" s="91" customFormat="1" ht="15" customHeight="1">
      <c r="A51" s="92">
        <v>447</v>
      </c>
      <c r="B51" s="93"/>
      <c r="C51" s="94" t="s">
        <v>213</v>
      </c>
      <c r="D51" s="245">
        <v>34339.261259999999</v>
      </c>
      <c r="E51" s="245">
        <v>29491.24</v>
      </c>
      <c r="F51" s="130">
        <v>36149.226600000002</v>
      </c>
      <c r="G51" s="124">
        <v>27458.2</v>
      </c>
    </row>
    <row r="52" spans="1:7" s="91" customFormat="1" ht="15" customHeight="1">
      <c r="A52" s="92">
        <v>448</v>
      </c>
      <c r="B52" s="93"/>
      <c r="C52" s="94" t="s">
        <v>214</v>
      </c>
      <c r="D52" s="245">
        <v>5464.5717199999999</v>
      </c>
      <c r="E52" s="245">
        <v>1781.7</v>
      </c>
      <c r="F52" s="130">
        <v>3931.3497599999996</v>
      </c>
      <c r="G52" s="124">
        <v>4555.53</v>
      </c>
    </row>
    <row r="53" spans="1:7" s="91" customFormat="1" ht="15" customHeight="1">
      <c r="A53" s="92">
        <v>449</v>
      </c>
      <c r="B53" s="93"/>
      <c r="C53" s="94" t="s">
        <v>215</v>
      </c>
      <c r="D53" s="245">
        <v>7933.9722499999998</v>
      </c>
      <c r="E53" s="245">
        <v>466</v>
      </c>
      <c r="F53" s="130">
        <v>5354.1171299999996</v>
      </c>
      <c r="G53" s="124">
        <v>225</v>
      </c>
    </row>
    <row r="54" spans="1:7" s="106" customFormat="1" ht="13.5" customHeight="1">
      <c r="A54" s="136" t="s">
        <v>216</v>
      </c>
      <c r="B54" s="137"/>
      <c r="C54" s="137" t="s">
        <v>217</v>
      </c>
      <c r="D54" s="500">
        <v>7928.0041500000007</v>
      </c>
      <c r="E54" s="500">
        <v>206</v>
      </c>
      <c r="F54" s="130">
        <v>4761.75756</v>
      </c>
      <c r="G54" s="139">
        <v>225</v>
      </c>
    </row>
    <row r="55" spans="1:7" ht="15" customHeight="1">
      <c r="A55" s="134"/>
      <c r="B55" s="134"/>
      <c r="C55" s="122" t="s">
        <v>218</v>
      </c>
      <c r="D55" s="123">
        <f t="shared" ref="D55:G55" si="4">SUM(D44:D53)-SUM(D38:D43)</f>
        <v>312250.45682999998</v>
      </c>
      <c r="E55" s="123">
        <f t="shared" si="4"/>
        <v>229396.72700000001</v>
      </c>
      <c r="F55" s="123">
        <f t="shared" si="4"/>
        <v>187032.27000000002</v>
      </c>
      <c r="G55" s="123">
        <f t="shared" si="4"/>
        <v>249077.79000000007</v>
      </c>
    </row>
    <row r="56" spans="1:7" ht="14.25" customHeight="1">
      <c r="A56" s="134"/>
      <c r="B56" s="134"/>
      <c r="C56" s="122" t="s">
        <v>219</v>
      </c>
      <c r="D56" s="123">
        <f t="shared" ref="D56:G56" si="5">D55+D37</f>
        <v>-122962.35843000427</v>
      </c>
      <c r="E56" s="123">
        <f t="shared" si="5"/>
        <v>-73445.633649999218</v>
      </c>
      <c r="F56" s="123">
        <f t="shared" si="5"/>
        <v>17915.973539997358</v>
      </c>
      <c r="G56" s="123">
        <f t="shared" si="5"/>
        <v>68506.496930000401</v>
      </c>
    </row>
    <row r="57" spans="1:7" s="91" customFormat="1" ht="15.75" customHeight="1">
      <c r="A57" s="140">
        <v>380</v>
      </c>
      <c r="B57" s="141"/>
      <c r="C57" s="142" t="s">
        <v>220</v>
      </c>
      <c r="D57" s="265">
        <v>0</v>
      </c>
      <c r="E57" s="266">
        <v>0</v>
      </c>
      <c r="F57" s="266">
        <v>0</v>
      </c>
      <c r="G57" s="266">
        <v>0</v>
      </c>
    </row>
    <row r="58" spans="1:7" s="91" customFormat="1" ht="15.75" customHeight="1">
      <c r="A58" s="140">
        <v>381</v>
      </c>
      <c r="B58" s="141"/>
      <c r="C58" s="142" t="s">
        <v>221</v>
      </c>
      <c r="D58" s="265">
        <v>0</v>
      </c>
      <c r="E58" s="245">
        <v>-100000</v>
      </c>
      <c r="F58" s="266">
        <v>0</v>
      </c>
      <c r="G58" s="266">
        <v>0</v>
      </c>
    </row>
    <row r="59" spans="1:7" s="106" customFormat="1" ht="14">
      <c r="A59" s="102">
        <v>383</v>
      </c>
      <c r="B59" s="103"/>
      <c r="C59" s="104" t="s">
        <v>222</v>
      </c>
      <c r="D59" s="267">
        <v>0</v>
      </c>
      <c r="E59" s="144">
        <v>0</v>
      </c>
      <c r="F59" s="144">
        <v>0</v>
      </c>
      <c r="G59" s="144">
        <v>0</v>
      </c>
    </row>
    <row r="60" spans="1:7" s="106" customFormat="1" ht="14">
      <c r="A60" s="102">
        <v>3840</v>
      </c>
      <c r="B60" s="103"/>
      <c r="C60" s="104" t="s">
        <v>223</v>
      </c>
      <c r="D60" s="268">
        <v>0</v>
      </c>
      <c r="E60" s="269">
        <v>0</v>
      </c>
      <c r="F60" s="269">
        <v>0</v>
      </c>
      <c r="G60" s="269">
        <v>0</v>
      </c>
    </row>
    <row r="61" spans="1:7" s="106" customFormat="1" ht="14">
      <c r="A61" s="102">
        <v>3841</v>
      </c>
      <c r="B61" s="103"/>
      <c r="C61" s="104" t="s">
        <v>224</v>
      </c>
      <c r="D61" s="268">
        <v>0</v>
      </c>
      <c r="E61" s="269">
        <v>0</v>
      </c>
      <c r="F61" s="269">
        <v>0</v>
      </c>
      <c r="G61" s="269">
        <v>0</v>
      </c>
    </row>
    <row r="62" spans="1:7" s="106" customFormat="1" ht="14">
      <c r="A62" s="147">
        <v>386</v>
      </c>
      <c r="B62" s="148"/>
      <c r="C62" s="149" t="s">
        <v>225</v>
      </c>
      <c r="D62" s="268">
        <v>0</v>
      </c>
      <c r="E62" s="269">
        <v>0</v>
      </c>
      <c r="F62" s="269">
        <v>0</v>
      </c>
      <c r="G62" s="269">
        <v>0</v>
      </c>
    </row>
    <row r="63" spans="1:7" s="106" customFormat="1" ht="28">
      <c r="A63" s="102">
        <v>387</v>
      </c>
      <c r="B63" s="103"/>
      <c r="C63" s="104" t="s">
        <v>226</v>
      </c>
      <c r="D63" s="268">
        <v>0</v>
      </c>
      <c r="E63" s="269">
        <v>0</v>
      </c>
      <c r="F63" s="269">
        <v>0</v>
      </c>
      <c r="G63" s="269">
        <v>0</v>
      </c>
    </row>
    <row r="64" spans="1:7" s="106" customFormat="1">
      <c r="A64" s="101">
        <v>389</v>
      </c>
      <c r="B64" s="150"/>
      <c r="C64" s="94" t="s">
        <v>42</v>
      </c>
      <c r="D64" s="95">
        <v>0</v>
      </c>
      <c r="E64" s="124">
        <v>0</v>
      </c>
      <c r="F64" s="124">
        <v>0</v>
      </c>
      <c r="G64" s="124">
        <v>0</v>
      </c>
    </row>
    <row r="65" spans="1:8" s="91" customFormat="1">
      <c r="A65" s="92" t="s">
        <v>227</v>
      </c>
      <c r="B65" s="93"/>
      <c r="C65" s="94" t="s">
        <v>228</v>
      </c>
      <c r="D65" s="95">
        <v>0</v>
      </c>
      <c r="E65" s="124">
        <v>0</v>
      </c>
      <c r="F65" s="124">
        <v>0</v>
      </c>
      <c r="G65" s="124">
        <v>0</v>
      </c>
    </row>
    <row r="66" spans="1:8" s="153" customFormat="1" ht="14">
      <c r="A66" s="154" t="s">
        <v>229</v>
      </c>
      <c r="B66" s="152"/>
      <c r="C66" s="104" t="s">
        <v>230</v>
      </c>
      <c r="D66" s="143">
        <v>0</v>
      </c>
      <c r="E66" s="144">
        <v>0</v>
      </c>
      <c r="F66" s="144">
        <v>0</v>
      </c>
      <c r="G66" s="144">
        <v>0</v>
      </c>
    </row>
    <row r="67" spans="1:8" s="91" customFormat="1">
      <c r="A67" s="154">
        <v>481</v>
      </c>
      <c r="B67" s="93"/>
      <c r="C67" s="94" t="s">
        <v>231</v>
      </c>
      <c r="D67" s="95">
        <v>0</v>
      </c>
      <c r="E67" s="124">
        <v>0</v>
      </c>
      <c r="F67" s="124">
        <v>0</v>
      </c>
      <c r="G67" s="124">
        <v>0</v>
      </c>
    </row>
    <row r="68" spans="1:8" s="91" customFormat="1">
      <c r="A68" s="154">
        <v>482</v>
      </c>
      <c r="B68" s="93"/>
      <c r="C68" s="94" t="s">
        <v>232</v>
      </c>
      <c r="D68" s="95">
        <v>0</v>
      </c>
      <c r="E68" s="124">
        <v>0</v>
      </c>
      <c r="F68" s="124">
        <v>0</v>
      </c>
      <c r="G68" s="124">
        <v>0</v>
      </c>
    </row>
    <row r="69" spans="1:8" s="91" customFormat="1">
      <c r="A69" s="154">
        <v>483</v>
      </c>
      <c r="B69" s="93"/>
      <c r="C69" s="94" t="s">
        <v>233</v>
      </c>
      <c r="D69" s="95">
        <v>0</v>
      </c>
      <c r="E69" s="124">
        <v>0</v>
      </c>
      <c r="F69" s="124">
        <v>0</v>
      </c>
      <c r="G69" s="124">
        <v>0</v>
      </c>
    </row>
    <row r="70" spans="1:8" s="91" customFormat="1">
      <c r="A70" s="154">
        <v>484</v>
      </c>
      <c r="B70" s="93"/>
      <c r="C70" s="94" t="s">
        <v>234</v>
      </c>
      <c r="D70" s="95">
        <v>0</v>
      </c>
      <c r="E70" s="124">
        <v>0</v>
      </c>
      <c r="F70" s="124">
        <v>0</v>
      </c>
      <c r="G70" s="124">
        <v>0</v>
      </c>
    </row>
    <row r="71" spans="1:8" s="91" customFormat="1">
      <c r="A71" s="154">
        <v>485</v>
      </c>
      <c r="B71" s="93"/>
      <c r="C71" s="94" t="s">
        <v>235</v>
      </c>
      <c r="D71" s="95">
        <v>0</v>
      </c>
      <c r="E71" s="124">
        <v>0</v>
      </c>
      <c r="F71" s="124">
        <v>0</v>
      </c>
      <c r="G71" s="124">
        <v>0</v>
      </c>
    </row>
    <row r="72" spans="1:8" s="91" customFormat="1">
      <c r="A72" s="154">
        <v>486</v>
      </c>
      <c r="B72" s="93"/>
      <c r="C72" s="94" t="s">
        <v>236</v>
      </c>
      <c r="D72" s="95">
        <v>0</v>
      </c>
      <c r="E72" s="124">
        <v>0</v>
      </c>
      <c r="F72" s="124">
        <v>0</v>
      </c>
      <c r="G72" s="124">
        <v>0</v>
      </c>
    </row>
    <row r="73" spans="1:8" s="106" customFormat="1">
      <c r="A73" s="154">
        <v>487</v>
      </c>
      <c r="B73" s="98"/>
      <c r="C73" s="94" t="s">
        <v>237</v>
      </c>
      <c r="D73" s="130">
        <v>0</v>
      </c>
      <c r="E73" s="124">
        <v>0</v>
      </c>
      <c r="F73" s="124">
        <v>0</v>
      </c>
      <c r="G73" s="124">
        <v>0</v>
      </c>
    </row>
    <row r="74" spans="1:8" s="106" customFormat="1">
      <c r="A74" s="154">
        <v>489</v>
      </c>
      <c r="B74" s="155"/>
      <c r="C74" s="118" t="s">
        <v>59</v>
      </c>
      <c r="D74" s="130">
        <v>0</v>
      </c>
      <c r="E74" s="124">
        <v>0</v>
      </c>
      <c r="F74" s="124">
        <v>0</v>
      </c>
      <c r="G74" s="124">
        <v>0</v>
      </c>
    </row>
    <row r="75" spans="1:8" s="106" customFormat="1">
      <c r="A75" s="156" t="s">
        <v>238</v>
      </c>
      <c r="B75" s="155"/>
      <c r="C75" s="137" t="s">
        <v>239</v>
      </c>
      <c r="D75" s="95">
        <v>0</v>
      </c>
      <c r="E75" s="124">
        <v>0</v>
      </c>
      <c r="F75" s="124">
        <v>0</v>
      </c>
      <c r="G75" s="124">
        <v>0</v>
      </c>
    </row>
    <row r="76" spans="1:8">
      <c r="A76" s="121"/>
      <c r="B76" s="121"/>
      <c r="C76" s="122" t="s">
        <v>240</v>
      </c>
      <c r="D76" s="123">
        <f t="shared" ref="D76:G76" si="6">SUM(D65:D74)-SUM(D57:D64)</f>
        <v>0</v>
      </c>
      <c r="E76" s="123">
        <f t="shared" si="6"/>
        <v>100000</v>
      </c>
      <c r="F76" s="123">
        <f t="shared" si="6"/>
        <v>0</v>
      </c>
      <c r="G76" s="123">
        <f t="shared" si="6"/>
        <v>0</v>
      </c>
    </row>
    <row r="77" spans="1:8">
      <c r="A77" s="157"/>
      <c r="B77" s="157"/>
      <c r="C77" s="122" t="s">
        <v>241</v>
      </c>
      <c r="D77" s="123">
        <f t="shared" ref="D77:G77" si="7">D56+D76</f>
        <v>-122962.35843000427</v>
      </c>
      <c r="E77" s="123">
        <f t="shared" si="7"/>
        <v>26554.366350000782</v>
      </c>
      <c r="F77" s="123">
        <f t="shared" si="7"/>
        <v>17915.973539997358</v>
      </c>
      <c r="G77" s="123">
        <f t="shared" si="7"/>
        <v>68506.496930000401</v>
      </c>
    </row>
    <row r="78" spans="1:8">
      <c r="A78" s="158">
        <v>3</v>
      </c>
      <c r="B78" s="158"/>
      <c r="C78" s="159" t="s">
        <v>242</v>
      </c>
      <c r="D78" s="160">
        <f t="shared" ref="D78:G78" si="8">D20+D21+SUM(D38:D43)+SUM(D57:D64)</f>
        <v>14413944.859089999</v>
      </c>
      <c r="E78" s="160">
        <f t="shared" si="8"/>
        <v>14690368.944250001</v>
      </c>
      <c r="F78" s="160">
        <f t="shared" si="8"/>
        <v>14820360.539590001</v>
      </c>
      <c r="G78" s="160">
        <f t="shared" si="8"/>
        <v>15154443.397600001</v>
      </c>
      <c r="H78" s="84" t="s">
        <v>634</v>
      </c>
    </row>
    <row r="79" spans="1:8" ht="14" customHeight="1">
      <c r="A79" s="158">
        <v>4</v>
      </c>
      <c r="B79" s="158"/>
      <c r="C79" s="159" t="s">
        <v>243</v>
      </c>
      <c r="D79" s="160">
        <f t="shared" ref="D79:G79" si="9">D35+D36+SUM(D44:D53)+SUM(D65:D74)</f>
        <v>14290982.500659995</v>
      </c>
      <c r="E79" s="160">
        <f t="shared" si="9"/>
        <v>14716923.310600001</v>
      </c>
      <c r="F79" s="160">
        <f t="shared" si="9"/>
        <v>14838276.513129998</v>
      </c>
      <c r="G79" s="160">
        <f t="shared" si="9"/>
        <v>15222949.894530002</v>
      </c>
    </row>
    <row r="80" spans="1:8">
      <c r="C80" s="135"/>
      <c r="E80" s="501"/>
    </row>
    <row r="81" spans="1:7">
      <c r="A81" s="680" t="s">
        <v>244</v>
      </c>
      <c r="B81" s="681"/>
      <c r="C81" s="681"/>
    </row>
    <row r="82" spans="1:7" s="91" customFormat="1">
      <c r="A82" s="164">
        <v>50</v>
      </c>
      <c r="B82" s="165"/>
      <c r="C82" s="165" t="s">
        <v>245</v>
      </c>
      <c r="D82" s="502">
        <v>711709.76680999994</v>
      </c>
      <c r="E82" s="503">
        <v>492810.3</v>
      </c>
      <c r="F82" s="270">
        <v>469095.27886999998</v>
      </c>
      <c r="G82" s="272">
        <v>730551.1</v>
      </c>
    </row>
    <row r="83" spans="1:7" s="91" customFormat="1">
      <c r="A83" s="164">
        <v>51</v>
      </c>
      <c r="B83" s="165"/>
      <c r="C83" s="165" t="s">
        <v>246</v>
      </c>
      <c r="D83" s="504">
        <v>1248.4447500000001</v>
      </c>
      <c r="E83" s="504">
        <v>100</v>
      </c>
      <c r="F83" s="95">
        <v>264.791</v>
      </c>
      <c r="G83" s="124">
        <v>750</v>
      </c>
    </row>
    <row r="84" spans="1:7" s="91" customFormat="1">
      <c r="A84" s="164">
        <v>52</v>
      </c>
      <c r="B84" s="165"/>
      <c r="C84" s="165" t="s">
        <v>247</v>
      </c>
      <c r="D84" s="504">
        <v>35102.238310000001</v>
      </c>
      <c r="E84" s="504">
        <v>46736</v>
      </c>
      <c r="F84" s="95">
        <v>37825.898270000005</v>
      </c>
      <c r="G84" s="124">
        <v>55511</v>
      </c>
    </row>
    <row r="85" spans="1:7" s="91" customFormat="1">
      <c r="A85" s="166">
        <v>54</v>
      </c>
      <c r="B85" s="167"/>
      <c r="C85" s="167" t="s">
        <v>248</v>
      </c>
      <c r="D85" s="505">
        <v>12386.517</v>
      </c>
      <c r="E85" s="505">
        <v>28000</v>
      </c>
      <c r="F85" s="95">
        <v>26708.371199999998</v>
      </c>
      <c r="G85" s="132">
        <v>30150</v>
      </c>
    </row>
    <row r="86" spans="1:7" s="91" customFormat="1">
      <c r="A86" s="166">
        <v>55</v>
      </c>
      <c r="B86" s="167"/>
      <c r="C86" s="167" t="s">
        <v>249</v>
      </c>
      <c r="D86" s="505">
        <v>21137.607</v>
      </c>
      <c r="E86" s="505">
        <v>500000</v>
      </c>
      <c r="F86" s="95">
        <v>500090.29567000002</v>
      </c>
      <c r="G86" s="132">
        <v>1023</v>
      </c>
    </row>
    <row r="87" spans="1:7" s="91" customFormat="1">
      <c r="A87" s="166">
        <v>56</v>
      </c>
      <c r="B87" s="167"/>
      <c r="C87" s="167" t="s">
        <v>250</v>
      </c>
      <c r="D87" s="505">
        <v>197149.08351</v>
      </c>
      <c r="E87" s="505">
        <v>239633.7</v>
      </c>
      <c r="F87" s="95">
        <v>176947.77736000001</v>
      </c>
      <c r="G87" s="132">
        <v>221894.7</v>
      </c>
    </row>
    <row r="88" spans="1:7" s="91" customFormat="1">
      <c r="A88" s="164">
        <v>57</v>
      </c>
      <c r="B88" s="165"/>
      <c r="C88" s="165" t="s">
        <v>251</v>
      </c>
      <c r="D88" s="504">
        <v>39130.228299999995</v>
      </c>
      <c r="E88" s="504">
        <v>32769</v>
      </c>
      <c r="F88" s="95">
        <v>38247.532899999998</v>
      </c>
      <c r="G88" s="124">
        <v>34683</v>
      </c>
    </row>
    <row r="89" spans="1:7" s="91" customFormat="1">
      <c r="A89" s="164">
        <v>580</v>
      </c>
      <c r="B89" s="165"/>
      <c r="C89" s="165" t="s">
        <v>252</v>
      </c>
      <c r="D89" s="504">
        <v>0</v>
      </c>
      <c r="E89" s="504">
        <v>0</v>
      </c>
      <c r="F89" s="95">
        <v>0</v>
      </c>
      <c r="G89" s="124">
        <v>0</v>
      </c>
    </row>
    <row r="90" spans="1:7" s="91" customFormat="1">
      <c r="A90" s="164">
        <v>582</v>
      </c>
      <c r="B90" s="165"/>
      <c r="C90" s="165" t="s">
        <v>253</v>
      </c>
      <c r="D90" s="504">
        <v>0</v>
      </c>
      <c r="E90" s="504">
        <v>0</v>
      </c>
      <c r="F90" s="95">
        <v>0</v>
      </c>
      <c r="G90" s="124">
        <v>0</v>
      </c>
    </row>
    <row r="91" spans="1:7" s="91" customFormat="1">
      <c r="A91" s="164">
        <v>584</v>
      </c>
      <c r="B91" s="165"/>
      <c r="C91" s="165" t="s">
        <v>254</v>
      </c>
      <c r="D91" s="504">
        <v>0</v>
      </c>
      <c r="E91" s="504">
        <v>0</v>
      </c>
      <c r="F91" s="95">
        <v>0</v>
      </c>
      <c r="G91" s="124">
        <v>0</v>
      </c>
    </row>
    <row r="92" spans="1:7" s="91" customFormat="1">
      <c r="A92" s="164">
        <v>585</v>
      </c>
      <c r="B92" s="165"/>
      <c r="C92" s="165" t="s">
        <v>255</v>
      </c>
      <c r="D92" s="504">
        <v>0</v>
      </c>
      <c r="E92" s="504">
        <v>0</v>
      </c>
      <c r="F92" s="95">
        <v>0</v>
      </c>
      <c r="G92" s="124">
        <v>0</v>
      </c>
    </row>
    <row r="93" spans="1:7" s="91" customFormat="1">
      <c r="A93" s="164">
        <v>586</v>
      </c>
      <c r="B93" s="165"/>
      <c r="C93" s="165" t="s">
        <v>256</v>
      </c>
      <c r="D93" s="504">
        <v>0</v>
      </c>
      <c r="E93" s="504">
        <v>0</v>
      </c>
      <c r="F93" s="95">
        <v>0</v>
      </c>
      <c r="G93" s="124">
        <v>0</v>
      </c>
    </row>
    <row r="94" spans="1:7" s="91" customFormat="1">
      <c r="A94" s="168">
        <v>589</v>
      </c>
      <c r="B94" s="169"/>
      <c r="C94" s="169" t="s">
        <v>257</v>
      </c>
      <c r="D94" s="506">
        <v>0</v>
      </c>
      <c r="E94" s="506">
        <v>0</v>
      </c>
      <c r="F94" s="119">
        <v>0</v>
      </c>
      <c r="G94" s="133">
        <v>0</v>
      </c>
    </row>
    <row r="95" spans="1:7">
      <c r="A95" s="170">
        <v>5</v>
      </c>
      <c r="B95" s="171"/>
      <c r="C95" s="171" t="s">
        <v>258</v>
      </c>
      <c r="D95" s="172">
        <f t="shared" ref="D95:G95" si="10">SUM(D82:D94)</f>
        <v>1017863.8856799999</v>
      </c>
      <c r="E95" s="172">
        <f t="shared" si="10"/>
        <v>1340049</v>
      </c>
      <c r="F95" s="172">
        <f t="shared" si="10"/>
        <v>1249179.94527</v>
      </c>
      <c r="G95" s="172">
        <f t="shared" si="10"/>
        <v>1074562.8</v>
      </c>
    </row>
    <row r="96" spans="1:7" s="91" customFormat="1">
      <c r="A96" s="164">
        <v>60</v>
      </c>
      <c r="B96" s="165"/>
      <c r="C96" s="165" t="s">
        <v>259</v>
      </c>
      <c r="D96" s="245">
        <v>733.03195999999991</v>
      </c>
      <c r="E96" s="245">
        <v>210</v>
      </c>
      <c r="F96" s="124">
        <v>742.14599999999996</v>
      </c>
      <c r="G96" s="124">
        <v>100</v>
      </c>
    </row>
    <row r="97" spans="1:7" s="91" customFormat="1">
      <c r="A97" s="164">
        <v>61</v>
      </c>
      <c r="B97" s="165"/>
      <c r="C97" s="165" t="s">
        <v>260</v>
      </c>
      <c r="D97" s="245">
        <v>1248.4447500000001</v>
      </c>
      <c r="E97" s="245">
        <v>100</v>
      </c>
      <c r="F97" s="124">
        <v>264.791</v>
      </c>
      <c r="G97" s="124">
        <v>750</v>
      </c>
    </row>
    <row r="98" spans="1:7" s="91" customFormat="1">
      <c r="A98" s="164">
        <v>62</v>
      </c>
      <c r="B98" s="165"/>
      <c r="C98" s="165" t="s">
        <v>261</v>
      </c>
      <c r="D98" s="245">
        <v>240.4521</v>
      </c>
      <c r="E98" s="245">
        <v>0</v>
      </c>
      <c r="F98" s="124">
        <v>70.56519999999999</v>
      </c>
      <c r="G98" s="124">
        <v>0</v>
      </c>
    </row>
    <row r="99" spans="1:7" s="91" customFormat="1">
      <c r="A99" s="164">
        <v>63</v>
      </c>
      <c r="B99" s="165"/>
      <c r="C99" s="165" t="s">
        <v>262</v>
      </c>
      <c r="D99" s="245">
        <v>73126.564239999992</v>
      </c>
      <c r="E99" s="245">
        <v>23270.799999999999</v>
      </c>
      <c r="F99" s="124">
        <v>26245.497090000001</v>
      </c>
      <c r="G99" s="124">
        <v>34378</v>
      </c>
    </row>
    <row r="100" spans="1:7" s="91" customFormat="1">
      <c r="A100" s="164">
        <v>64</v>
      </c>
      <c r="B100" s="165"/>
      <c r="C100" s="165" t="s">
        <v>263</v>
      </c>
      <c r="D100" s="245">
        <v>460376.41414999997</v>
      </c>
      <c r="E100" s="245">
        <v>78362.7</v>
      </c>
      <c r="F100" s="124">
        <v>100269.33734999999</v>
      </c>
      <c r="G100" s="124">
        <v>46180.3</v>
      </c>
    </row>
    <row r="101" spans="1:7" s="91" customFormat="1">
      <c r="A101" s="164">
        <v>65</v>
      </c>
      <c r="B101" s="165"/>
      <c r="C101" s="165" t="s">
        <v>264</v>
      </c>
      <c r="D101" s="245">
        <v>243</v>
      </c>
      <c r="E101" s="245">
        <v>0</v>
      </c>
      <c r="F101" s="124">
        <v>1.7665</v>
      </c>
      <c r="G101" s="124">
        <v>0</v>
      </c>
    </row>
    <row r="102" spans="1:7" s="91" customFormat="1">
      <c r="A102" s="164">
        <v>66</v>
      </c>
      <c r="B102" s="165"/>
      <c r="C102" s="165" t="s">
        <v>265</v>
      </c>
      <c r="D102" s="245">
        <v>2064.3353000000002</v>
      </c>
      <c r="E102" s="245">
        <v>200</v>
      </c>
      <c r="F102" s="124">
        <v>2103.3690000000001</v>
      </c>
      <c r="G102" s="124">
        <v>200</v>
      </c>
    </row>
    <row r="103" spans="1:7" s="91" customFormat="1">
      <c r="A103" s="164">
        <v>67</v>
      </c>
      <c r="B103" s="165"/>
      <c r="C103" s="165" t="s">
        <v>251</v>
      </c>
      <c r="D103" s="492">
        <v>39130.228299999995</v>
      </c>
      <c r="E103" s="492">
        <v>32769</v>
      </c>
      <c r="F103" s="124">
        <v>38247.532899999998</v>
      </c>
      <c r="G103" s="96">
        <v>34683</v>
      </c>
    </row>
    <row r="104" spans="1:7" s="91" customFormat="1" ht="28">
      <c r="A104" s="173" t="s">
        <v>266</v>
      </c>
      <c r="B104" s="165"/>
      <c r="C104" s="174" t="s">
        <v>267</v>
      </c>
      <c r="D104" s="491">
        <v>0</v>
      </c>
      <c r="E104" s="491">
        <v>0</v>
      </c>
      <c r="F104" s="124">
        <v>0</v>
      </c>
      <c r="G104" s="277">
        <v>0</v>
      </c>
    </row>
    <row r="105" spans="1:7" s="91" customFormat="1" ht="42">
      <c r="A105" s="175" t="s">
        <v>268</v>
      </c>
      <c r="B105" s="169"/>
      <c r="C105" s="176" t="s">
        <v>269</v>
      </c>
      <c r="D105" s="491">
        <v>0</v>
      </c>
      <c r="E105" s="491">
        <v>0</v>
      </c>
      <c r="F105" s="124">
        <v>0</v>
      </c>
      <c r="G105" s="279">
        <v>0</v>
      </c>
    </row>
    <row r="106" spans="1:7">
      <c r="A106" s="170">
        <v>6</v>
      </c>
      <c r="B106" s="171"/>
      <c r="C106" s="171" t="s">
        <v>270</v>
      </c>
      <c r="D106" s="172">
        <f t="shared" ref="D106:G106" si="11">SUM(D96:D105)</f>
        <v>577162.47080000001</v>
      </c>
      <c r="E106" s="172">
        <f t="shared" si="11"/>
        <v>134912.5</v>
      </c>
      <c r="F106" s="172">
        <f t="shared" si="11"/>
        <v>167945.00503999999</v>
      </c>
      <c r="G106" s="172">
        <f t="shared" si="11"/>
        <v>116291.3</v>
      </c>
    </row>
    <row r="107" spans="1:7">
      <c r="A107" s="178" t="s">
        <v>271</v>
      </c>
      <c r="B107" s="178"/>
      <c r="C107" s="171" t="s">
        <v>1</v>
      </c>
      <c r="D107" s="172">
        <f t="shared" ref="D107:G107" si="12">(D95-D88)-(D106-D103)</f>
        <v>440701.41487999994</v>
      </c>
      <c r="E107" s="172">
        <f t="shared" si="12"/>
        <v>1205136.5</v>
      </c>
      <c r="F107" s="172">
        <f t="shared" si="12"/>
        <v>1081234.9402300001</v>
      </c>
      <c r="G107" s="172">
        <f t="shared" si="12"/>
        <v>958271.5</v>
      </c>
    </row>
    <row r="108" spans="1:7">
      <c r="A108" s="179" t="s">
        <v>272</v>
      </c>
      <c r="B108" s="179"/>
      <c r="C108" s="180" t="s">
        <v>273</v>
      </c>
      <c r="D108" s="280">
        <f t="shared" ref="D108:G108" si="13">D107-D85-D86+D100+D101</f>
        <v>867796.70502999984</v>
      </c>
      <c r="E108" s="280">
        <f t="shared" si="13"/>
        <v>755499.2</v>
      </c>
      <c r="F108" s="280">
        <f t="shared" si="13"/>
        <v>654707.37721000018</v>
      </c>
      <c r="G108" s="280">
        <f t="shared" si="13"/>
        <v>973278.8</v>
      </c>
    </row>
    <row r="109" spans="1:7">
      <c r="C109" s="135"/>
    </row>
    <row r="110" spans="1:7">
      <c r="A110" s="181" t="s">
        <v>274</v>
      </c>
      <c r="B110" s="182"/>
      <c r="C110" s="181"/>
    </row>
    <row r="111" spans="1:7" s="91" customFormat="1">
      <c r="A111" s="183">
        <v>10</v>
      </c>
      <c r="B111" s="184"/>
      <c r="C111" s="184" t="s">
        <v>275</v>
      </c>
      <c r="D111" s="186">
        <f t="shared" ref="D111:G111" si="14">D112+D117</f>
        <v>7297938.6374899996</v>
      </c>
      <c r="E111" s="186">
        <f t="shared" si="14"/>
        <v>0</v>
      </c>
      <c r="F111" s="186">
        <f t="shared" si="14"/>
        <v>5896743.7859000005</v>
      </c>
      <c r="G111" s="186">
        <f t="shared" si="14"/>
        <v>0</v>
      </c>
    </row>
    <row r="112" spans="1:7" s="91" customFormat="1">
      <c r="A112" s="187" t="s">
        <v>276</v>
      </c>
      <c r="B112" s="188"/>
      <c r="C112" s="188" t="s">
        <v>277</v>
      </c>
      <c r="D112" s="186">
        <f t="shared" ref="D112:G112" si="15">D113+D114+D115+D116</f>
        <v>6190003.8264899999</v>
      </c>
      <c r="E112" s="186">
        <f t="shared" si="15"/>
        <v>0</v>
      </c>
      <c r="F112" s="186">
        <f t="shared" si="15"/>
        <v>4794719.3299400005</v>
      </c>
      <c r="G112" s="186">
        <f t="shared" si="15"/>
        <v>0</v>
      </c>
    </row>
    <row r="113" spans="1:7" s="91" customFormat="1">
      <c r="A113" s="281" t="s">
        <v>278</v>
      </c>
      <c r="B113" s="208"/>
      <c r="C113" s="208" t="s">
        <v>279</v>
      </c>
      <c r="D113" s="500">
        <v>5450093.0767999999</v>
      </c>
      <c r="E113" s="100">
        <v>0</v>
      </c>
      <c r="F113" s="100">
        <v>3658822.5754200001</v>
      </c>
      <c r="G113" s="100">
        <v>0</v>
      </c>
    </row>
    <row r="114" spans="1:7" s="153" customFormat="1" ht="15" customHeight="1">
      <c r="A114" s="282">
        <v>102</v>
      </c>
      <c r="B114" s="283"/>
      <c r="C114" s="283" t="s">
        <v>280</v>
      </c>
      <c r="D114" s="507">
        <v>141707.24405000001</v>
      </c>
      <c r="E114" s="284">
        <v>0</v>
      </c>
      <c r="F114" s="100">
        <v>137105.67915000001</v>
      </c>
      <c r="G114" s="284">
        <v>0</v>
      </c>
    </row>
    <row r="115" spans="1:7" s="91" customFormat="1">
      <c r="A115" s="281">
        <v>104</v>
      </c>
      <c r="B115" s="208"/>
      <c r="C115" s="208" t="s">
        <v>281</v>
      </c>
      <c r="D115" s="500">
        <v>539586.00857000006</v>
      </c>
      <c r="E115" s="100">
        <v>0</v>
      </c>
      <c r="F115" s="100">
        <v>939602.16301999998</v>
      </c>
      <c r="G115" s="100">
        <v>0</v>
      </c>
    </row>
    <row r="116" spans="1:7" s="91" customFormat="1">
      <c r="A116" s="281">
        <v>106</v>
      </c>
      <c r="B116" s="208"/>
      <c r="C116" s="208" t="s">
        <v>282</v>
      </c>
      <c r="D116" s="500">
        <v>58617.497069999998</v>
      </c>
      <c r="E116" s="100">
        <v>0</v>
      </c>
      <c r="F116" s="100">
        <v>59188.912349999999</v>
      </c>
      <c r="G116" s="100">
        <v>0</v>
      </c>
    </row>
    <row r="117" spans="1:7" s="91" customFormat="1">
      <c r="A117" s="187" t="s">
        <v>283</v>
      </c>
      <c r="B117" s="188"/>
      <c r="C117" s="188" t="s">
        <v>284</v>
      </c>
      <c r="D117" s="186">
        <f t="shared" ref="D117:G117" si="16">D118+D119+D120</f>
        <v>1107934.811</v>
      </c>
      <c r="E117" s="186">
        <f t="shared" si="16"/>
        <v>0</v>
      </c>
      <c r="F117" s="186">
        <f t="shared" si="16"/>
        <v>1102024.4559599999</v>
      </c>
      <c r="G117" s="186">
        <f t="shared" si="16"/>
        <v>0</v>
      </c>
    </row>
    <row r="118" spans="1:7" s="91" customFormat="1">
      <c r="A118" s="281">
        <v>107</v>
      </c>
      <c r="B118" s="208"/>
      <c r="C118" s="208" t="s">
        <v>285</v>
      </c>
      <c r="D118" s="500">
        <v>96434.034849999996</v>
      </c>
      <c r="E118" s="100">
        <v>0</v>
      </c>
      <c r="F118" s="100">
        <v>105428.04411</v>
      </c>
      <c r="G118" s="100">
        <v>0</v>
      </c>
    </row>
    <row r="119" spans="1:7" s="91" customFormat="1">
      <c r="A119" s="281">
        <v>108</v>
      </c>
      <c r="B119" s="208"/>
      <c r="C119" s="208" t="s">
        <v>286</v>
      </c>
      <c r="D119" s="500">
        <v>1011500.7761499999</v>
      </c>
      <c r="E119" s="100">
        <v>0</v>
      </c>
      <c r="F119" s="100">
        <v>996596.41185000003</v>
      </c>
      <c r="G119" s="100">
        <v>0</v>
      </c>
    </row>
    <row r="120" spans="1:7" s="195" customFormat="1" ht="14">
      <c r="A120" s="282">
        <v>109</v>
      </c>
      <c r="B120" s="285"/>
      <c r="C120" s="285" t="s">
        <v>287</v>
      </c>
      <c r="D120" s="508">
        <v>0</v>
      </c>
      <c r="E120" s="286">
        <v>0</v>
      </c>
      <c r="F120" s="100">
        <v>0</v>
      </c>
      <c r="G120" s="286">
        <v>0</v>
      </c>
    </row>
    <row r="121" spans="1:7" s="91" customFormat="1">
      <c r="A121" s="187">
        <v>14</v>
      </c>
      <c r="B121" s="188"/>
      <c r="C121" s="188" t="s">
        <v>288</v>
      </c>
      <c r="D121" s="185">
        <f t="shared" ref="D121:G121" si="17">SUM(D122:D130)</f>
        <v>14063378.33987</v>
      </c>
      <c r="E121" s="185">
        <f t="shared" si="17"/>
        <v>0</v>
      </c>
      <c r="F121" s="185">
        <f t="shared" si="17"/>
        <v>14483324.69019</v>
      </c>
      <c r="G121" s="185">
        <f t="shared" si="17"/>
        <v>0</v>
      </c>
    </row>
    <row r="122" spans="1:7" s="91" customFormat="1">
      <c r="A122" s="189" t="s">
        <v>289</v>
      </c>
      <c r="B122" s="190"/>
      <c r="C122" s="190" t="s">
        <v>290</v>
      </c>
      <c r="D122" s="245">
        <v>8004174.4333999995</v>
      </c>
      <c r="E122" s="95">
        <v>0</v>
      </c>
      <c r="F122" s="95">
        <v>7979670.0017100004</v>
      </c>
      <c r="G122" s="95">
        <v>0</v>
      </c>
    </row>
    <row r="123" spans="1:7" s="91" customFormat="1">
      <c r="A123" s="189">
        <v>144</v>
      </c>
      <c r="B123" s="190"/>
      <c r="C123" s="190" t="s">
        <v>248</v>
      </c>
      <c r="D123" s="500">
        <v>849586.16075000004</v>
      </c>
      <c r="E123" s="100">
        <v>0</v>
      </c>
      <c r="F123" s="95">
        <v>775966.87210000004</v>
      </c>
      <c r="G123" s="100">
        <v>0</v>
      </c>
    </row>
    <row r="124" spans="1:7" s="91" customFormat="1">
      <c r="A124" s="189">
        <v>145</v>
      </c>
      <c r="B124" s="190"/>
      <c r="C124" s="190" t="s">
        <v>291</v>
      </c>
      <c r="D124" s="500">
        <v>2543514.2677099998</v>
      </c>
      <c r="E124" s="100">
        <v>0</v>
      </c>
      <c r="F124" s="95">
        <v>3043600.7975100004</v>
      </c>
      <c r="G124" s="100">
        <v>0</v>
      </c>
    </row>
    <row r="125" spans="1:7" s="91" customFormat="1">
      <c r="A125" s="189">
        <v>146</v>
      </c>
      <c r="B125" s="190"/>
      <c r="C125" s="190" t="s">
        <v>292</v>
      </c>
      <c r="D125" s="500">
        <v>2666103.4780100002</v>
      </c>
      <c r="E125" s="100">
        <v>0</v>
      </c>
      <c r="F125" s="95">
        <v>2684087.0188699998</v>
      </c>
      <c r="G125" s="100">
        <v>0</v>
      </c>
    </row>
    <row r="126" spans="1:7" s="195" customFormat="1" ht="29.5" customHeight="1">
      <c r="A126" s="191" t="s">
        <v>293</v>
      </c>
      <c r="B126" s="193"/>
      <c r="C126" s="193" t="s">
        <v>294</v>
      </c>
      <c r="D126" s="499">
        <v>0</v>
      </c>
      <c r="E126" s="131">
        <v>0</v>
      </c>
      <c r="F126" s="95">
        <v>0</v>
      </c>
      <c r="G126" s="131">
        <v>0</v>
      </c>
    </row>
    <row r="127" spans="1:7" s="91" customFormat="1">
      <c r="A127" s="189">
        <v>1484</v>
      </c>
      <c r="B127" s="190"/>
      <c r="C127" s="190" t="s">
        <v>295</v>
      </c>
      <c r="D127" s="245">
        <v>0</v>
      </c>
      <c r="E127" s="95">
        <v>0</v>
      </c>
      <c r="F127" s="95">
        <v>0</v>
      </c>
      <c r="G127" s="95">
        <v>0</v>
      </c>
    </row>
    <row r="128" spans="1:7" s="91" customFormat="1">
      <c r="A128" s="189">
        <v>1485</v>
      </c>
      <c r="B128" s="190"/>
      <c r="C128" s="190" t="s">
        <v>296</v>
      </c>
      <c r="D128" s="245">
        <v>0</v>
      </c>
      <c r="E128" s="95">
        <v>0</v>
      </c>
      <c r="F128" s="95">
        <v>0</v>
      </c>
      <c r="G128" s="95">
        <v>0</v>
      </c>
    </row>
    <row r="129" spans="1:7" s="91" customFormat="1">
      <c r="A129" s="189">
        <v>1486</v>
      </c>
      <c r="B129" s="190"/>
      <c r="C129" s="190" t="s">
        <v>297</v>
      </c>
      <c r="D129" s="245">
        <v>0</v>
      </c>
      <c r="E129" s="95">
        <v>0</v>
      </c>
      <c r="F129" s="95">
        <v>0</v>
      </c>
      <c r="G129" s="95">
        <v>0</v>
      </c>
    </row>
    <row r="130" spans="1:7" s="91" customFormat="1">
      <c r="A130" s="198">
        <v>1489</v>
      </c>
      <c r="B130" s="199"/>
      <c r="C130" s="199" t="s">
        <v>298</v>
      </c>
      <c r="D130" s="245">
        <v>0</v>
      </c>
      <c r="E130" s="119">
        <v>0</v>
      </c>
      <c r="F130" s="95">
        <v>0</v>
      </c>
      <c r="G130" s="119">
        <v>0</v>
      </c>
    </row>
    <row r="131" spans="1:7">
      <c r="A131" s="201">
        <v>1</v>
      </c>
      <c r="B131" s="202"/>
      <c r="C131" s="201" t="s">
        <v>299</v>
      </c>
      <c r="D131" s="203">
        <f t="shared" ref="D131:G131" si="18">D111+D121</f>
        <v>21361316.977359999</v>
      </c>
      <c r="E131" s="203">
        <f t="shared" si="18"/>
        <v>0</v>
      </c>
      <c r="F131" s="203">
        <f t="shared" si="18"/>
        <v>20380068.476089999</v>
      </c>
      <c r="G131" s="203">
        <f t="shared" si="18"/>
        <v>0</v>
      </c>
    </row>
    <row r="132" spans="1:7">
      <c r="C132" s="135"/>
    </row>
    <row r="133" spans="1:7" s="91" customFormat="1">
      <c r="A133" s="183">
        <v>20</v>
      </c>
      <c r="B133" s="184"/>
      <c r="C133" s="184" t="s">
        <v>300</v>
      </c>
      <c r="D133" s="204">
        <f>D134+D140</f>
        <v>13010268.700549997</v>
      </c>
      <c r="E133" s="204">
        <f t="shared" ref="E133:G133" si="19">E134+E140</f>
        <v>0</v>
      </c>
      <c r="F133" s="204">
        <f t="shared" si="19"/>
        <v>12002014.357320001</v>
      </c>
      <c r="G133" s="204">
        <f t="shared" si="19"/>
        <v>0</v>
      </c>
    </row>
    <row r="134" spans="1:7" s="91" customFormat="1">
      <c r="A134" s="205" t="s">
        <v>301</v>
      </c>
      <c r="B134" s="188"/>
      <c r="C134" s="188" t="s">
        <v>302</v>
      </c>
      <c r="D134" s="185">
        <f t="shared" ref="D134:G134" si="20">D135+D136+D138+D139</f>
        <v>5041627.4833999993</v>
      </c>
      <c r="E134" s="186">
        <f t="shared" si="20"/>
        <v>0</v>
      </c>
      <c r="F134" s="186">
        <f t="shared" si="20"/>
        <v>4635664.5011800006</v>
      </c>
      <c r="G134" s="186">
        <f t="shared" si="20"/>
        <v>0</v>
      </c>
    </row>
    <row r="135" spans="1:7" s="106" customFormat="1">
      <c r="A135" s="206">
        <v>200</v>
      </c>
      <c r="B135" s="190"/>
      <c r="C135" s="190" t="s">
        <v>303</v>
      </c>
      <c r="D135" s="500">
        <v>1572433.06537</v>
      </c>
      <c r="E135" s="100">
        <v>0</v>
      </c>
      <c r="F135" s="100">
        <v>1503636.7675399999</v>
      </c>
      <c r="G135" s="100">
        <v>0</v>
      </c>
    </row>
    <row r="136" spans="1:7" s="106" customFormat="1">
      <c r="A136" s="206">
        <v>201</v>
      </c>
      <c r="B136" s="190"/>
      <c r="C136" s="190" t="s">
        <v>304</v>
      </c>
      <c r="D136" s="500">
        <v>1218059.97841</v>
      </c>
      <c r="E136" s="100">
        <v>0</v>
      </c>
      <c r="F136" s="100">
        <v>959116.76497000002</v>
      </c>
      <c r="G136" s="100">
        <v>0</v>
      </c>
    </row>
    <row r="137" spans="1:7" s="106" customFormat="1">
      <c r="A137" s="207" t="s">
        <v>305</v>
      </c>
      <c r="B137" s="208"/>
      <c r="C137" s="208" t="s">
        <v>306</v>
      </c>
      <c r="D137" s="500">
        <v>2828.7333599999997</v>
      </c>
      <c r="E137" s="100">
        <v>0</v>
      </c>
      <c r="F137" s="100">
        <v>3751.0372400000001</v>
      </c>
      <c r="G137" s="100">
        <v>0</v>
      </c>
    </row>
    <row r="138" spans="1:7" s="106" customFormat="1">
      <c r="A138" s="206">
        <v>204</v>
      </c>
      <c r="B138" s="190"/>
      <c r="C138" s="190" t="s">
        <v>307</v>
      </c>
      <c r="D138" s="500">
        <v>1872815.6787100001</v>
      </c>
      <c r="E138" s="100">
        <v>0</v>
      </c>
      <c r="F138" s="100">
        <v>1810753.21612</v>
      </c>
      <c r="G138" s="100">
        <v>0</v>
      </c>
    </row>
    <row r="139" spans="1:7" s="106" customFormat="1">
      <c r="A139" s="206">
        <v>205</v>
      </c>
      <c r="B139" s="190"/>
      <c r="C139" s="190" t="s">
        <v>308</v>
      </c>
      <c r="D139" s="500">
        <v>378318.76091000001</v>
      </c>
      <c r="E139" s="100">
        <v>0</v>
      </c>
      <c r="F139" s="100">
        <v>362157.75255000003</v>
      </c>
      <c r="G139" s="100">
        <v>0</v>
      </c>
    </row>
    <row r="140" spans="1:7" s="106" customFormat="1">
      <c r="A140" s="205" t="s">
        <v>309</v>
      </c>
      <c r="B140" s="188"/>
      <c r="C140" s="188" t="s">
        <v>310</v>
      </c>
      <c r="D140" s="186">
        <f t="shared" ref="D140:G140" si="21">D141+D143+D144</f>
        <v>7968641.217149999</v>
      </c>
      <c r="E140" s="186">
        <f t="shared" si="21"/>
        <v>0</v>
      </c>
      <c r="F140" s="186">
        <f t="shared" si="21"/>
        <v>7366349.8561400007</v>
      </c>
      <c r="G140" s="186">
        <f t="shared" si="21"/>
        <v>0</v>
      </c>
    </row>
    <row r="141" spans="1:7" s="106" customFormat="1">
      <c r="A141" s="206">
        <v>206</v>
      </c>
      <c r="B141" s="190"/>
      <c r="C141" s="190" t="s">
        <v>311</v>
      </c>
      <c r="D141" s="500">
        <v>6275783.9283599993</v>
      </c>
      <c r="E141" s="100">
        <v>0</v>
      </c>
      <c r="F141" s="100">
        <v>5730290.0934700007</v>
      </c>
      <c r="G141" s="100">
        <v>0</v>
      </c>
    </row>
    <row r="142" spans="1:7" s="106" customFormat="1">
      <c r="A142" s="207" t="s">
        <v>312</v>
      </c>
      <c r="B142" s="208"/>
      <c r="C142" s="208" t="s">
        <v>313</v>
      </c>
      <c r="D142" s="500">
        <v>702995.17402000003</v>
      </c>
      <c r="E142" s="100">
        <v>0</v>
      </c>
      <c r="F142" s="100">
        <v>686136.55310000002</v>
      </c>
      <c r="G142" s="100">
        <v>0</v>
      </c>
    </row>
    <row r="143" spans="1:7" s="106" customFormat="1">
      <c r="A143" s="206">
        <v>208</v>
      </c>
      <c r="B143" s="190"/>
      <c r="C143" s="190" t="s">
        <v>314</v>
      </c>
      <c r="D143" s="500">
        <v>835170.79530999996</v>
      </c>
      <c r="E143" s="100">
        <v>0</v>
      </c>
      <c r="F143" s="100">
        <v>771813.13375000004</v>
      </c>
      <c r="G143" s="100">
        <v>0</v>
      </c>
    </row>
    <row r="144" spans="1:7" s="111" customFormat="1" ht="28">
      <c r="A144" s="191">
        <v>209</v>
      </c>
      <c r="B144" s="193"/>
      <c r="C144" s="193" t="s">
        <v>315</v>
      </c>
      <c r="D144" s="507">
        <v>857686.49348000006</v>
      </c>
      <c r="E144" s="284">
        <v>0</v>
      </c>
      <c r="F144" s="100">
        <v>864246.62891999993</v>
      </c>
      <c r="G144" s="284">
        <v>0</v>
      </c>
    </row>
    <row r="145" spans="1:7" s="91" customFormat="1">
      <c r="A145" s="205">
        <v>29</v>
      </c>
      <c r="B145" s="188"/>
      <c r="C145" s="188" t="s">
        <v>316</v>
      </c>
      <c r="D145" s="500">
        <v>8351048.2768100007</v>
      </c>
      <c r="E145" s="100">
        <v>0</v>
      </c>
      <c r="F145" s="100">
        <v>8378054.1187700005</v>
      </c>
      <c r="G145" s="100">
        <v>0</v>
      </c>
    </row>
    <row r="146" spans="1:7" s="91" customFormat="1">
      <c r="A146" s="211" t="s">
        <v>317</v>
      </c>
      <c r="B146" s="212"/>
      <c r="C146" s="212" t="s">
        <v>318</v>
      </c>
      <c r="D146" s="500">
        <v>5766023.30363</v>
      </c>
      <c r="E146" s="138">
        <v>0</v>
      </c>
      <c r="F146" s="100">
        <v>5596980.9565500002</v>
      </c>
      <c r="G146" s="138">
        <v>0</v>
      </c>
    </row>
    <row r="147" spans="1:7">
      <c r="A147" s="201">
        <v>2</v>
      </c>
      <c r="B147" s="202"/>
      <c r="C147" s="287" t="s">
        <v>319</v>
      </c>
      <c r="D147" s="203">
        <f t="shared" ref="D147:G147" si="22">D133+D145</f>
        <v>21361316.977359999</v>
      </c>
      <c r="E147" s="203">
        <f t="shared" si="22"/>
        <v>0</v>
      </c>
      <c r="F147" s="203">
        <f t="shared" si="22"/>
        <v>20380068.476090003</v>
      </c>
      <c r="G147" s="203">
        <f t="shared" si="22"/>
        <v>0</v>
      </c>
    </row>
    <row r="148" spans="1:7" ht="7.5" customHeight="1"/>
    <row r="149" spans="1:7" ht="13.5" customHeight="1">
      <c r="A149" s="213" t="s">
        <v>320</v>
      </c>
      <c r="B149" s="214"/>
      <c r="C149" s="288" t="s">
        <v>321</v>
      </c>
      <c r="D149" s="214"/>
      <c r="E149" s="214"/>
      <c r="F149" s="214"/>
      <c r="G149" s="214"/>
    </row>
    <row r="150" spans="1:7">
      <c r="A150" s="289" t="s">
        <v>322</v>
      </c>
      <c r="B150" s="290"/>
      <c r="C150" s="291" t="s">
        <v>82</v>
      </c>
      <c r="D150" s="218">
        <f t="shared" ref="D150:G150" si="23">D77+SUM(D8:D12)-D30-D31+D16-D33+D59+D63-D73+D64-D74-D54+D20-D35</f>
        <v>542491.64491999568</v>
      </c>
      <c r="E150" s="218">
        <f t="shared" si="23"/>
        <v>599931.45835000067</v>
      </c>
      <c r="F150" s="218">
        <f t="shared" si="23"/>
        <v>681553.30941999739</v>
      </c>
      <c r="G150" s="218">
        <f t="shared" si="23"/>
        <v>570192.43393000041</v>
      </c>
    </row>
    <row r="151" spans="1:7">
      <c r="A151" s="215" t="s">
        <v>323</v>
      </c>
      <c r="B151" s="214"/>
      <c r="C151" s="292" t="s">
        <v>324</v>
      </c>
      <c r="D151" s="221">
        <f t="shared" ref="D151:G151" si="24">IF(D177=0,0,D150/D177)</f>
        <v>3.9719917325335342E-2</v>
      </c>
      <c r="E151" s="221">
        <f t="shared" si="24"/>
        <v>4.2688273224451893E-2</v>
      </c>
      <c r="F151" s="221">
        <f t="shared" si="24"/>
        <v>4.7980760879488528E-2</v>
      </c>
      <c r="G151" s="221">
        <f t="shared" si="24"/>
        <v>3.9120897323715133E-2</v>
      </c>
    </row>
    <row r="152" spans="1:7" s="296" customFormat="1" ht="28">
      <c r="A152" s="229" t="s">
        <v>325</v>
      </c>
      <c r="B152" s="293"/>
      <c r="C152" s="294" t="s">
        <v>326</v>
      </c>
      <c r="D152" s="295">
        <f t="shared" ref="D152:G152" si="25">IF(D107=0,0,D150/D107)</f>
        <v>1.2309732317689803</v>
      </c>
      <c r="E152" s="295">
        <f t="shared" si="25"/>
        <v>0.49781203900968951</v>
      </c>
      <c r="F152" s="295">
        <f t="shared" si="25"/>
        <v>0.63034710039523645</v>
      </c>
      <c r="G152" s="295">
        <f t="shared" si="25"/>
        <v>0.59502180115969261</v>
      </c>
    </row>
    <row r="153" spans="1:7" s="296" customFormat="1" ht="28">
      <c r="A153" s="222" t="s">
        <v>325</v>
      </c>
      <c r="B153" s="297"/>
      <c r="C153" s="298" t="s">
        <v>327</v>
      </c>
      <c r="D153" s="241">
        <f t="shared" ref="D153:G153" si="26">IF(0=D108,0,D150/D108)</f>
        <v>0.62513678811587758</v>
      </c>
      <c r="E153" s="241">
        <f t="shared" si="26"/>
        <v>0.79408615965443874</v>
      </c>
      <c r="F153" s="241">
        <f t="shared" si="26"/>
        <v>1.0410044748913625</v>
      </c>
      <c r="G153" s="241">
        <f t="shared" si="26"/>
        <v>0.58584696792943647</v>
      </c>
    </row>
    <row r="154" spans="1:7" ht="28">
      <c r="A154" s="226" t="s">
        <v>328</v>
      </c>
      <c r="B154" s="299"/>
      <c r="C154" s="300" t="s">
        <v>329</v>
      </c>
      <c r="D154" s="234">
        <f t="shared" ref="D154:G154" si="27">D150-D107</f>
        <v>101790.23003999575</v>
      </c>
      <c r="E154" s="234">
        <f t="shared" si="27"/>
        <v>-605205.04164999933</v>
      </c>
      <c r="F154" s="234">
        <f t="shared" si="27"/>
        <v>-399681.63081000268</v>
      </c>
      <c r="G154" s="234">
        <f t="shared" si="27"/>
        <v>-388079.06606999959</v>
      </c>
    </row>
    <row r="155" spans="1:7" ht="28">
      <c r="A155" s="222" t="s">
        <v>330</v>
      </c>
      <c r="B155" s="297"/>
      <c r="C155" s="298" t="s">
        <v>331</v>
      </c>
      <c r="D155" s="231">
        <f t="shared" ref="D155:G155" si="28">D150-D108</f>
        <v>-325305.06011000415</v>
      </c>
      <c r="E155" s="231">
        <f t="shared" si="28"/>
        <v>-155567.74164999928</v>
      </c>
      <c r="F155" s="231">
        <f t="shared" si="28"/>
        <v>26845.932209997205</v>
      </c>
      <c r="G155" s="231">
        <f t="shared" si="28"/>
        <v>-403086.36606999964</v>
      </c>
    </row>
    <row r="156" spans="1:7">
      <c r="A156" s="289" t="s">
        <v>332</v>
      </c>
      <c r="B156" s="290"/>
      <c r="C156" s="291" t="s">
        <v>333</v>
      </c>
      <c r="D156" s="235">
        <f t="shared" ref="D156:G156" si="29">D135+D136-D137+D141-D142</f>
        <v>8360453.0647599995</v>
      </c>
      <c r="E156" s="235">
        <f t="shared" si="29"/>
        <v>0</v>
      </c>
      <c r="F156" s="235">
        <f t="shared" si="29"/>
        <v>7503156.0356400004</v>
      </c>
      <c r="G156" s="235">
        <f t="shared" si="29"/>
        <v>0</v>
      </c>
    </row>
    <row r="157" spans="1:7">
      <c r="A157" s="301" t="s">
        <v>334</v>
      </c>
      <c r="B157" s="302"/>
      <c r="C157" s="303" t="s">
        <v>335</v>
      </c>
      <c r="D157" s="238">
        <f t="shared" ref="D157:G157" si="30">IF(D177=0,0,D156/D177)</f>
        <v>0.61213201649140025</v>
      </c>
      <c r="E157" s="238">
        <f t="shared" si="30"/>
        <v>0</v>
      </c>
      <c r="F157" s="238">
        <f t="shared" si="30"/>
        <v>0.52821566649555329</v>
      </c>
      <c r="G157" s="238">
        <f t="shared" si="30"/>
        <v>0</v>
      </c>
    </row>
    <row r="158" spans="1:7">
      <c r="A158" s="289" t="s">
        <v>336</v>
      </c>
      <c r="B158" s="290"/>
      <c r="C158" s="291" t="s">
        <v>337</v>
      </c>
      <c r="D158" s="235">
        <f t="shared" ref="D158:G158" si="31">D133-D142-D111</f>
        <v>5009334.8890399979</v>
      </c>
      <c r="E158" s="235">
        <f t="shared" si="31"/>
        <v>0</v>
      </c>
      <c r="F158" s="235">
        <f t="shared" si="31"/>
        <v>5419134.0183200017</v>
      </c>
      <c r="G158" s="235">
        <f t="shared" si="31"/>
        <v>0</v>
      </c>
    </row>
    <row r="159" spans="1:7">
      <c r="A159" s="215" t="s">
        <v>338</v>
      </c>
      <c r="B159" s="214"/>
      <c r="C159" s="292" t="s">
        <v>339</v>
      </c>
      <c r="D159" s="239">
        <f t="shared" ref="D159:G159" si="32">D121-D123-D124-D142-D145</f>
        <v>1616234.4605799997</v>
      </c>
      <c r="E159" s="239">
        <f t="shared" si="32"/>
        <v>0</v>
      </c>
      <c r="F159" s="239">
        <f t="shared" si="32"/>
        <v>1599566.3487100014</v>
      </c>
      <c r="G159" s="239">
        <f t="shared" si="32"/>
        <v>0</v>
      </c>
    </row>
    <row r="160" spans="1:7">
      <c r="A160" s="215" t="s">
        <v>340</v>
      </c>
      <c r="B160" s="214"/>
      <c r="C160" s="292" t="s">
        <v>341</v>
      </c>
      <c r="D160" s="240">
        <f t="shared" ref="D160:G160" si="33">IF(D175=0,"-",1000*D158/D175)</f>
        <v>3470.4239668679443</v>
      </c>
      <c r="E160" s="240">
        <f t="shared" si="33"/>
        <v>0</v>
      </c>
      <c r="F160" s="240">
        <f t="shared" si="33"/>
        <v>3702.9626510342973</v>
      </c>
      <c r="G160" s="240">
        <f t="shared" si="33"/>
        <v>0</v>
      </c>
    </row>
    <row r="161" spans="1:7">
      <c r="A161" s="215" t="s">
        <v>340</v>
      </c>
      <c r="B161" s="214"/>
      <c r="C161" s="292" t="s">
        <v>342</v>
      </c>
      <c r="D161" s="239">
        <f t="shared" ref="D161:G161" si="34">IF(D175=0,0,1000*(D159/D175))</f>
        <v>1119.7132817665622</v>
      </c>
      <c r="E161" s="239">
        <f t="shared" si="34"/>
        <v>0</v>
      </c>
      <c r="F161" s="239">
        <f t="shared" si="34"/>
        <v>1093.0038687178812</v>
      </c>
      <c r="G161" s="239">
        <f t="shared" si="34"/>
        <v>0</v>
      </c>
    </row>
    <row r="162" spans="1:7">
      <c r="A162" s="301" t="s">
        <v>343</v>
      </c>
      <c r="B162" s="302"/>
      <c r="C162" s="303" t="s">
        <v>344</v>
      </c>
      <c r="D162" s="238">
        <f t="shared" ref="D162:G162" si="35">IF((D22+D23+D65+D66)=0,0,D158/(D22+D23+D65+D66))</f>
        <v>0.7943293236218093</v>
      </c>
      <c r="E162" s="238">
        <f t="shared" si="35"/>
        <v>0</v>
      </c>
      <c r="F162" s="238">
        <f t="shared" si="35"/>
        <v>0.84041319620086463</v>
      </c>
      <c r="G162" s="238">
        <f t="shared" si="35"/>
        <v>0</v>
      </c>
    </row>
    <row r="163" spans="1:7">
      <c r="A163" s="215" t="s">
        <v>345</v>
      </c>
      <c r="B163" s="214"/>
      <c r="C163" s="292" t="s">
        <v>386</v>
      </c>
      <c r="D163" s="218">
        <f t="shared" ref="D163:G163" si="36">D145</f>
        <v>8351048.2768100007</v>
      </c>
      <c r="E163" s="218">
        <f t="shared" si="36"/>
        <v>0</v>
      </c>
      <c r="F163" s="218">
        <f t="shared" si="36"/>
        <v>8378054.1187700005</v>
      </c>
      <c r="G163" s="218">
        <f t="shared" si="36"/>
        <v>0</v>
      </c>
    </row>
    <row r="164" spans="1:7" ht="28">
      <c r="A164" s="222" t="s">
        <v>346</v>
      </c>
      <c r="B164" s="304"/>
      <c r="C164" s="305" t="s">
        <v>347</v>
      </c>
      <c r="D164" s="241">
        <f t="shared" ref="D164:G164" si="37">IF(D178=0,0,D146/D178)</f>
        <v>0.41840726409767193</v>
      </c>
      <c r="E164" s="241">
        <f t="shared" si="37"/>
        <v>0</v>
      </c>
      <c r="F164" s="241">
        <f t="shared" si="37"/>
        <v>0.39452019300758606</v>
      </c>
      <c r="G164" s="241">
        <f t="shared" si="37"/>
        <v>0</v>
      </c>
    </row>
    <row r="165" spans="1:7">
      <c r="A165" s="306" t="s">
        <v>348</v>
      </c>
      <c r="B165" s="307"/>
      <c r="C165" s="308" t="s">
        <v>349</v>
      </c>
      <c r="D165" s="244">
        <f t="shared" ref="D165:G165" si="38">IF(D177=0,0,D180/D177)</f>
        <v>5.3142411411149608E-2</v>
      </c>
      <c r="E165" s="244">
        <f t="shared" si="38"/>
        <v>5.0455719741398626E-2</v>
      </c>
      <c r="F165" s="244">
        <f t="shared" si="38"/>
        <v>5.1725714799063252E-2</v>
      </c>
      <c r="G165" s="244">
        <f t="shared" si="38"/>
        <v>4.836273114282337E-2</v>
      </c>
    </row>
    <row r="166" spans="1:7">
      <c r="A166" s="215" t="s">
        <v>350</v>
      </c>
      <c r="B166" s="214"/>
      <c r="C166" s="292" t="s">
        <v>218</v>
      </c>
      <c r="D166" s="218">
        <f t="shared" ref="D166:G166" si="39">D55</f>
        <v>312250.45682999998</v>
      </c>
      <c r="E166" s="218">
        <f t="shared" si="39"/>
        <v>229396.72700000001</v>
      </c>
      <c r="F166" s="218">
        <f t="shared" si="39"/>
        <v>187032.27000000002</v>
      </c>
      <c r="G166" s="218">
        <f t="shared" si="39"/>
        <v>249077.79000000007</v>
      </c>
    </row>
    <row r="167" spans="1:7">
      <c r="A167" s="301" t="s">
        <v>351</v>
      </c>
      <c r="B167" s="302"/>
      <c r="C167" s="303" t="s">
        <v>352</v>
      </c>
      <c r="D167" s="238">
        <f t="shared" ref="D167:G167" si="40">IF(0=D111,0,(D44+D45+D46+D47+D48)/D111)</f>
        <v>1.1152936482896201E-2</v>
      </c>
      <c r="E167" s="238">
        <f t="shared" si="40"/>
        <v>0</v>
      </c>
      <c r="F167" s="238">
        <f t="shared" si="40"/>
        <v>2.0386136787466418E-2</v>
      </c>
      <c r="G167" s="238">
        <f t="shared" si="40"/>
        <v>0</v>
      </c>
    </row>
    <row r="168" spans="1:7">
      <c r="A168" s="215" t="s">
        <v>353</v>
      </c>
      <c r="B168" s="290"/>
      <c r="C168" s="291" t="s">
        <v>354</v>
      </c>
      <c r="D168" s="218">
        <f t="shared" ref="D168:G168" si="41">D38-D44</f>
        <v>79505.026949999999</v>
      </c>
      <c r="E168" s="218">
        <f t="shared" si="41"/>
        <v>83536.062999999995</v>
      </c>
      <c r="F168" s="218">
        <f t="shared" si="41"/>
        <v>93076.592019999982</v>
      </c>
      <c r="G168" s="218">
        <f t="shared" si="41"/>
        <v>78094.5</v>
      </c>
    </row>
    <row r="169" spans="1:7">
      <c r="A169" s="301" t="s">
        <v>355</v>
      </c>
      <c r="B169" s="302"/>
      <c r="C169" s="303" t="s">
        <v>356</v>
      </c>
      <c r="D169" s="221">
        <f t="shared" ref="D169:G169" si="42">IF(D177=0,0,D168/D177)</f>
        <v>5.8211644860784468E-3</v>
      </c>
      <c r="E169" s="221">
        <f t="shared" si="42"/>
        <v>5.9440294917133879E-3</v>
      </c>
      <c r="F169" s="221">
        <f t="shared" si="42"/>
        <v>6.5525112173394082E-3</v>
      </c>
      <c r="G169" s="221">
        <f t="shared" si="42"/>
        <v>5.3580628823670668E-3</v>
      </c>
    </row>
    <row r="170" spans="1:7">
      <c r="A170" s="215" t="s">
        <v>357</v>
      </c>
      <c r="B170" s="214"/>
      <c r="C170" s="292" t="s">
        <v>358</v>
      </c>
      <c r="D170" s="218">
        <f t="shared" ref="D170:G170" si="43">SUM(D82:D87)+SUM(D89:D94)</f>
        <v>978733.65737999999</v>
      </c>
      <c r="E170" s="218">
        <f t="shared" si="43"/>
        <v>1307280</v>
      </c>
      <c r="F170" s="218">
        <f t="shared" si="43"/>
        <v>1210932.41237</v>
      </c>
      <c r="G170" s="218">
        <f t="shared" si="43"/>
        <v>1039879.8</v>
      </c>
    </row>
    <row r="171" spans="1:7">
      <c r="A171" s="215" t="s">
        <v>359</v>
      </c>
      <c r="B171" s="214"/>
      <c r="C171" s="292" t="s">
        <v>360</v>
      </c>
      <c r="D171" s="239">
        <f t="shared" ref="D171:G171" si="44">SUM(D96:D102)+SUM(D104:D105)</f>
        <v>538032.24250000005</v>
      </c>
      <c r="E171" s="239">
        <f t="shared" si="44"/>
        <v>102143.5</v>
      </c>
      <c r="F171" s="239">
        <f t="shared" si="44"/>
        <v>129697.47214</v>
      </c>
      <c r="G171" s="239">
        <f t="shared" si="44"/>
        <v>81608.3</v>
      </c>
    </row>
    <row r="172" spans="1:7">
      <c r="A172" s="306" t="s">
        <v>361</v>
      </c>
      <c r="B172" s="307"/>
      <c r="C172" s="308" t="s">
        <v>362</v>
      </c>
      <c r="D172" s="244">
        <f t="shared" ref="D172:G172" si="45">IF(D184=0,0,D170/D184)</f>
        <v>6.9843512147676187E-2</v>
      </c>
      <c r="E172" s="244">
        <f t="shared" si="45"/>
        <v>8.915590466570128E-2</v>
      </c>
      <c r="F172" s="244">
        <f t="shared" si="45"/>
        <v>8.2799336594944623E-2</v>
      </c>
      <c r="G172" s="244">
        <f t="shared" si="45"/>
        <v>6.9911088837810359E-2</v>
      </c>
    </row>
    <row r="173" spans="1:7">
      <c r="C173" s="309"/>
    </row>
    <row r="174" spans="1:7">
      <c r="A174" s="310" t="s">
        <v>363</v>
      </c>
      <c r="B174" s="248"/>
      <c r="C174" s="311"/>
      <c r="D174" s="161"/>
      <c r="E174" s="161"/>
      <c r="F174" s="161"/>
      <c r="G174" s="161"/>
    </row>
    <row r="175" spans="1:7" s="91" customFormat="1">
      <c r="A175" s="312" t="s">
        <v>364</v>
      </c>
      <c r="B175" s="248"/>
      <c r="C175" s="313" t="s">
        <v>387</v>
      </c>
      <c r="D175" s="314">
        <v>1443436</v>
      </c>
      <c r="E175" s="314">
        <v>1454761</v>
      </c>
      <c r="F175" s="314">
        <v>1463459</v>
      </c>
      <c r="G175" s="314">
        <v>1480225</v>
      </c>
    </row>
    <row r="176" spans="1:7">
      <c r="A176" s="310" t="s">
        <v>366</v>
      </c>
      <c r="B176" s="248"/>
      <c r="C176" s="313"/>
      <c r="D176" s="248"/>
      <c r="E176" s="248"/>
      <c r="F176" s="248"/>
      <c r="G176" s="248"/>
    </row>
    <row r="177" spans="1:7">
      <c r="A177" s="312" t="s">
        <v>367</v>
      </c>
      <c r="B177" s="248"/>
      <c r="C177" s="313" t="s">
        <v>368</v>
      </c>
      <c r="D177" s="249">
        <f t="shared" ref="D177:G177" si="46">SUM(D22:D32)+SUM(D44:D53)+SUM(D65:D72)+D75</f>
        <v>13657924.825889995</v>
      </c>
      <c r="E177" s="249">
        <f t="shared" si="46"/>
        <v>14053776.670600001</v>
      </c>
      <c r="F177" s="249">
        <f t="shared" si="46"/>
        <v>14204720.744879998</v>
      </c>
      <c r="G177" s="249">
        <f t="shared" si="46"/>
        <v>14575136.894530002</v>
      </c>
    </row>
    <row r="178" spans="1:7">
      <c r="A178" s="312" t="s">
        <v>369</v>
      </c>
      <c r="B178" s="248"/>
      <c r="C178" s="313" t="s">
        <v>370</v>
      </c>
      <c r="D178" s="249">
        <f t="shared" ref="D178:G178" si="47">D78-D17-D20-D59-D63-D64</f>
        <v>13780887.184319999</v>
      </c>
      <c r="E178" s="249">
        <f t="shared" si="47"/>
        <v>14027222.30425</v>
      </c>
      <c r="F178" s="249">
        <f t="shared" si="47"/>
        <v>14186804.771340001</v>
      </c>
      <c r="G178" s="249">
        <f t="shared" si="47"/>
        <v>14506630.397600001</v>
      </c>
    </row>
    <row r="179" spans="1:7">
      <c r="A179" s="312"/>
      <c r="B179" s="248"/>
      <c r="C179" s="313" t="s">
        <v>371</v>
      </c>
      <c r="D179" s="249">
        <f t="shared" ref="D179:G179" si="48">D178+D170</f>
        <v>14759620.841699999</v>
      </c>
      <c r="E179" s="249">
        <f t="shared" si="48"/>
        <v>15334502.30425</v>
      </c>
      <c r="F179" s="249">
        <f t="shared" si="48"/>
        <v>15397737.183710001</v>
      </c>
      <c r="G179" s="249">
        <f t="shared" si="48"/>
        <v>15546510.197600001</v>
      </c>
    </row>
    <row r="180" spans="1:7">
      <c r="A180" s="312" t="s">
        <v>372</v>
      </c>
      <c r="B180" s="248"/>
      <c r="C180" s="313" t="s">
        <v>373</v>
      </c>
      <c r="D180" s="249">
        <f t="shared" ref="D180:G180" si="49">D38-D44+D8+D9+D10+D16-D33</f>
        <v>725815.06012000004</v>
      </c>
      <c r="E180" s="249">
        <f t="shared" si="49"/>
        <v>709093.4169999999</v>
      </c>
      <c r="F180" s="249">
        <f t="shared" si="49"/>
        <v>734749.33405000006</v>
      </c>
      <c r="G180" s="249">
        <f t="shared" si="49"/>
        <v>704893.42700000003</v>
      </c>
    </row>
    <row r="181" spans="1:7" ht="27.5" customHeight="1">
      <c r="A181" s="315" t="s">
        <v>374</v>
      </c>
      <c r="B181" s="251"/>
      <c r="C181" s="316" t="s">
        <v>375</v>
      </c>
      <c r="D181" s="252">
        <f t="shared" ref="D181:G181" si="50">D22+D23+D24+D25+D26+D29+SUM(D44:D47)+SUM(D49:D53)-D54+D32-D33+SUM(D65:D70)+D72</f>
        <v>13561845.812089998</v>
      </c>
      <c r="E181" s="252">
        <f t="shared" si="50"/>
        <v>13944612.608600002</v>
      </c>
      <c r="F181" s="252">
        <f t="shared" si="50"/>
        <v>14069811.03448</v>
      </c>
      <c r="G181" s="252">
        <f t="shared" si="50"/>
        <v>14393550.704530001</v>
      </c>
    </row>
    <row r="182" spans="1:7">
      <c r="A182" s="317" t="s">
        <v>376</v>
      </c>
      <c r="B182" s="251"/>
      <c r="C182" s="316" t="s">
        <v>377</v>
      </c>
      <c r="D182" s="252">
        <f t="shared" ref="D182:G182" si="51">D181+D171</f>
        <v>14099878.054589998</v>
      </c>
      <c r="E182" s="252">
        <f t="shared" si="51"/>
        <v>14046756.108600002</v>
      </c>
      <c r="F182" s="252">
        <f t="shared" si="51"/>
        <v>14199508.506619999</v>
      </c>
      <c r="G182" s="252">
        <f t="shared" si="51"/>
        <v>14475159.004530001</v>
      </c>
    </row>
    <row r="183" spans="1:7">
      <c r="A183" s="317" t="s">
        <v>378</v>
      </c>
      <c r="B183" s="251"/>
      <c r="C183" s="316" t="s">
        <v>379</v>
      </c>
      <c r="D183" s="252">
        <f t="shared" ref="D183" si="52">D4+D5-D7+D38+D39+D40+D41+D43+D13-D16+D57+D58+D60+D62</f>
        <v>13034502.89508</v>
      </c>
      <c r="E183" s="252">
        <f>E4+E5-E7+E38+E39+E40+E41+E43+E13-E16+E57+E58+E60+E62</f>
        <v>13355573.85025</v>
      </c>
      <c r="F183" s="252">
        <f>F4+F5-F7+F38+F39+F40+F41+F43+F13-F16+F57+F58+F60+F62</f>
        <v>13413972.353400001</v>
      </c>
      <c r="G183" s="252">
        <f>G4+G5-G7+G38+G39+G40+G41+G43+G13-G16+G57+G58+G60+G62</f>
        <v>13834438.670599999</v>
      </c>
    </row>
    <row r="184" spans="1:7">
      <c r="A184" s="317" t="s">
        <v>380</v>
      </c>
      <c r="B184" s="251"/>
      <c r="C184" s="316" t="s">
        <v>381</v>
      </c>
      <c r="D184" s="252">
        <f t="shared" ref="D184:G184" si="53">D183+D170</f>
        <v>14013236.55246</v>
      </c>
      <c r="E184" s="252">
        <f t="shared" si="53"/>
        <v>14662853.85025</v>
      </c>
      <c r="F184" s="252">
        <f t="shared" si="53"/>
        <v>14624904.765770001</v>
      </c>
      <c r="G184" s="252">
        <f t="shared" si="53"/>
        <v>14874318.4706</v>
      </c>
    </row>
    <row r="185" spans="1:7">
      <c r="A185" s="317"/>
      <c r="B185" s="251"/>
      <c r="C185" s="316" t="s">
        <v>382</v>
      </c>
      <c r="D185" s="252">
        <f t="shared" ref="D185:G186" si="54">D181-D183</f>
        <v>527342.91700999811</v>
      </c>
      <c r="E185" s="252">
        <f t="shared" si="54"/>
        <v>589038.75835000165</v>
      </c>
      <c r="F185" s="252">
        <f t="shared" si="54"/>
        <v>655838.68107999861</v>
      </c>
      <c r="G185" s="252">
        <f t="shared" si="54"/>
        <v>559112.03393000178</v>
      </c>
    </row>
    <row r="186" spans="1:7">
      <c r="A186" s="317"/>
      <c r="B186" s="251"/>
      <c r="C186" s="316" t="s">
        <v>383</v>
      </c>
      <c r="D186" s="252">
        <f t="shared" si="54"/>
        <v>86641.502129998058</v>
      </c>
      <c r="E186" s="252">
        <f t="shared" si="54"/>
        <v>-616097.74164999835</v>
      </c>
      <c r="F186" s="252">
        <f t="shared" si="54"/>
        <v>-425396.25915000215</v>
      </c>
      <c r="G186" s="252">
        <f t="shared" si="54"/>
        <v>-399159.46606999822</v>
      </c>
    </row>
  </sheetData>
  <sheetProtection selectLockedCells="1" sort="0" autoFilter="0" pivotTables="0"/>
  <autoFilter ref="A1:F79" xr:uid="{00000000-0009-0000-0000-000000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0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17" man="1"/>
    <brk id="148" max="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L186"/>
  <sheetViews>
    <sheetView tabSelected="1" zoomScale="115" zoomScaleNormal="115" workbookViewId="0">
      <pane xSplit="3" ySplit="2" topLeftCell="D3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11.5" defaultRowHeight="13"/>
  <cols>
    <col min="1" max="1" width="15.1640625" style="84" customWidth="1"/>
    <col min="2" max="2" width="3.6640625" style="84" customWidth="1"/>
    <col min="3" max="3" width="44.6640625" style="84" customWidth="1"/>
    <col min="4" max="5" width="11.5" style="84"/>
    <col min="6" max="7" width="11.5" style="84" customWidth="1"/>
    <col min="8" max="16384" width="11.5" style="84"/>
  </cols>
  <sheetData>
    <row r="1" spans="1:38" s="77" customFormat="1" ht="18" customHeight="1">
      <c r="A1" s="319" t="s">
        <v>156</v>
      </c>
      <c r="B1" s="437" t="s">
        <v>632</v>
      </c>
      <c r="C1" s="437" t="s">
        <v>93</v>
      </c>
      <c r="D1" s="74" t="s">
        <v>7</v>
      </c>
      <c r="E1" s="75" t="s">
        <v>9</v>
      </c>
      <c r="F1" s="74" t="s">
        <v>7</v>
      </c>
      <c r="G1" s="75" t="s">
        <v>9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</row>
    <row r="2" spans="1:38" s="83" customFormat="1" ht="15" customHeight="1">
      <c r="A2" s="78"/>
      <c r="B2" s="79"/>
      <c r="C2" s="80" t="s">
        <v>158</v>
      </c>
      <c r="D2" s="81">
        <v>2014</v>
      </c>
      <c r="E2" s="82">
        <v>2015</v>
      </c>
      <c r="F2" s="81">
        <v>2015</v>
      </c>
      <c r="G2" s="82">
        <v>2016</v>
      </c>
    </row>
    <row r="3" spans="1:38" ht="15" customHeight="1">
      <c r="A3" s="678" t="s">
        <v>159</v>
      </c>
      <c r="B3" s="679"/>
      <c r="C3" s="679"/>
      <c r="D3" s="91"/>
      <c r="E3" s="394" t="s">
        <v>389</v>
      </c>
      <c r="F3" s="85"/>
      <c r="G3" s="85"/>
    </row>
    <row r="4" spans="1:38" s="91" customFormat="1" ht="12.75" customHeight="1">
      <c r="A4" s="86">
        <v>30</v>
      </c>
      <c r="B4" s="87"/>
      <c r="C4" s="88" t="s">
        <v>14</v>
      </c>
      <c r="D4" s="490">
        <v>316793.01656000002</v>
      </c>
      <c r="E4" s="490">
        <v>322775.14</v>
      </c>
      <c r="F4" s="90">
        <v>313719.59999999998</v>
      </c>
      <c r="G4" s="90">
        <v>318171.2</v>
      </c>
    </row>
    <row r="5" spans="1:38" s="91" customFormat="1" ht="12.75" customHeight="1">
      <c r="A5" s="92">
        <v>31</v>
      </c>
      <c r="B5" s="93"/>
      <c r="C5" s="94" t="s">
        <v>160</v>
      </c>
      <c r="D5" s="491">
        <v>108210.2885</v>
      </c>
      <c r="E5" s="491">
        <v>106215.53959999999</v>
      </c>
      <c r="F5" s="96">
        <v>101396.4</v>
      </c>
      <c r="G5" s="96">
        <v>105201.2</v>
      </c>
    </row>
    <row r="6" spans="1:38" s="91" customFormat="1" ht="12.75" customHeight="1">
      <c r="A6" s="97" t="s">
        <v>17</v>
      </c>
      <c r="B6" s="98"/>
      <c r="C6" s="99" t="s">
        <v>161</v>
      </c>
      <c r="D6" s="491">
        <v>20749.943170000002</v>
      </c>
      <c r="E6" s="491">
        <v>22208</v>
      </c>
      <c r="F6" s="96">
        <v>18133.599999999999</v>
      </c>
      <c r="G6" s="96">
        <v>20619.400000000001</v>
      </c>
    </row>
    <row r="7" spans="1:38" s="91" customFormat="1" ht="12.75" customHeight="1">
      <c r="A7" s="97" t="s">
        <v>162</v>
      </c>
      <c r="B7" s="98"/>
      <c r="C7" s="99" t="s">
        <v>163</v>
      </c>
      <c r="D7" s="491">
        <v>-459</v>
      </c>
      <c r="E7" s="491">
        <v>0</v>
      </c>
      <c r="F7" s="96">
        <v>465</v>
      </c>
      <c r="G7" s="96">
        <v>0</v>
      </c>
    </row>
    <row r="8" spans="1:38" s="91" customFormat="1" ht="12.75" customHeight="1">
      <c r="A8" s="101">
        <v>330</v>
      </c>
      <c r="B8" s="93"/>
      <c r="C8" s="94" t="s">
        <v>164</v>
      </c>
      <c r="D8" s="491">
        <v>59762.226270000006</v>
      </c>
      <c r="E8" s="491">
        <v>64440.000000000007</v>
      </c>
      <c r="F8" s="96">
        <v>58798.400000000001</v>
      </c>
      <c r="G8" s="96">
        <v>71281</v>
      </c>
    </row>
    <row r="9" spans="1:38" s="91" customFormat="1" ht="12.75" customHeight="1">
      <c r="A9" s="101">
        <v>332</v>
      </c>
      <c r="B9" s="93"/>
      <c r="C9" s="94" t="s">
        <v>165</v>
      </c>
      <c r="D9" s="491">
        <v>0</v>
      </c>
      <c r="E9" s="491">
        <v>0</v>
      </c>
      <c r="F9" s="96">
        <v>0</v>
      </c>
      <c r="G9" s="96">
        <v>0</v>
      </c>
    </row>
    <row r="10" spans="1:38" s="91" customFormat="1" ht="12.75" customHeight="1">
      <c r="A10" s="101">
        <v>339</v>
      </c>
      <c r="B10" s="93"/>
      <c r="C10" s="94" t="s">
        <v>166</v>
      </c>
      <c r="D10" s="491">
        <v>0</v>
      </c>
      <c r="E10" s="491">
        <v>0</v>
      </c>
      <c r="F10" s="96">
        <v>0</v>
      </c>
      <c r="G10" s="96">
        <v>0</v>
      </c>
    </row>
    <row r="11" spans="1:38" s="91" customFormat="1" ht="12.75" customHeight="1">
      <c r="A11" s="92">
        <v>350</v>
      </c>
      <c r="B11" s="93"/>
      <c r="C11" s="94" t="s">
        <v>167</v>
      </c>
      <c r="D11" s="491">
        <v>0</v>
      </c>
      <c r="E11" s="491">
        <v>402.8</v>
      </c>
      <c r="F11" s="96">
        <v>189.2</v>
      </c>
      <c r="G11" s="96">
        <v>41</v>
      </c>
    </row>
    <row r="12" spans="1:38" s="106" customFormat="1" ht="14">
      <c r="A12" s="102">
        <v>351</v>
      </c>
      <c r="B12" s="103"/>
      <c r="C12" s="104" t="s">
        <v>168</v>
      </c>
      <c r="D12" s="491">
        <v>14292.656629999999</v>
      </c>
      <c r="E12" s="491">
        <v>11219.657999999999</v>
      </c>
      <c r="F12" s="96">
        <v>17622.3</v>
      </c>
      <c r="G12" s="96">
        <v>9504.4599999999991</v>
      </c>
    </row>
    <row r="13" spans="1:38" s="91" customFormat="1" ht="12.75" customHeight="1">
      <c r="A13" s="92">
        <v>36</v>
      </c>
      <c r="B13" s="93"/>
      <c r="C13" s="94" t="s">
        <v>169</v>
      </c>
      <c r="D13" s="491">
        <v>810229.71282999997</v>
      </c>
      <c r="E13" s="491">
        <v>853050.33600000001</v>
      </c>
      <c r="F13" s="96">
        <v>854293.1</v>
      </c>
      <c r="G13" s="96">
        <v>861238.8</v>
      </c>
    </row>
    <row r="14" spans="1:38" s="91" customFormat="1" ht="12.75" customHeight="1">
      <c r="A14" s="107" t="s">
        <v>170</v>
      </c>
      <c r="B14" s="93"/>
      <c r="C14" s="108" t="s">
        <v>171</v>
      </c>
      <c r="D14" s="491">
        <v>156594.90929999997</v>
      </c>
      <c r="E14" s="491">
        <v>161333.80300000001</v>
      </c>
      <c r="F14" s="96">
        <v>163307.20000000001</v>
      </c>
      <c r="G14" s="96">
        <v>163556.79999999999</v>
      </c>
    </row>
    <row r="15" spans="1:38" s="91" customFormat="1" ht="12.75" customHeight="1">
      <c r="A15" s="107" t="s">
        <v>172</v>
      </c>
      <c r="B15" s="93"/>
      <c r="C15" s="108" t="s">
        <v>173</v>
      </c>
      <c r="D15" s="491">
        <v>31977.864980000002</v>
      </c>
      <c r="E15" s="491">
        <v>35999.4</v>
      </c>
      <c r="F15" s="96">
        <v>35066.6</v>
      </c>
      <c r="G15" s="96">
        <v>36737.800000000003</v>
      </c>
    </row>
    <row r="16" spans="1:38" s="111" customFormat="1" ht="26.25" customHeight="1">
      <c r="A16" s="107" t="s">
        <v>174</v>
      </c>
      <c r="B16" s="109"/>
      <c r="C16" s="108" t="s">
        <v>175</v>
      </c>
      <c r="D16" s="491">
        <v>9509.05026</v>
      </c>
      <c r="E16" s="491">
        <v>10419</v>
      </c>
      <c r="F16" s="96">
        <v>9004.7999999999993</v>
      </c>
      <c r="G16" s="96">
        <v>9599</v>
      </c>
    </row>
    <row r="17" spans="1:7" s="113" customFormat="1">
      <c r="A17" s="92">
        <v>37</v>
      </c>
      <c r="B17" s="93"/>
      <c r="C17" s="94" t="s">
        <v>176</v>
      </c>
      <c r="D17" s="491">
        <v>82305.212549999997</v>
      </c>
      <c r="E17" s="491">
        <v>86329.4</v>
      </c>
      <c r="F17" s="96">
        <v>84211.3</v>
      </c>
      <c r="G17" s="96">
        <v>84680.4</v>
      </c>
    </row>
    <row r="18" spans="1:7" s="113" customFormat="1">
      <c r="A18" s="101" t="s">
        <v>177</v>
      </c>
      <c r="B18" s="93"/>
      <c r="C18" s="94" t="s">
        <v>178</v>
      </c>
      <c r="D18" s="491">
        <v>0</v>
      </c>
      <c r="E18" s="491">
        <v>0</v>
      </c>
      <c r="F18" s="96">
        <v>0</v>
      </c>
      <c r="G18" s="96">
        <v>0</v>
      </c>
    </row>
    <row r="19" spans="1:7" s="113" customFormat="1">
      <c r="A19" s="101" t="s">
        <v>179</v>
      </c>
      <c r="B19" s="93"/>
      <c r="C19" s="94" t="s">
        <v>180</v>
      </c>
      <c r="D19" s="491">
        <v>46829.5576</v>
      </c>
      <c r="E19" s="491">
        <v>50095</v>
      </c>
      <c r="F19" s="96">
        <v>47004.2</v>
      </c>
      <c r="G19" s="96">
        <v>46570</v>
      </c>
    </row>
    <row r="20" spans="1:7" s="91" customFormat="1" ht="12.75" customHeight="1">
      <c r="A20" s="116">
        <v>39</v>
      </c>
      <c r="B20" s="117"/>
      <c r="C20" s="118" t="s">
        <v>181</v>
      </c>
      <c r="D20" s="491">
        <v>3148.6015700000003</v>
      </c>
      <c r="E20" s="491">
        <v>3191.4</v>
      </c>
      <c r="F20" s="120">
        <v>2913.3</v>
      </c>
      <c r="G20" s="120">
        <v>2135.9</v>
      </c>
    </row>
    <row r="21" spans="1:7" ht="12.75" customHeight="1">
      <c r="A21" s="121"/>
      <c r="B21" s="121"/>
      <c r="C21" s="122" t="s">
        <v>182</v>
      </c>
      <c r="D21" s="123">
        <f t="shared" ref="D21:G21" si="0">D4+D5+SUM(D8:D13)+D17</f>
        <v>1391593.1133399999</v>
      </c>
      <c r="E21" s="123">
        <f t="shared" si="0"/>
        <v>1444432.8736</v>
      </c>
      <c r="F21" s="123">
        <f t="shared" si="0"/>
        <v>1430230.3</v>
      </c>
      <c r="G21" s="123">
        <f t="shared" si="0"/>
        <v>1450118.06</v>
      </c>
    </row>
    <row r="22" spans="1:7" s="91" customFormat="1" ht="12.75" customHeight="1">
      <c r="A22" s="101" t="s">
        <v>183</v>
      </c>
      <c r="B22" s="93"/>
      <c r="C22" s="94" t="s">
        <v>184</v>
      </c>
      <c r="D22" s="490">
        <v>605511.26139999996</v>
      </c>
      <c r="E22" s="490">
        <v>615600</v>
      </c>
      <c r="F22" s="124">
        <v>627705.19999999995</v>
      </c>
      <c r="G22" s="124">
        <v>632300</v>
      </c>
    </row>
    <row r="23" spans="1:7" s="91" customFormat="1" ht="12.75" customHeight="1">
      <c r="A23" s="101" t="s">
        <v>185</v>
      </c>
      <c r="B23" s="93"/>
      <c r="C23" s="94" t="s">
        <v>186</v>
      </c>
      <c r="D23" s="491">
        <v>32941.212070000001</v>
      </c>
      <c r="E23" s="491">
        <v>33400.000000000007</v>
      </c>
      <c r="F23" s="124">
        <v>35099.5</v>
      </c>
      <c r="G23" s="124">
        <v>34000</v>
      </c>
    </row>
    <row r="24" spans="1:7" s="125" customFormat="1" ht="12.75" customHeight="1">
      <c r="A24" s="92">
        <v>41</v>
      </c>
      <c r="B24" s="93"/>
      <c r="C24" s="94" t="s">
        <v>187</v>
      </c>
      <c r="D24" s="491">
        <v>2161.4816499999997</v>
      </c>
      <c r="E24" s="491">
        <v>2160.1</v>
      </c>
      <c r="F24" s="124">
        <v>21288.7</v>
      </c>
      <c r="G24" s="124">
        <v>11818.2</v>
      </c>
    </row>
    <row r="25" spans="1:7" s="91" customFormat="1" ht="12.75" customHeight="1">
      <c r="A25" s="126">
        <v>42</v>
      </c>
      <c r="B25" s="127"/>
      <c r="C25" s="94" t="s">
        <v>188</v>
      </c>
      <c r="D25" s="491">
        <v>66541.794250000006</v>
      </c>
      <c r="E25" s="491">
        <v>67028.294999999998</v>
      </c>
      <c r="F25" s="124">
        <v>71669.899999999994</v>
      </c>
      <c r="G25" s="124">
        <v>70045.8</v>
      </c>
    </row>
    <row r="26" spans="1:7" s="129" customFormat="1" ht="12.75" customHeight="1">
      <c r="A26" s="102">
        <v>430</v>
      </c>
      <c r="B26" s="93"/>
      <c r="C26" s="94" t="s">
        <v>189</v>
      </c>
      <c r="D26" s="491">
        <v>329.76085</v>
      </c>
      <c r="E26" s="491">
        <v>75</v>
      </c>
      <c r="F26" s="124">
        <v>150</v>
      </c>
      <c r="G26" s="124">
        <v>75</v>
      </c>
    </row>
    <row r="27" spans="1:7" s="129" customFormat="1" ht="12.75" customHeight="1">
      <c r="A27" s="102">
        <v>431</v>
      </c>
      <c r="B27" s="93"/>
      <c r="C27" s="94" t="s">
        <v>190</v>
      </c>
      <c r="D27" s="491">
        <v>6035.1</v>
      </c>
      <c r="E27" s="491">
        <v>6505.0000000000009</v>
      </c>
      <c r="F27" s="124">
        <v>5507.5</v>
      </c>
      <c r="G27" s="124">
        <v>7471</v>
      </c>
    </row>
    <row r="28" spans="1:7" s="129" customFormat="1" ht="12.75" customHeight="1">
      <c r="A28" s="102">
        <v>432</v>
      </c>
      <c r="B28" s="93"/>
      <c r="C28" s="94" t="s">
        <v>191</v>
      </c>
      <c r="D28" s="491">
        <v>11.475</v>
      </c>
      <c r="E28" s="491">
        <v>-1.9999999999999998</v>
      </c>
      <c r="F28" s="124">
        <v>6.6</v>
      </c>
      <c r="G28" s="124">
        <v>-2</v>
      </c>
    </row>
    <row r="29" spans="1:7" s="129" customFormat="1" ht="12.75" customHeight="1">
      <c r="A29" s="102">
        <v>439</v>
      </c>
      <c r="B29" s="93"/>
      <c r="C29" s="94" t="s">
        <v>192</v>
      </c>
      <c r="D29" s="491">
        <v>71.254009999999994</v>
      </c>
      <c r="E29" s="491">
        <v>53</v>
      </c>
      <c r="F29" s="124">
        <v>74.8</v>
      </c>
      <c r="G29" s="124">
        <v>45</v>
      </c>
    </row>
    <row r="30" spans="1:7" s="91" customFormat="1" ht="14">
      <c r="A30" s="102">
        <v>450</v>
      </c>
      <c r="B30" s="103"/>
      <c r="C30" s="104" t="s">
        <v>193</v>
      </c>
      <c r="D30" s="491">
        <v>0</v>
      </c>
      <c r="E30" s="491">
        <v>0</v>
      </c>
      <c r="F30" s="96">
        <v>0</v>
      </c>
      <c r="G30" s="96">
        <v>0</v>
      </c>
    </row>
    <row r="31" spans="1:7" s="106" customFormat="1" ht="14">
      <c r="A31" s="102">
        <v>451</v>
      </c>
      <c r="B31" s="103"/>
      <c r="C31" s="104" t="s">
        <v>194</v>
      </c>
      <c r="D31" s="491">
        <v>0</v>
      </c>
      <c r="E31" s="491">
        <v>0</v>
      </c>
      <c r="F31" s="124">
        <v>0</v>
      </c>
      <c r="G31" s="124">
        <v>0</v>
      </c>
    </row>
    <row r="32" spans="1:7" s="91" customFormat="1" ht="12.75" customHeight="1">
      <c r="A32" s="92">
        <v>46</v>
      </c>
      <c r="B32" s="93"/>
      <c r="C32" s="94" t="s">
        <v>195</v>
      </c>
      <c r="D32" s="491">
        <v>424306.93449999997</v>
      </c>
      <c r="E32" s="491">
        <v>435472.55300000007</v>
      </c>
      <c r="F32" s="96">
        <v>425224.8</v>
      </c>
      <c r="G32" s="96">
        <v>404658</v>
      </c>
    </row>
    <row r="33" spans="1:7" s="106" customFormat="1" ht="12.75" customHeight="1">
      <c r="A33" s="114" t="s">
        <v>196</v>
      </c>
      <c r="B33" s="98"/>
      <c r="C33" s="99" t="s">
        <v>197</v>
      </c>
      <c r="D33" s="491">
        <v>0</v>
      </c>
      <c r="E33" s="491">
        <v>0</v>
      </c>
      <c r="F33" s="96">
        <v>0</v>
      </c>
      <c r="G33" s="96">
        <v>0</v>
      </c>
    </row>
    <row r="34" spans="1:7" s="91" customFormat="1" ht="15" customHeight="1">
      <c r="A34" s="92">
        <v>47</v>
      </c>
      <c r="B34" s="93"/>
      <c r="C34" s="94" t="s">
        <v>176</v>
      </c>
      <c r="D34" s="491">
        <v>82305.212549999997</v>
      </c>
      <c r="E34" s="491">
        <v>86329.4</v>
      </c>
      <c r="F34" s="96">
        <v>84211.3</v>
      </c>
      <c r="G34" s="96">
        <v>84680.4</v>
      </c>
    </row>
    <row r="35" spans="1:7" s="91" customFormat="1" ht="15" customHeight="1">
      <c r="A35" s="116">
        <v>49</v>
      </c>
      <c r="B35" s="117"/>
      <c r="C35" s="118" t="s">
        <v>198</v>
      </c>
      <c r="D35" s="491">
        <v>3148.6015700000003</v>
      </c>
      <c r="E35" s="491">
        <v>3191.4</v>
      </c>
      <c r="F35" s="120">
        <v>2913.3</v>
      </c>
      <c r="G35" s="120">
        <v>2135.9</v>
      </c>
    </row>
    <row r="36" spans="1:7" ht="13.5" customHeight="1">
      <c r="A36" s="121"/>
      <c r="B36" s="134"/>
      <c r="C36" s="122" t="s">
        <v>199</v>
      </c>
      <c r="D36" s="123">
        <f t="shared" ref="D36:G36" si="1">D22+D23+D24+D25+D26+D27+D28+D29+D30+D31+D32+D34</f>
        <v>1220215.4862800001</v>
      </c>
      <c r="E36" s="123">
        <f t="shared" si="1"/>
        <v>1246621.348</v>
      </c>
      <c r="F36" s="123">
        <f t="shared" si="1"/>
        <v>1270938.3</v>
      </c>
      <c r="G36" s="123">
        <f t="shared" si="1"/>
        <v>1245091.3999999999</v>
      </c>
    </row>
    <row r="37" spans="1:7" s="135" customFormat="1" ht="15" customHeight="1">
      <c r="A37" s="121"/>
      <c r="B37" s="134"/>
      <c r="C37" s="122" t="s">
        <v>200</v>
      </c>
      <c r="D37" s="123">
        <f t="shared" ref="D37:G37" si="2">D36-D21</f>
        <v>-171377.62705999985</v>
      </c>
      <c r="E37" s="123">
        <f t="shared" si="2"/>
        <v>-197811.52560000005</v>
      </c>
      <c r="F37" s="123">
        <f t="shared" si="2"/>
        <v>-159292</v>
      </c>
      <c r="G37" s="123">
        <f t="shared" si="2"/>
        <v>-205026.66000000015</v>
      </c>
    </row>
    <row r="38" spans="1:7" s="106" customFormat="1" ht="15" customHeight="1">
      <c r="A38" s="101">
        <v>340</v>
      </c>
      <c r="B38" s="93"/>
      <c r="C38" s="94" t="s">
        <v>201</v>
      </c>
      <c r="D38" s="490">
        <v>19.097999999999999</v>
      </c>
      <c r="E38" s="490">
        <v>30</v>
      </c>
      <c r="F38" s="96">
        <v>24.1</v>
      </c>
      <c r="G38" s="96">
        <v>20</v>
      </c>
    </row>
    <row r="39" spans="1:7" s="106" customFormat="1" ht="15" customHeight="1">
      <c r="A39" s="101">
        <v>341</v>
      </c>
      <c r="B39" s="93"/>
      <c r="C39" s="94" t="s">
        <v>202</v>
      </c>
      <c r="D39" s="491">
        <v>5.2434700000000003</v>
      </c>
      <c r="E39" s="491">
        <v>0</v>
      </c>
      <c r="F39" s="124">
        <v>169.9</v>
      </c>
      <c r="G39" s="124">
        <v>0</v>
      </c>
    </row>
    <row r="40" spans="1:7" s="106" customFormat="1" ht="15" customHeight="1">
      <c r="A40" s="101">
        <v>342</v>
      </c>
      <c r="B40" s="93"/>
      <c r="C40" s="94" t="s">
        <v>203</v>
      </c>
      <c r="D40" s="491">
        <v>0</v>
      </c>
      <c r="E40" s="491">
        <v>0</v>
      </c>
      <c r="F40" s="124">
        <v>0</v>
      </c>
      <c r="G40" s="124">
        <v>0</v>
      </c>
    </row>
    <row r="41" spans="1:7" s="106" customFormat="1" ht="15" customHeight="1">
      <c r="A41" s="101">
        <v>343</v>
      </c>
      <c r="B41" s="93"/>
      <c r="C41" s="94" t="s">
        <v>204</v>
      </c>
      <c r="D41" s="491">
        <v>878.17900999999995</v>
      </c>
      <c r="E41" s="491">
        <v>858.47000000000014</v>
      </c>
      <c r="F41" s="124">
        <v>904</v>
      </c>
      <c r="G41" s="124">
        <v>867.6</v>
      </c>
    </row>
    <row r="42" spans="1:7" s="106" customFormat="1" ht="15" customHeight="1">
      <c r="A42" s="101">
        <v>344</v>
      </c>
      <c r="B42" s="93"/>
      <c r="C42" s="94" t="s">
        <v>205</v>
      </c>
      <c r="D42" s="491">
        <v>0</v>
      </c>
      <c r="E42" s="491">
        <v>0</v>
      </c>
      <c r="F42" s="124">
        <v>0</v>
      </c>
      <c r="G42" s="124">
        <v>0</v>
      </c>
    </row>
    <row r="43" spans="1:7" s="106" customFormat="1" ht="15" customHeight="1">
      <c r="A43" s="101">
        <v>349</v>
      </c>
      <c r="B43" s="93"/>
      <c r="C43" s="94" t="s">
        <v>206</v>
      </c>
      <c r="D43" s="491">
        <v>11265.50922</v>
      </c>
      <c r="E43" s="491">
        <v>11250</v>
      </c>
      <c r="F43" s="124">
        <v>7613.5</v>
      </c>
      <c r="G43" s="124">
        <v>5397.1</v>
      </c>
    </row>
    <row r="44" spans="1:7" s="91" customFormat="1" ht="15" customHeight="1">
      <c r="A44" s="92">
        <v>440</v>
      </c>
      <c r="B44" s="93"/>
      <c r="C44" s="94" t="s">
        <v>207</v>
      </c>
      <c r="D44" s="491">
        <v>5129.09879</v>
      </c>
      <c r="E44" s="491">
        <v>3357.3</v>
      </c>
      <c r="F44" s="96">
        <v>2748.8</v>
      </c>
      <c r="G44" s="96">
        <v>1396.3</v>
      </c>
    </row>
    <row r="45" spans="1:7" s="91" customFormat="1" ht="15" customHeight="1">
      <c r="A45" s="92">
        <v>441</v>
      </c>
      <c r="B45" s="93"/>
      <c r="C45" s="94" t="s">
        <v>208</v>
      </c>
      <c r="D45" s="491">
        <v>544.59400000000005</v>
      </c>
      <c r="E45" s="491">
        <v>0</v>
      </c>
      <c r="F45" s="96">
        <v>9.6999999999999993</v>
      </c>
      <c r="G45" s="96">
        <v>0</v>
      </c>
    </row>
    <row r="46" spans="1:7" s="91" customFormat="1" ht="15" customHeight="1">
      <c r="A46" s="92">
        <v>442</v>
      </c>
      <c r="B46" s="93"/>
      <c r="C46" s="94" t="s">
        <v>209</v>
      </c>
      <c r="D46" s="491">
        <v>813</v>
      </c>
      <c r="E46" s="491">
        <v>813</v>
      </c>
      <c r="F46" s="96">
        <v>792</v>
      </c>
      <c r="G46" s="96">
        <v>792</v>
      </c>
    </row>
    <row r="47" spans="1:7" s="91" customFormat="1" ht="15" customHeight="1">
      <c r="A47" s="92">
        <v>443</v>
      </c>
      <c r="B47" s="93"/>
      <c r="C47" s="94" t="s">
        <v>210</v>
      </c>
      <c r="D47" s="491">
        <v>1218.8883000000001</v>
      </c>
      <c r="E47" s="491">
        <v>1073.03</v>
      </c>
      <c r="F47" s="96">
        <v>1230.8</v>
      </c>
      <c r="G47" s="96">
        <v>1109</v>
      </c>
    </row>
    <row r="48" spans="1:7" s="91" customFormat="1" ht="15" customHeight="1">
      <c r="A48" s="92">
        <v>444</v>
      </c>
      <c r="B48" s="93"/>
      <c r="C48" s="94" t="s">
        <v>205</v>
      </c>
      <c r="D48" s="491">
        <v>0</v>
      </c>
      <c r="E48" s="491">
        <v>0</v>
      </c>
      <c r="F48" s="96">
        <v>0</v>
      </c>
      <c r="G48" s="96">
        <v>0</v>
      </c>
    </row>
    <row r="49" spans="1:7" s="91" customFormat="1" ht="15" customHeight="1">
      <c r="A49" s="92">
        <v>445</v>
      </c>
      <c r="B49" s="93"/>
      <c r="C49" s="94" t="s">
        <v>211</v>
      </c>
      <c r="D49" s="491">
        <v>28541.827950000003</v>
      </c>
      <c r="E49" s="491">
        <v>28474.1</v>
      </c>
      <c r="F49" s="96">
        <v>27871.599999999999</v>
      </c>
      <c r="G49" s="96">
        <v>28561.4</v>
      </c>
    </row>
    <row r="50" spans="1:7" s="91" customFormat="1" ht="15" customHeight="1">
      <c r="A50" s="92">
        <v>446</v>
      </c>
      <c r="B50" s="93"/>
      <c r="C50" s="94" t="s">
        <v>212</v>
      </c>
      <c r="D50" s="491">
        <v>0</v>
      </c>
      <c r="E50" s="491">
        <v>6</v>
      </c>
      <c r="F50" s="96">
        <v>6</v>
      </c>
      <c r="G50" s="96">
        <v>6</v>
      </c>
    </row>
    <row r="51" spans="1:7" s="91" customFormat="1" ht="15" customHeight="1">
      <c r="A51" s="92">
        <v>447</v>
      </c>
      <c r="B51" s="93"/>
      <c r="C51" s="94" t="s">
        <v>213</v>
      </c>
      <c r="D51" s="491">
        <v>7871.8496399999995</v>
      </c>
      <c r="E51" s="491">
        <v>7800.54</v>
      </c>
      <c r="F51" s="96">
        <v>7912.8</v>
      </c>
      <c r="G51" s="96">
        <v>8344.4</v>
      </c>
    </row>
    <row r="52" spans="1:7" s="91" customFormat="1" ht="15" customHeight="1">
      <c r="A52" s="92">
        <v>448</v>
      </c>
      <c r="B52" s="93"/>
      <c r="C52" s="94" t="s">
        <v>214</v>
      </c>
      <c r="D52" s="491">
        <v>601.22490000000005</v>
      </c>
      <c r="E52" s="491">
        <v>571</v>
      </c>
      <c r="F52" s="96">
        <v>796.3</v>
      </c>
      <c r="G52" s="96">
        <v>758.5</v>
      </c>
    </row>
    <row r="53" spans="1:7" s="91" customFormat="1" ht="15" customHeight="1">
      <c r="A53" s="92">
        <v>449</v>
      </c>
      <c r="B53" s="93"/>
      <c r="C53" s="94" t="s">
        <v>215</v>
      </c>
      <c r="D53" s="491">
        <v>0</v>
      </c>
      <c r="E53" s="491">
        <v>0</v>
      </c>
      <c r="F53" s="96">
        <v>0</v>
      </c>
      <c r="G53" s="96">
        <v>0</v>
      </c>
    </row>
    <row r="54" spans="1:7" s="106" customFormat="1" ht="13.5" customHeight="1">
      <c r="A54" s="136" t="s">
        <v>216</v>
      </c>
      <c r="B54" s="137"/>
      <c r="C54" s="137" t="s">
        <v>217</v>
      </c>
      <c r="D54" s="491">
        <v>0</v>
      </c>
      <c r="E54" s="491">
        <v>0</v>
      </c>
      <c r="F54" s="120">
        <v>0</v>
      </c>
      <c r="G54" s="120">
        <v>0</v>
      </c>
    </row>
    <row r="55" spans="1:7" ht="15" customHeight="1">
      <c r="A55" s="134"/>
      <c r="B55" s="134"/>
      <c r="C55" s="122" t="s">
        <v>218</v>
      </c>
      <c r="D55" s="123">
        <f t="shared" ref="D55:G55" si="3">SUM(D44:D53)-SUM(D38:D43)</f>
        <v>32552.453880000001</v>
      </c>
      <c r="E55" s="123">
        <f t="shared" si="3"/>
        <v>29956.5</v>
      </c>
      <c r="F55" s="123">
        <f t="shared" si="3"/>
        <v>32656.5</v>
      </c>
      <c r="G55" s="123">
        <f t="shared" si="3"/>
        <v>34682.899999999994</v>
      </c>
    </row>
    <row r="56" spans="1:7" ht="14.25" customHeight="1">
      <c r="A56" s="134"/>
      <c r="B56" s="134"/>
      <c r="C56" s="122" t="s">
        <v>219</v>
      </c>
      <c r="D56" s="123">
        <f t="shared" ref="D56:G56" si="4">D55+D37</f>
        <v>-138825.17317999987</v>
      </c>
      <c r="E56" s="123">
        <f t="shared" si="4"/>
        <v>-167855.02560000005</v>
      </c>
      <c r="F56" s="123">
        <f t="shared" si="4"/>
        <v>-126635.5</v>
      </c>
      <c r="G56" s="123">
        <f t="shared" si="4"/>
        <v>-170343.76000000015</v>
      </c>
    </row>
    <row r="57" spans="1:7" s="91" customFormat="1" ht="15.75" customHeight="1">
      <c r="A57" s="140">
        <v>380</v>
      </c>
      <c r="B57" s="141"/>
      <c r="C57" s="142" t="s">
        <v>220</v>
      </c>
      <c r="D57" s="340">
        <v>0</v>
      </c>
      <c r="E57" s="436"/>
      <c r="F57" s="436"/>
      <c r="G57" s="436"/>
    </row>
    <row r="58" spans="1:7" s="91" customFormat="1" ht="15.75" customHeight="1">
      <c r="A58" s="140">
        <v>381</v>
      </c>
      <c r="B58" s="141"/>
      <c r="C58" s="142" t="s">
        <v>221</v>
      </c>
      <c r="D58" s="340">
        <v>0</v>
      </c>
      <c r="E58" s="436"/>
      <c r="F58" s="436"/>
      <c r="G58" s="436"/>
    </row>
    <row r="59" spans="1:7" s="488" customFormat="1" ht="14">
      <c r="A59" s="102">
        <v>383</v>
      </c>
      <c r="B59" s="103"/>
      <c r="C59" s="104" t="s">
        <v>222</v>
      </c>
      <c r="D59" s="143">
        <v>0</v>
      </c>
      <c r="E59" s="277">
        <v>0</v>
      </c>
      <c r="F59" s="277">
        <v>0</v>
      </c>
      <c r="G59" s="277">
        <v>0</v>
      </c>
    </row>
    <row r="60" spans="1:7" s="106" customFormat="1" ht="14">
      <c r="A60" s="102">
        <v>3840</v>
      </c>
      <c r="B60" s="103"/>
      <c r="C60" s="104" t="s">
        <v>223</v>
      </c>
      <c r="D60" s="145">
        <v>0</v>
      </c>
      <c r="E60" s="269">
        <v>0</v>
      </c>
      <c r="F60" s="269">
        <v>0</v>
      </c>
      <c r="G60" s="269">
        <v>0</v>
      </c>
    </row>
    <row r="61" spans="1:7" s="106" customFormat="1" ht="14">
      <c r="A61" s="102">
        <v>3841</v>
      </c>
      <c r="B61" s="103"/>
      <c r="C61" s="104" t="s">
        <v>224</v>
      </c>
      <c r="D61" s="145">
        <v>0</v>
      </c>
      <c r="E61" s="269">
        <v>0</v>
      </c>
      <c r="F61" s="269">
        <v>0</v>
      </c>
      <c r="G61" s="269">
        <v>0</v>
      </c>
    </row>
    <row r="62" spans="1:7" s="106" customFormat="1" ht="14">
      <c r="A62" s="147">
        <v>386</v>
      </c>
      <c r="B62" s="148"/>
      <c r="C62" s="149" t="s">
        <v>225</v>
      </c>
      <c r="D62" s="145">
        <v>0</v>
      </c>
      <c r="E62" s="269">
        <v>0</v>
      </c>
      <c r="F62" s="269">
        <v>0</v>
      </c>
      <c r="G62" s="269">
        <v>0</v>
      </c>
    </row>
    <row r="63" spans="1:7" s="106" customFormat="1" ht="28">
      <c r="A63" s="102">
        <v>387</v>
      </c>
      <c r="B63" s="103"/>
      <c r="C63" s="104" t="s">
        <v>226</v>
      </c>
      <c r="D63" s="145">
        <v>0</v>
      </c>
      <c r="E63" s="269">
        <v>1308</v>
      </c>
      <c r="F63" s="269">
        <v>1308</v>
      </c>
      <c r="G63" s="269">
        <v>0</v>
      </c>
    </row>
    <row r="64" spans="1:7" s="106" customFormat="1">
      <c r="A64" s="101">
        <v>389</v>
      </c>
      <c r="B64" s="150"/>
      <c r="C64" s="94" t="s">
        <v>42</v>
      </c>
      <c r="D64" s="95">
        <v>167.86976000000001</v>
      </c>
      <c r="E64" s="95">
        <v>0</v>
      </c>
      <c r="F64" s="95">
        <v>0</v>
      </c>
      <c r="G64" s="95">
        <v>0</v>
      </c>
    </row>
    <row r="65" spans="1:7" s="91" customFormat="1">
      <c r="A65" s="101" t="s">
        <v>227</v>
      </c>
      <c r="B65" s="93"/>
      <c r="C65" s="94" t="s">
        <v>228</v>
      </c>
      <c r="D65" s="95">
        <v>0</v>
      </c>
      <c r="E65" s="124">
        <v>0</v>
      </c>
      <c r="F65" s="124">
        <v>0</v>
      </c>
      <c r="G65" s="124">
        <v>0</v>
      </c>
    </row>
    <row r="66" spans="1:7" s="153" customFormat="1" ht="14">
      <c r="A66" s="151" t="s">
        <v>229</v>
      </c>
      <c r="B66" s="152"/>
      <c r="C66" s="104" t="s">
        <v>230</v>
      </c>
      <c r="D66" s="143">
        <v>0</v>
      </c>
      <c r="E66" s="144">
        <v>0</v>
      </c>
      <c r="F66" s="144">
        <v>0</v>
      </c>
      <c r="G66" s="144">
        <v>0</v>
      </c>
    </row>
    <row r="67" spans="1:7" s="91" customFormat="1">
      <c r="A67" s="154">
        <v>481</v>
      </c>
      <c r="B67" s="93"/>
      <c r="C67" s="94" t="s">
        <v>231</v>
      </c>
      <c r="D67" s="95">
        <v>0</v>
      </c>
      <c r="E67" s="124">
        <v>0</v>
      </c>
      <c r="F67" s="124">
        <v>0</v>
      </c>
      <c r="G67" s="124">
        <v>0</v>
      </c>
    </row>
    <row r="68" spans="1:7" s="91" customFormat="1">
      <c r="A68" s="154">
        <v>482</v>
      </c>
      <c r="B68" s="93"/>
      <c r="C68" s="94" t="s">
        <v>232</v>
      </c>
      <c r="D68" s="95">
        <v>0</v>
      </c>
      <c r="E68" s="124">
        <v>0</v>
      </c>
      <c r="F68" s="124">
        <v>0</v>
      </c>
      <c r="G68" s="124">
        <v>0</v>
      </c>
    </row>
    <row r="69" spans="1:7" s="91" customFormat="1">
      <c r="A69" s="154">
        <v>483</v>
      </c>
      <c r="B69" s="93"/>
      <c r="C69" s="94" t="s">
        <v>233</v>
      </c>
      <c r="D69" s="95">
        <v>0</v>
      </c>
      <c r="E69" s="124">
        <v>0</v>
      </c>
      <c r="F69" s="124">
        <v>0</v>
      </c>
      <c r="G69" s="124">
        <v>0</v>
      </c>
    </row>
    <row r="70" spans="1:7" s="91" customFormat="1">
      <c r="A70" s="154">
        <v>484</v>
      </c>
      <c r="B70" s="93"/>
      <c r="C70" s="94" t="s">
        <v>234</v>
      </c>
      <c r="D70" s="95">
        <v>0</v>
      </c>
      <c r="E70" s="124">
        <v>0</v>
      </c>
      <c r="F70" s="124">
        <v>0</v>
      </c>
      <c r="G70" s="124">
        <v>0</v>
      </c>
    </row>
    <row r="71" spans="1:7" s="91" customFormat="1">
      <c r="A71" s="154">
        <v>485</v>
      </c>
      <c r="B71" s="93"/>
      <c r="C71" s="94" t="s">
        <v>235</v>
      </c>
      <c r="D71" s="95">
        <v>0</v>
      </c>
      <c r="E71" s="124">
        <v>0</v>
      </c>
      <c r="F71" s="124">
        <v>0</v>
      </c>
      <c r="G71" s="124">
        <v>0</v>
      </c>
    </row>
    <row r="72" spans="1:7" s="91" customFormat="1">
      <c r="A72" s="154">
        <v>486</v>
      </c>
      <c r="B72" s="93"/>
      <c r="C72" s="94" t="s">
        <v>236</v>
      </c>
      <c r="D72" s="95">
        <v>0</v>
      </c>
      <c r="E72" s="124">
        <v>0</v>
      </c>
      <c r="F72" s="124">
        <v>0</v>
      </c>
      <c r="G72" s="124">
        <v>0</v>
      </c>
    </row>
    <row r="73" spans="1:7" s="106" customFormat="1">
      <c r="A73" s="154">
        <v>487</v>
      </c>
      <c r="B73" s="98"/>
      <c r="C73" s="94" t="s">
        <v>237</v>
      </c>
      <c r="D73" s="95">
        <v>0</v>
      </c>
      <c r="E73" s="96">
        <v>0</v>
      </c>
      <c r="F73" s="96">
        <v>0</v>
      </c>
      <c r="G73" s="96">
        <v>0</v>
      </c>
    </row>
    <row r="74" spans="1:7" s="106" customFormat="1">
      <c r="A74" s="154">
        <v>489</v>
      </c>
      <c r="B74" s="155"/>
      <c r="C74" s="118" t="s">
        <v>59</v>
      </c>
      <c r="D74" s="95">
        <v>0</v>
      </c>
      <c r="E74" s="95">
        <v>40000</v>
      </c>
      <c r="F74" s="95">
        <v>40000</v>
      </c>
      <c r="G74" s="95">
        <v>0</v>
      </c>
    </row>
    <row r="75" spans="1:7" s="106" customFormat="1">
      <c r="A75" s="156" t="s">
        <v>238</v>
      </c>
      <c r="B75" s="155"/>
      <c r="C75" s="137" t="s">
        <v>239</v>
      </c>
      <c r="D75" s="95">
        <v>0</v>
      </c>
      <c r="E75" s="124">
        <v>0</v>
      </c>
      <c r="F75" s="124"/>
      <c r="G75" s="124"/>
    </row>
    <row r="76" spans="1:7">
      <c r="A76" s="121"/>
      <c r="B76" s="121"/>
      <c r="C76" s="122" t="s">
        <v>240</v>
      </c>
      <c r="D76" s="123">
        <f t="shared" ref="D76:G76" si="5">SUM(D65:D74)-SUM(D57:D64)</f>
        <v>-167.86976000000001</v>
      </c>
      <c r="E76" s="123">
        <f t="shared" si="5"/>
        <v>38692</v>
      </c>
      <c r="F76" s="123">
        <f t="shared" si="5"/>
        <v>38692</v>
      </c>
      <c r="G76" s="123">
        <f t="shared" si="5"/>
        <v>0</v>
      </c>
    </row>
    <row r="77" spans="1:7">
      <c r="A77" s="157"/>
      <c r="B77" s="157"/>
      <c r="C77" s="122" t="s">
        <v>241</v>
      </c>
      <c r="D77" s="123">
        <f t="shared" ref="D77:G77" si="6">D56+D76</f>
        <v>-138993.04293999987</v>
      </c>
      <c r="E77" s="123">
        <f t="shared" si="6"/>
        <v>-129163.02560000005</v>
      </c>
      <c r="F77" s="123">
        <f t="shared" si="6"/>
        <v>-87943.5</v>
      </c>
      <c r="G77" s="123">
        <f t="shared" si="6"/>
        <v>-170343.76000000015</v>
      </c>
    </row>
    <row r="78" spans="1:7">
      <c r="A78" s="158">
        <v>3</v>
      </c>
      <c r="B78" s="158"/>
      <c r="C78" s="159" t="s">
        <v>242</v>
      </c>
      <c r="D78" s="160">
        <f t="shared" ref="D78:G78" si="7">D20+D21+SUM(D38:D43)+SUM(D57:D64)</f>
        <v>1407077.6143699999</v>
      </c>
      <c r="E78" s="160">
        <f t="shared" si="7"/>
        <v>1461070.7435999999</v>
      </c>
      <c r="F78" s="160">
        <f t="shared" si="7"/>
        <v>1443163.1</v>
      </c>
      <c r="G78" s="160">
        <f t="shared" si="7"/>
        <v>1458538.66</v>
      </c>
    </row>
    <row r="79" spans="1:7">
      <c r="A79" s="158">
        <v>4</v>
      </c>
      <c r="B79" s="158"/>
      <c r="C79" s="159" t="s">
        <v>243</v>
      </c>
      <c r="D79" s="160">
        <f t="shared" ref="D79:G79" si="8">D35+D36+SUM(D44:D53)+SUM(D65:D74)</f>
        <v>1268084.57143</v>
      </c>
      <c r="E79" s="160">
        <f t="shared" si="8"/>
        <v>1331907.7179999999</v>
      </c>
      <c r="F79" s="160">
        <f t="shared" si="8"/>
        <v>1355219.6</v>
      </c>
      <c r="G79" s="160">
        <f t="shared" si="8"/>
        <v>1288194.8999999999</v>
      </c>
    </row>
    <row r="80" spans="1:7">
      <c r="C80" s="135"/>
      <c r="D80" s="161"/>
      <c r="E80" s="161"/>
      <c r="F80" s="161"/>
      <c r="G80" s="161"/>
    </row>
    <row r="81" spans="1:7">
      <c r="A81" s="680" t="s">
        <v>244</v>
      </c>
      <c r="B81" s="681"/>
      <c r="C81" s="681"/>
      <c r="D81" s="162"/>
      <c r="E81" s="163"/>
      <c r="F81" s="163"/>
      <c r="G81" s="163"/>
    </row>
    <row r="82" spans="1:7" s="91" customFormat="1">
      <c r="A82" s="164">
        <v>50</v>
      </c>
      <c r="B82" s="165"/>
      <c r="C82" s="165" t="s">
        <v>245</v>
      </c>
      <c r="D82" s="95">
        <v>105178.81994</v>
      </c>
      <c r="E82" s="124">
        <v>89471</v>
      </c>
      <c r="F82" s="124">
        <v>79813.2</v>
      </c>
      <c r="G82" s="124">
        <v>110959</v>
      </c>
    </row>
    <row r="83" spans="1:7" s="91" customFormat="1">
      <c r="A83" s="164">
        <v>51</v>
      </c>
      <c r="B83" s="165"/>
      <c r="C83" s="165" t="s">
        <v>246</v>
      </c>
      <c r="D83" s="95">
        <v>0</v>
      </c>
      <c r="E83" s="124">
        <v>0</v>
      </c>
      <c r="F83" s="124">
        <v>0</v>
      </c>
      <c r="G83" s="124">
        <v>0</v>
      </c>
    </row>
    <row r="84" spans="1:7" s="91" customFormat="1">
      <c r="A84" s="164">
        <v>52</v>
      </c>
      <c r="B84" s="165"/>
      <c r="C84" s="165" t="s">
        <v>247</v>
      </c>
      <c r="D84" s="95">
        <v>0</v>
      </c>
      <c r="E84" s="124">
        <v>0</v>
      </c>
      <c r="F84" s="124">
        <v>0</v>
      </c>
      <c r="G84" s="124">
        <v>0</v>
      </c>
    </row>
    <row r="85" spans="1:7" s="91" customFormat="1">
      <c r="A85" s="166">
        <v>54</v>
      </c>
      <c r="B85" s="167"/>
      <c r="C85" s="167" t="s">
        <v>248</v>
      </c>
      <c r="D85" s="100">
        <v>2856.5</v>
      </c>
      <c r="E85" s="124">
        <v>3600.0000000000005</v>
      </c>
      <c r="F85" s="124">
        <v>4898.2</v>
      </c>
      <c r="G85" s="124">
        <v>3900</v>
      </c>
    </row>
    <row r="86" spans="1:7" s="91" customFormat="1">
      <c r="A86" s="166">
        <v>55</v>
      </c>
      <c r="B86" s="167"/>
      <c r="C86" s="167" t="s">
        <v>249</v>
      </c>
      <c r="D86" s="100">
        <v>0</v>
      </c>
      <c r="E86" s="124">
        <v>0</v>
      </c>
      <c r="F86" s="124">
        <v>0</v>
      </c>
      <c r="G86" s="124">
        <v>0</v>
      </c>
    </row>
    <row r="87" spans="1:7" s="91" customFormat="1">
      <c r="A87" s="166">
        <v>56</v>
      </c>
      <c r="B87" s="167"/>
      <c r="C87" s="167" t="s">
        <v>250</v>
      </c>
      <c r="D87" s="100">
        <v>4029.4364000000005</v>
      </c>
      <c r="E87" s="124">
        <v>5898.3</v>
      </c>
      <c r="F87" s="124">
        <v>2889.1</v>
      </c>
      <c r="G87" s="124">
        <v>11436.2</v>
      </c>
    </row>
    <row r="88" spans="1:7" s="91" customFormat="1">
      <c r="A88" s="164">
        <v>57</v>
      </c>
      <c r="B88" s="165"/>
      <c r="C88" s="165" t="s">
        <v>251</v>
      </c>
      <c r="D88" s="95">
        <v>2792.2265499999999</v>
      </c>
      <c r="E88" s="124">
        <v>3352.9999999999995</v>
      </c>
      <c r="F88" s="124">
        <v>2726.1</v>
      </c>
      <c r="G88" s="124">
        <v>1912</v>
      </c>
    </row>
    <row r="89" spans="1:7" s="91" customFormat="1">
      <c r="A89" s="164">
        <v>580</v>
      </c>
      <c r="B89" s="165"/>
      <c r="C89" s="165" t="s">
        <v>252</v>
      </c>
      <c r="D89" s="95">
        <v>0</v>
      </c>
      <c r="E89" s="124">
        <v>0</v>
      </c>
      <c r="F89" s="124">
        <v>0</v>
      </c>
      <c r="G89" s="124">
        <v>0</v>
      </c>
    </row>
    <row r="90" spans="1:7" s="91" customFormat="1">
      <c r="A90" s="164">
        <v>582</v>
      </c>
      <c r="B90" s="165"/>
      <c r="C90" s="165" t="s">
        <v>253</v>
      </c>
      <c r="D90" s="95">
        <v>0</v>
      </c>
      <c r="E90" s="124">
        <v>0</v>
      </c>
      <c r="F90" s="124">
        <v>0</v>
      </c>
      <c r="G90" s="124">
        <v>0</v>
      </c>
    </row>
    <row r="91" spans="1:7" s="91" customFormat="1">
      <c r="A91" s="164">
        <v>584</v>
      </c>
      <c r="B91" s="165"/>
      <c r="C91" s="165" t="s">
        <v>254</v>
      </c>
      <c r="D91" s="95">
        <v>0</v>
      </c>
      <c r="E91" s="124">
        <v>0</v>
      </c>
      <c r="F91" s="124">
        <v>0</v>
      </c>
      <c r="G91" s="124">
        <v>0</v>
      </c>
    </row>
    <row r="92" spans="1:7" s="91" customFormat="1">
      <c r="A92" s="164">
        <v>585</v>
      </c>
      <c r="B92" s="165"/>
      <c r="C92" s="165" t="s">
        <v>255</v>
      </c>
      <c r="D92" s="95">
        <v>0</v>
      </c>
      <c r="E92" s="124">
        <v>0</v>
      </c>
      <c r="F92" s="124">
        <v>0</v>
      </c>
      <c r="G92" s="124">
        <v>0</v>
      </c>
    </row>
    <row r="93" spans="1:7" s="91" customFormat="1">
      <c r="A93" s="164">
        <v>586</v>
      </c>
      <c r="B93" s="165"/>
      <c r="C93" s="165" t="s">
        <v>256</v>
      </c>
      <c r="D93" s="95">
        <v>0</v>
      </c>
      <c r="E93" s="124">
        <v>0</v>
      </c>
      <c r="F93" s="124">
        <v>0</v>
      </c>
      <c r="G93" s="124">
        <v>0</v>
      </c>
    </row>
    <row r="94" spans="1:7" s="91" customFormat="1">
      <c r="A94" s="168">
        <v>589</v>
      </c>
      <c r="B94" s="169"/>
      <c r="C94" s="169" t="s">
        <v>257</v>
      </c>
      <c r="D94" s="119">
        <v>0</v>
      </c>
      <c r="E94" s="133">
        <v>0</v>
      </c>
      <c r="F94" s="133">
        <v>0</v>
      </c>
      <c r="G94" s="133">
        <v>0</v>
      </c>
    </row>
    <row r="95" spans="1:7">
      <c r="A95" s="170">
        <v>5</v>
      </c>
      <c r="B95" s="171"/>
      <c r="C95" s="171" t="s">
        <v>258</v>
      </c>
      <c r="D95" s="172">
        <f t="shared" ref="D95:G95" si="9">SUM(D82:D94)</f>
        <v>114856.98289000001</v>
      </c>
      <c r="E95" s="172">
        <f t="shared" si="9"/>
        <v>102322.3</v>
      </c>
      <c r="F95" s="172">
        <f t="shared" si="9"/>
        <v>90326.6</v>
      </c>
      <c r="G95" s="172">
        <f t="shared" si="9"/>
        <v>128207.2</v>
      </c>
    </row>
    <row r="96" spans="1:7" s="91" customFormat="1">
      <c r="A96" s="164">
        <v>60</v>
      </c>
      <c r="B96" s="165"/>
      <c r="C96" s="165" t="s">
        <v>259</v>
      </c>
      <c r="D96" s="95">
        <v>30.912909999999997</v>
      </c>
      <c r="E96" s="124">
        <v>5</v>
      </c>
      <c r="F96" s="124">
        <v>34.5</v>
      </c>
      <c r="G96" s="124">
        <v>5</v>
      </c>
    </row>
    <row r="97" spans="1:7" s="91" customFormat="1">
      <c r="A97" s="164">
        <v>61</v>
      </c>
      <c r="B97" s="165"/>
      <c r="C97" s="165" t="s">
        <v>260</v>
      </c>
      <c r="D97" s="95">
        <v>22.89</v>
      </c>
      <c r="E97" s="124">
        <v>0</v>
      </c>
      <c r="F97" s="124">
        <v>132</v>
      </c>
      <c r="G97" s="124">
        <v>0</v>
      </c>
    </row>
    <row r="98" spans="1:7" s="91" customFormat="1">
      <c r="A98" s="164">
        <v>62</v>
      </c>
      <c r="B98" s="165"/>
      <c r="C98" s="165" t="s">
        <v>261</v>
      </c>
      <c r="D98" s="95">
        <v>0</v>
      </c>
      <c r="E98" s="124">
        <v>0</v>
      </c>
      <c r="F98" s="124">
        <v>0</v>
      </c>
      <c r="G98" s="124">
        <v>0</v>
      </c>
    </row>
    <row r="99" spans="1:7" s="91" customFormat="1">
      <c r="A99" s="164">
        <v>63</v>
      </c>
      <c r="B99" s="165"/>
      <c r="C99" s="165" t="s">
        <v>262</v>
      </c>
      <c r="D99" s="95">
        <v>15372.03515</v>
      </c>
      <c r="E99" s="124">
        <v>6682.6350000000002</v>
      </c>
      <c r="F99" s="124">
        <v>6357.6</v>
      </c>
      <c r="G99" s="124">
        <v>7194</v>
      </c>
    </row>
    <row r="100" spans="1:7" s="91" customFormat="1">
      <c r="A100" s="164">
        <v>64</v>
      </c>
      <c r="B100" s="165"/>
      <c r="C100" s="165" t="s">
        <v>263</v>
      </c>
      <c r="D100" s="100">
        <v>3209.5166099999997</v>
      </c>
      <c r="E100" s="124">
        <v>3018</v>
      </c>
      <c r="F100" s="124">
        <v>3262.6</v>
      </c>
      <c r="G100" s="124">
        <v>8978</v>
      </c>
    </row>
    <row r="101" spans="1:7" s="91" customFormat="1">
      <c r="A101" s="164">
        <v>65</v>
      </c>
      <c r="B101" s="165"/>
      <c r="C101" s="165" t="s">
        <v>264</v>
      </c>
      <c r="D101" s="95">
        <v>0</v>
      </c>
      <c r="E101" s="124">
        <v>0</v>
      </c>
      <c r="F101" s="124">
        <v>0</v>
      </c>
      <c r="G101" s="124">
        <v>0</v>
      </c>
    </row>
    <row r="102" spans="1:7" s="91" customFormat="1">
      <c r="A102" s="164">
        <v>66</v>
      </c>
      <c r="B102" s="165"/>
      <c r="C102" s="165" t="s">
        <v>265</v>
      </c>
      <c r="D102" s="100">
        <v>21.141749999999998</v>
      </c>
      <c r="E102" s="124">
        <v>0</v>
      </c>
      <c r="F102" s="124">
        <v>0</v>
      </c>
      <c r="G102" s="124">
        <v>0</v>
      </c>
    </row>
    <row r="103" spans="1:7" s="91" customFormat="1">
      <c r="A103" s="164">
        <v>67</v>
      </c>
      <c r="B103" s="165"/>
      <c r="C103" s="165" t="s">
        <v>251</v>
      </c>
      <c r="D103" s="95">
        <v>2792.2265499999999</v>
      </c>
      <c r="E103" s="96">
        <v>3352.9999999999995</v>
      </c>
      <c r="F103" s="96">
        <v>2726.1</v>
      </c>
      <c r="G103" s="96">
        <v>1912</v>
      </c>
    </row>
    <row r="104" spans="1:7" s="91" customFormat="1" ht="28">
      <c r="A104" s="173" t="s">
        <v>266</v>
      </c>
      <c r="B104" s="165"/>
      <c r="C104" s="174" t="s">
        <v>267</v>
      </c>
      <c r="D104" s="130">
        <v>0</v>
      </c>
      <c r="E104" s="96">
        <v>0</v>
      </c>
      <c r="F104" s="96">
        <v>0</v>
      </c>
      <c r="G104" s="96">
        <v>0</v>
      </c>
    </row>
    <row r="105" spans="1:7" s="91" customFormat="1" ht="42">
      <c r="A105" s="175" t="s">
        <v>268</v>
      </c>
      <c r="B105" s="169"/>
      <c r="C105" s="176" t="s">
        <v>269</v>
      </c>
      <c r="D105" s="177">
        <v>0</v>
      </c>
      <c r="E105" s="120">
        <v>0</v>
      </c>
      <c r="F105" s="120">
        <v>0</v>
      </c>
      <c r="G105" s="120">
        <v>0</v>
      </c>
    </row>
    <row r="106" spans="1:7">
      <c r="A106" s="170">
        <v>6</v>
      </c>
      <c r="B106" s="171"/>
      <c r="C106" s="171" t="s">
        <v>270</v>
      </c>
      <c r="D106" s="172">
        <f t="shared" ref="D106:G106" si="10">SUM(D96:D105)</f>
        <v>21448.722969999999</v>
      </c>
      <c r="E106" s="172">
        <f t="shared" si="10"/>
        <v>13058.635</v>
      </c>
      <c r="F106" s="172">
        <f t="shared" si="10"/>
        <v>12512.800000000001</v>
      </c>
      <c r="G106" s="172">
        <f t="shared" si="10"/>
        <v>18089</v>
      </c>
    </row>
    <row r="107" spans="1:7">
      <c r="A107" s="178" t="s">
        <v>271</v>
      </c>
      <c r="B107" s="178"/>
      <c r="C107" s="171" t="s">
        <v>1</v>
      </c>
      <c r="D107" s="172">
        <f t="shared" ref="D107:G107" si="11">(D95-D88)-(D106-D103)</f>
        <v>93408.259920000011</v>
      </c>
      <c r="E107" s="172">
        <f t="shared" si="11"/>
        <v>89263.665000000008</v>
      </c>
      <c r="F107" s="172">
        <f t="shared" si="11"/>
        <v>77813.8</v>
      </c>
      <c r="G107" s="172">
        <f t="shared" si="11"/>
        <v>110118.2</v>
      </c>
    </row>
    <row r="108" spans="1:7">
      <c r="A108" s="179" t="s">
        <v>272</v>
      </c>
      <c r="B108" s="179"/>
      <c r="C108" s="180" t="s">
        <v>273</v>
      </c>
      <c r="D108" s="280">
        <f t="shared" ref="D108:G108" si="12">D107-D85-D86+D100+D101</f>
        <v>93761.276530000017</v>
      </c>
      <c r="E108" s="280">
        <f t="shared" si="12"/>
        <v>88681.665000000008</v>
      </c>
      <c r="F108" s="280">
        <f t="shared" si="12"/>
        <v>76178.200000000012</v>
      </c>
      <c r="G108" s="280">
        <f t="shared" si="12"/>
        <v>115196.2</v>
      </c>
    </row>
    <row r="109" spans="1:7">
      <c r="C109" s="135"/>
      <c r="D109" s="161"/>
      <c r="E109" s="161"/>
      <c r="F109" s="161"/>
      <c r="G109" s="161"/>
    </row>
    <row r="110" spans="1:7">
      <c r="A110" s="181" t="s">
        <v>274</v>
      </c>
      <c r="B110" s="182"/>
      <c r="C110" s="181"/>
      <c r="D110" s="161"/>
      <c r="E110" s="161"/>
      <c r="F110" s="161"/>
      <c r="G110" s="161"/>
    </row>
    <row r="111" spans="1:7" s="91" customFormat="1">
      <c r="A111" s="183">
        <v>10</v>
      </c>
      <c r="B111" s="184"/>
      <c r="C111" s="184" t="s">
        <v>275</v>
      </c>
      <c r="D111" s="185">
        <f t="shared" ref="D111:G111" si="13">D112+D117</f>
        <v>1214743.27789</v>
      </c>
      <c r="E111" s="186">
        <f t="shared" si="13"/>
        <v>0</v>
      </c>
      <c r="F111" s="186">
        <f t="shared" si="13"/>
        <v>1126686.7</v>
      </c>
      <c r="G111" s="186">
        <f t="shared" si="13"/>
        <v>0</v>
      </c>
    </row>
    <row r="112" spans="1:7" s="91" customFormat="1">
      <c r="A112" s="187" t="s">
        <v>276</v>
      </c>
      <c r="B112" s="188"/>
      <c r="C112" s="188" t="s">
        <v>277</v>
      </c>
      <c r="D112" s="185">
        <f t="shared" ref="D112:G112" si="14">D113+D114+D115+D116</f>
        <v>842947.03463999997</v>
      </c>
      <c r="E112" s="186">
        <f t="shared" si="14"/>
        <v>0</v>
      </c>
      <c r="F112" s="186">
        <f t="shared" si="14"/>
        <v>905780.1</v>
      </c>
      <c r="G112" s="186">
        <f t="shared" si="14"/>
        <v>0</v>
      </c>
    </row>
    <row r="113" spans="1:7" s="91" customFormat="1">
      <c r="A113" s="189" t="s">
        <v>278</v>
      </c>
      <c r="B113" s="190"/>
      <c r="C113" s="190" t="s">
        <v>279</v>
      </c>
      <c r="D113" s="124">
        <f>528804.84171+92767.0682</f>
        <v>621571.90990999993</v>
      </c>
      <c r="E113" s="124"/>
      <c r="F113" s="124">
        <v>635113.9</v>
      </c>
      <c r="G113" s="124"/>
    </row>
    <row r="114" spans="1:7" s="153" customFormat="1" ht="15" customHeight="1">
      <c r="A114" s="191">
        <v>102</v>
      </c>
      <c r="B114" s="192"/>
      <c r="C114" s="192" t="s">
        <v>280</v>
      </c>
      <c r="D114" s="144">
        <v>160000</v>
      </c>
      <c r="E114" s="144"/>
      <c r="F114" s="144">
        <v>200000</v>
      </c>
      <c r="G114" s="144"/>
    </row>
    <row r="115" spans="1:7" s="91" customFormat="1">
      <c r="A115" s="189">
        <v>104</v>
      </c>
      <c r="B115" s="190"/>
      <c r="C115" s="190" t="s">
        <v>281</v>
      </c>
      <c r="D115" s="124">
        <v>60130.019070000002</v>
      </c>
      <c r="E115" s="124"/>
      <c r="F115" s="124">
        <v>69423.100000000006</v>
      </c>
      <c r="G115" s="124"/>
    </row>
    <row r="116" spans="1:7" s="91" customFormat="1">
      <c r="A116" s="189">
        <v>106</v>
      </c>
      <c r="B116" s="190"/>
      <c r="C116" s="190" t="s">
        <v>282</v>
      </c>
      <c r="D116" s="124">
        <v>1245.1056599999999</v>
      </c>
      <c r="E116" s="124"/>
      <c r="F116" s="124">
        <v>1243.0999999999999</v>
      </c>
      <c r="G116" s="124"/>
    </row>
    <row r="117" spans="1:7" s="91" customFormat="1">
      <c r="A117" s="187" t="s">
        <v>283</v>
      </c>
      <c r="B117" s="188"/>
      <c r="C117" s="188" t="s">
        <v>284</v>
      </c>
      <c r="D117" s="185">
        <f t="shared" ref="D117:G117" si="15">D118+D119+D120</f>
        <v>371796.24325</v>
      </c>
      <c r="E117" s="186">
        <f t="shared" si="15"/>
        <v>0</v>
      </c>
      <c r="F117" s="186">
        <f t="shared" si="15"/>
        <v>220906.6</v>
      </c>
      <c r="G117" s="186">
        <f t="shared" si="15"/>
        <v>0</v>
      </c>
    </row>
    <row r="118" spans="1:7" s="91" customFormat="1">
      <c r="A118" s="189">
        <v>107</v>
      </c>
      <c r="B118" s="190"/>
      <c r="C118" s="190" t="s">
        <v>285</v>
      </c>
      <c r="D118" s="124">
        <v>280585</v>
      </c>
      <c r="E118" s="124"/>
      <c r="F118" s="124">
        <v>134165</v>
      </c>
      <c r="G118" s="124"/>
    </row>
    <row r="119" spans="1:7" s="91" customFormat="1">
      <c r="A119" s="189">
        <v>108</v>
      </c>
      <c r="B119" s="190"/>
      <c r="C119" s="190" t="s">
        <v>286</v>
      </c>
      <c r="D119" s="124">
        <v>91211.24325</v>
      </c>
      <c r="E119" s="124"/>
      <c r="F119" s="124">
        <v>86741.6</v>
      </c>
      <c r="G119" s="124"/>
    </row>
    <row r="120" spans="1:7" s="195" customFormat="1" ht="14">
      <c r="A120" s="191">
        <v>109</v>
      </c>
      <c r="B120" s="193"/>
      <c r="C120" s="193" t="s">
        <v>287</v>
      </c>
      <c r="D120" s="194">
        <v>0</v>
      </c>
      <c r="E120" s="194"/>
      <c r="F120" s="194"/>
      <c r="G120" s="194"/>
    </row>
    <row r="121" spans="1:7" s="91" customFormat="1">
      <c r="A121" s="187">
        <v>14</v>
      </c>
      <c r="B121" s="188"/>
      <c r="C121" s="188" t="s">
        <v>288</v>
      </c>
      <c r="D121" s="185">
        <f t="shared" ref="D121:G121" si="16">SUM(D122:D130)</f>
        <v>460628.47168999998</v>
      </c>
      <c r="E121" s="185">
        <f t="shared" si="16"/>
        <v>0</v>
      </c>
      <c r="F121" s="185">
        <f t="shared" si="16"/>
        <v>469331.1</v>
      </c>
      <c r="G121" s="185">
        <f t="shared" si="16"/>
        <v>0</v>
      </c>
    </row>
    <row r="122" spans="1:7" s="91" customFormat="1">
      <c r="A122" s="189" t="s">
        <v>289</v>
      </c>
      <c r="B122" s="190"/>
      <c r="C122" s="190" t="s">
        <v>290</v>
      </c>
      <c r="D122" s="124">
        <v>260095</v>
      </c>
      <c r="E122" s="124"/>
      <c r="F122" s="124">
        <v>273006</v>
      </c>
      <c r="G122" s="124"/>
    </row>
    <row r="123" spans="1:7" s="91" customFormat="1">
      <c r="A123" s="189">
        <v>144</v>
      </c>
      <c r="B123" s="190"/>
      <c r="C123" s="190" t="s">
        <v>248</v>
      </c>
      <c r="D123" s="124">
        <v>41622.457690000003</v>
      </c>
      <c r="E123" s="124"/>
      <c r="F123" s="124">
        <v>43258.1</v>
      </c>
      <c r="G123" s="124"/>
    </row>
    <row r="124" spans="1:7" s="91" customFormat="1">
      <c r="A124" s="189">
        <v>145</v>
      </c>
      <c r="B124" s="190"/>
      <c r="C124" s="190" t="s">
        <v>291</v>
      </c>
      <c r="D124" s="196">
        <v>73412.013000000006</v>
      </c>
      <c r="E124" s="196"/>
      <c r="F124" s="196">
        <v>72101</v>
      </c>
      <c r="G124" s="196"/>
    </row>
    <row r="125" spans="1:7" s="91" customFormat="1">
      <c r="A125" s="189">
        <v>146</v>
      </c>
      <c r="B125" s="190"/>
      <c r="C125" s="190" t="s">
        <v>292</v>
      </c>
      <c r="D125" s="196">
        <v>85499.001000000004</v>
      </c>
      <c r="E125" s="196"/>
      <c r="F125" s="196">
        <v>80966</v>
      </c>
      <c r="G125" s="196"/>
    </row>
    <row r="126" spans="1:7" s="195" customFormat="1" ht="29.5" customHeight="1">
      <c r="A126" s="191" t="s">
        <v>293</v>
      </c>
      <c r="B126" s="193"/>
      <c r="C126" s="193" t="s">
        <v>294</v>
      </c>
      <c r="D126" s="197">
        <v>0</v>
      </c>
      <c r="E126" s="197"/>
      <c r="F126" s="197">
        <v>0</v>
      </c>
      <c r="G126" s="197"/>
    </row>
    <row r="127" spans="1:7" s="91" customFormat="1">
      <c r="A127" s="189">
        <v>1484</v>
      </c>
      <c r="B127" s="190"/>
      <c r="C127" s="190" t="s">
        <v>295</v>
      </c>
      <c r="D127" s="196">
        <v>0</v>
      </c>
      <c r="E127" s="196"/>
      <c r="F127" s="196">
        <v>0</v>
      </c>
      <c r="G127" s="196"/>
    </row>
    <row r="128" spans="1:7" s="91" customFormat="1">
      <c r="A128" s="189">
        <v>1485</v>
      </c>
      <c r="B128" s="190"/>
      <c r="C128" s="190" t="s">
        <v>296</v>
      </c>
      <c r="D128" s="196">
        <v>0</v>
      </c>
      <c r="E128" s="196"/>
      <c r="F128" s="196">
        <v>0</v>
      </c>
      <c r="G128" s="196"/>
    </row>
    <row r="129" spans="1:7" s="91" customFormat="1">
      <c r="A129" s="189">
        <v>1486</v>
      </c>
      <c r="B129" s="190"/>
      <c r="C129" s="190" t="s">
        <v>297</v>
      </c>
      <c r="D129" s="196">
        <v>0</v>
      </c>
      <c r="E129" s="196"/>
      <c r="F129" s="196">
        <v>0</v>
      </c>
      <c r="G129" s="196"/>
    </row>
    <row r="130" spans="1:7" s="91" customFormat="1">
      <c r="A130" s="198">
        <v>1489</v>
      </c>
      <c r="B130" s="199"/>
      <c r="C130" s="199" t="s">
        <v>298</v>
      </c>
      <c r="D130" s="200">
        <v>0</v>
      </c>
      <c r="E130" s="200"/>
      <c r="F130" s="200">
        <v>0</v>
      </c>
      <c r="G130" s="200"/>
    </row>
    <row r="131" spans="1:7">
      <c r="A131" s="201">
        <v>1</v>
      </c>
      <c r="B131" s="202"/>
      <c r="C131" s="201" t="s">
        <v>299</v>
      </c>
      <c r="D131" s="203">
        <f t="shared" ref="D131:G131" si="17">D111+D121</f>
        <v>1675371.7495800001</v>
      </c>
      <c r="E131" s="203">
        <f t="shared" si="17"/>
        <v>0</v>
      </c>
      <c r="F131" s="203">
        <f t="shared" si="17"/>
        <v>1596017.7999999998</v>
      </c>
      <c r="G131" s="203">
        <f t="shared" si="17"/>
        <v>0</v>
      </c>
    </row>
    <row r="132" spans="1:7">
      <c r="C132" s="135"/>
      <c r="D132" s="161"/>
      <c r="E132" s="161"/>
      <c r="F132" s="161"/>
      <c r="G132" s="161"/>
    </row>
    <row r="133" spans="1:7" s="91" customFormat="1">
      <c r="A133" s="183">
        <v>20</v>
      </c>
      <c r="B133" s="184"/>
      <c r="C133" s="184" t="s">
        <v>300</v>
      </c>
      <c r="D133" s="204">
        <f t="shared" ref="D133:G133" si="18">D134+D140</f>
        <v>664904.69736999995</v>
      </c>
      <c r="E133" s="318">
        <f t="shared" si="18"/>
        <v>0</v>
      </c>
      <c r="F133" s="318">
        <f t="shared" si="18"/>
        <v>702759.79999999993</v>
      </c>
      <c r="G133" s="318">
        <f t="shared" si="18"/>
        <v>0</v>
      </c>
    </row>
    <row r="134" spans="1:7" s="91" customFormat="1">
      <c r="A134" s="205" t="s">
        <v>301</v>
      </c>
      <c r="B134" s="188"/>
      <c r="C134" s="188" t="s">
        <v>302</v>
      </c>
      <c r="D134" s="185">
        <f t="shared" ref="D134:G134" si="19">D135+D136+D138+D139</f>
        <v>642143.24081999995</v>
      </c>
      <c r="E134" s="186">
        <f t="shared" si="19"/>
        <v>0</v>
      </c>
      <c r="F134" s="186">
        <f t="shared" si="19"/>
        <v>671596.7</v>
      </c>
      <c r="G134" s="186">
        <f t="shared" si="19"/>
        <v>0</v>
      </c>
    </row>
    <row r="135" spans="1:7" s="106" customFormat="1">
      <c r="A135" s="206">
        <v>200</v>
      </c>
      <c r="B135" s="190"/>
      <c r="C135" s="190" t="s">
        <v>303</v>
      </c>
      <c r="D135" s="124">
        <v>556021.64807999996</v>
      </c>
      <c r="E135" s="124"/>
      <c r="F135" s="124">
        <v>599337.19999999995</v>
      </c>
      <c r="G135" s="124"/>
    </row>
    <row r="136" spans="1:7" s="106" customFormat="1">
      <c r="A136" s="206">
        <v>201</v>
      </c>
      <c r="B136" s="190"/>
      <c r="C136" s="190" t="s">
        <v>304</v>
      </c>
      <c r="D136" s="124">
        <v>0</v>
      </c>
      <c r="E136" s="124"/>
      <c r="F136" s="124">
        <v>0</v>
      </c>
      <c r="G136" s="124"/>
    </row>
    <row r="137" spans="1:7" s="106" customFormat="1">
      <c r="A137" s="207" t="s">
        <v>305</v>
      </c>
      <c r="B137" s="208"/>
      <c r="C137" s="208" t="s">
        <v>306</v>
      </c>
      <c r="D137" s="132">
        <v>0</v>
      </c>
      <c r="E137" s="132"/>
      <c r="F137" s="132">
        <v>0</v>
      </c>
      <c r="G137" s="132"/>
    </row>
    <row r="138" spans="1:7" s="106" customFormat="1">
      <c r="A138" s="206">
        <v>204</v>
      </c>
      <c r="B138" s="190"/>
      <c r="C138" s="190" t="s">
        <v>307</v>
      </c>
      <c r="D138" s="196">
        <v>74700.820739999996</v>
      </c>
      <c r="E138" s="196"/>
      <c r="F138" s="196">
        <v>62697.8</v>
      </c>
      <c r="G138" s="196"/>
    </row>
    <row r="139" spans="1:7" s="106" customFormat="1">
      <c r="A139" s="206">
        <v>205</v>
      </c>
      <c r="B139" s="190"/>
      <c r="C139" s="190" t="s">
        <v>308</v>
      </c>
      <c r="D139" s="196">
        <v>11420.772000000001</v>
      </c>
      <c r="E139" s="196"/>
      <c r="F139" s="196">
        <v>9561.7000000000007</v>
      </c>
      <c r="G139" s="196"/>
    </row>
    <row r="140" spans="1:7" s="106" customFormat="1">
      <c r="A140" s="205" t="s">
        <v>309</v>
      </c>
      <c r="B140" s="188"/>
      <c r="C140" s="188" t="s">
        <v>310</v>
      </c>
      <c r="D140" s="185">
        <f t="shared" ref="D140:G140" si="20">D141+D143+D144</f>
        <v>22761.456549999999</v>
      </c>
      <c r="E140" s="186">
        <f t="shared" si="20"/>
        <v>0</v>
      </c>
      <c r="F140" s="186">
        <f t="shared" si="20"/>
        <v>31163.1</v>
      </c>
      <c r="G140" s="186">
        <f t="shared" si="20"/>
        <v>0</v>
      </c>
    </row>
    <row r="141" spans="1:7" s="106" customFormat="1">
      <c r="A141" s="206">
        <v>206</v>
      </c>
      <c r="B141" s="190"/>
      <c r="C141" s="190" t="s">
        <v>311</v>
      </c>
      <c r="D141" s="196">
        <v>21483.456549999999</v>
      </c>
      <c r="E141" s="196"/>
      <c r="F141" s="196">
        <v>21504.2</v>
      </c>
      <c r="G141" s="196"/>
    </row>
    <row r="142" spans="1:7" s="106" customFormat="1">
      <c r="A142" s="207" t="s">
        <v>312</v>
      </c>
      <c r="B142" s="208"/>
      <c r="C142" s="208" t="s">
        <v>313</v>
      </c>
      <c r="D142" s="132"/>
      <c r="E142" s="132"/>
      <c r="F142" s="132"/>
      <c r="G142" s="132"/>
    </row>
    <row r="143" spans="1:7" s="106" customFormat="1">
      <c r="A143" s="206">
        <v>208</v>
      </c>
      <c r="B143" s="190"/>
      <c r="C143" s="190" t="s">
        <v>314</v>
      </c>
      <c r="D143" s="196">
        <v>1278</v>
      </c>
      <c r="E143" s="196"/>
      <c r="F143" s="196">
        <v>1494</v>
      </c>
      <c r="G143" s="196"/>
    </row>
    <row r="144" spans="1:7" s="111" customFormat="1" ht="28">
      <c r="A144" s="191">
        <v>209</v>
      </c>
      <c r="B144" s="193"/>
      <c r="C144" s="193" t="s">
        <v>315</v>
      </c>
      <c r="D144" s="197"/>
      <c r="E144" s="197"/>
      <c r="F144" s="197">
        <v>8164.9</v>
      </c>
      <c r="G144" s="197"/>
    </row>
    <row r="145" spans="1:7" s="91" customFormat="1">
      <c r="A145" s="205">
        <v>29</v>
      </c>
      <c r="B145" s="188"/>
      <c r="C145" s="188" t="s">
        <v>316</v>
      </c>
      <c r="D145" s="196">
        <v>1010467.05221</v>
      </c>
      <c r="E145" s="196"/>
      <c r="F145" s="196">
        <v>893258</v>
      </c>
      <c r="G145" s="196"/>
    </row>
    <row r="146" spans="1:7" s="91" customFormat="1">
      <c r="A146" s="211" t="s">
        <v>317</v>
      </c>
      <c r="B146" s="212"/>
      <c r="C146" s="212" t="s">
        <v>318</v>
      </c>
      <c r="D146" s="139">
        <v>355559.54680000001</v>
      </c>
      <c r="E146" s="139"/>
      <c r="F146" s="139">
        <v>267616</v>
      </c>
      <c r="G146" s="139"/>
    </row>
    <row r="147" spans="1:7">
      <c r="A147" s="201">
        <v>2</v>
      </c>
      <c r="B147" s="202"/>
      <c r="C147" s="201" t="s">
        <v>319</v>
      </c>
      <c r="D147" s="203">
        <f t="shared" ref="D147:G147" si="21">D133+D145</f>
        <v>1675371.7495800001</v>
      </c>
      <c r="E147" s="203">
        <f t="shared" si="21"/>
        <v>0</v>
      </c>
      <c r="F147" s="203">
        <f t="shared" si="21"/>
        <v>1596017.7999999998</v>
      </c>
      <c r="G147" s="203">
        <f t="shared" si="21"/>
        <v>0</v>
      </c>
    </row>
    <row r="148" spans="1:7" ht="7.5" customHeight="1"/>
    <row r="149" spans="1:7" ht="13.5" customHeight="1">
      <c r="A149" s="213" t="s">
        <v>320</v>
      </c>
      <c r="B149" s="214"/>
      <c r="C149" s="215" t="s">
        <v>321</v>
      </c>
      <c r="D149" s="214"/>
      <c r="E149" s="214"/>
      <c r="F149" s="214"/>
      <c r="G149" s="214"/>
    </row>
    <row r="150" spans="1:7">
      <c r="A150" s="289" t="s">
        <v>322</v>
      </c>
      <c r="B150" s="290"/>
      <c r="C150" s="290" t="s">
        <v>82</v>
      </c>
      <c r="D150" s="218">
        <f t="shared" ref="D150:G150" si="22">D77+SUM(D8:D12)-D30-D31+D16-D33+D59+D63-D73+D64-D74-D54+D20-D35</f>
        <v>-55261.240019999852</v>
      </c>
      <c r="E150" s="218">
        <f t="shared" si="22"/>
        <v>-81373.567600000039</v>
      </c>
      <c r="F150" s="218">
        <f t="shared" si="22"/>
        <v>-41020.800000000003</v>
      </c>
      <c r="G150" s="218">
        <f t="shared" si="22"/>
        <v>-79918.300000000163</v>
      </c>
    </row>
    <row r="151" spans="1:7">
      <c r="A151" s="215" t="s">
        <v>323</v>
      </c>
      <c r="B151" s="214"/>
      <c r="C151" s="214" t="s">
        <v>324</v>
      </c>
      <c r="D151" s="221">
        <f t="shared" ref="D151:G151" si="23">IF(D177=0,0,D150/D177)</f>
        <v>-4.6727382725692428E-2</v>
      </c>
      <c r="E151" s="221">
        <f t="shared" si="23"/>
        <v>-6.7676690740575765E-2</v>
      </c>
      <c r="F151" s="221">
        <f t="shared" si="23"/>
        <v>-3.3401976231480467E-2</v>
      </c>
      <c r="G151" s="221">
        <f t="shared" si="23"/>
        <v>-6.6522160457993973E-2</v>
      </c>
    </row>
    <row r="152" spans="1:7" s="296" customFormat="1" ht="28">
      <c r="A152" s="229" t="s">
        <v>325</v>
      </c>
      <c r="B152" s="293"/>
      <c r="C152" s="293" t="s">
        <v>326</v>
      </c>
      <c r="D152" s="295">
        <f t="shared" ref="D152:G152" si="24">IF(D107=0,0,D150/D107)</f>
        <v>-0.59160977912797674</v>
      </c>
      <c r="E152" s="295">
        <f t="shared" si="24"/>
        <v>-0.91160908080572345</v>
      </c>
      <c r="F152" s="295">
        <f t="shared" si="24"/>
        <v>-0.52716613248549749</v>
      </c>
      <c r="G152" s="295">
        <f t="shared" si="24"/>
        <v>-0.72575014847682007</v>
      </c>
    </row>
    <row r="153" spans="1:7" s="296" customFormat="1" ht="28">
      <c r="A153" s="222" t="s">
        <v>325</v>
      </c>
      <c r="B153" s="297"/>
      <c r="C153" s="297" t="s">
        <v>327</v>
      </c>
      <c r="D153" s="241">
        <f t="shared" ref="D153:G153" si="25">IF(0=D108,0,D150/D108)</f>
        <v>-0.58938233421255071</v>
      </c>
      <c r="E153" s="241">
        <f t="shared" si="25"/>
        <v>-0.91759178856193135</v>
      </c>
      <c r="F153" s="241">
        <f t="shared" si="25"/>
        <v>-0.53848476335749595</v>
      </c>
      <c r="G153" s="241">
        <f t="shared" si="25"/>
        <v>-0.69375812743823295</v>
      </c>
    </row>
    <row r="154" spans="1:7" ht="28">
      <c r="A154" s="226" t="s">
        <v>328</v>
      </c>
      <c r="B154" s="299"/>
      <c r="C154" s="299" t="s">
        <v>329</v>
      </c>
      <c r="D154" s="234">
        <f t="shared" ref="D154:G154" si="26">D150-D107</f>
        <v>-148669.49993999986</v>
      </c>
      <c r="E154" s="234">
        <f t="shared" si="26"/>
        <v>-170637.23260000005</v>
      </c>
      <c r="F154" s="234">
        <f t="shared" si="26"/>
        <v>-118834.6</v>
      </c>
      <c r="G154" s="234">
        <f t="shared" si="26"/>
        <v>-190036.50000000017</v>
      </c>
    </row>
    <row r="155" spans="1:7" ht="28">
      <c r="A155" s="222" t="s">
        <v>330</v>
      </c>
      <c r="B155" s="297"/>
      <c r="C155" s="297" t="s">
        <v>331</v>
      </c>
      <c r="D155" s="231">
        <f t="shared" ref="D155:G155" si="27">D150-D108</f>
        <v>-149022.51654999988</v>
      </c>
      <c r="E155" s="231">
        <f t="shared" si="27"/>
        <v>-170055.23260000005</v>
      </c>
      <c r="F155" s="231">
        <f t="shared" si="27"/>
        <v>-117199.00000000001</v>
      </c>
      <c r="G155" s="231">
        <f t="shared" si="27"/>
        <v>-195114.50000000017</v>
      </c>
    </row>
    <row r="156" spans="1:7">
      <c r="A156" s="289" t="s">
        <v>332</v>
      </c>
      <c r="B156" s="290"/>
      <c r="C156" s="290" t="s">
        <v>333</v>
      </c>
      <c r="D156" s="235">
        <f t="shared" ref="D156:G156" si="28">D135+D136-D137+D141-D142</f>
        <v>577505.10462999996</v>
      </c>
      <c r="E156" s="235">
        <f t="shared" si="28"/>
        <v>0</v>
      </c>
      <c r="F156" s="235">
        <f t="shared" si="28"/>
        <v>620841.39999999991</v>
      </c>
      <c r="G156" s="235">
        <f t="shared" si="28"/>
        <v>0</v>
      </c>
    </row>
    <row r="157" spans="1:7">
      <c r="A157" s="301" t="s">
        <v>334</v>
      </c>
      <c r="B157" s="302"/>
      <c r="C157" s="302" t="s">
        <v>335</v>
      </c>
      <c r="D157" s="238">
        <f t="shared" ref="D157:G157" si="29">IF(D177=0,0,D156/D177)</f>
        <v>0.48832241260457931</v>
      </c>
      <c r="E157" s="238">
        <f t="shared" si="29"/>
        <v>0</v>
      </c>
      <c r="F157" s="238">
        <f t="shared" si="29"/>
        <v>0.50553206388756566</v>
      </c>
      <c r="G157" s="238">
        <f t="shared" si="29"/>
        <v>0</v>
      </c>
    </row>
    <row r="158" spans="1:7">
      <c r="A158" s="289" t="s">
        <v>336</v>
      </c>
      <c r="B158" s="290"/>
      <c r="C158" s="290" t="s">
        <v>337</v>
      </c>
      <c r="D158" s="235">
        <f t="shared" ref="D158:G158" si="30">D133-D142-D111</f>
        <v>-549838.58052000008</v>
      </c>
      <c r="E158" s="235">
        <f t="shared" si="30"/>
        <v>0</v>
      </c>
      <c r="F158" s="235">
        <f t="shared" si="30"/>
        <v>-423926.9</v>
      </c>
      <c r="G158" s="235">
        <f t="shared" si="30"/>
        <v>0</v>
      </c>
    </row>
    <row r="159" spans="1:7">
      <c r="A159" s="215" t="s">
        <v>338</v>
      </c>
      <c r="B159" s="214"/>
      <c r="C159" s="214" t="s">
        <v>339</v>
      </c>
      <c r="D159" s="239">
        <f t="shared" ref="D159:G159" si="31">D121-D123-D124-D142-D145</f>
        <v>-664873.05121000006</v>
      </c>
      <c r="E159" s="239">
        <f t="shared" si="31"/>
        <v>0</v>
      </c>
      <c r="F159" s="239">
        <f t="shared" si="31"/>
        <v>-539286</v>
      </c>
      <c r="G159" s="239">
        <f t="shared" si="31"/>
        <v>0</v>
      </c>
    </row>
    <row r="160" spans="1:7">
      <c r="A160" s="215" t="s">
        <v>340</v>
      </c>
      <c r="B160" s="214"/>
      <c r="C160" s="214" t="s">
        <v>341</v>
      </c>
      <c r="D160" s="240">
        <f t="shared" ref="D160:G160" si="32">IF(D175=0,"-",1000*D158/D175)</f>
        <v>-4654.9939934641634</v>
      </c>
      <c r="E160" s="240">
        <f t="shared" si="32"/>
        <v>0</v>
      </c>
      <c r="F160" s="240">
        <f t="shared" si="32"/>
        <v>-3530.1060047131709</v>
      </c>
      <c r="G160" s="240">
        <f t="shared" si="32"/>
        <v>0</v>
      </c>
    </row>
    <row r="161" spans="1:7">
      <c r="A161" s="215" t="s">
        <v>340</v>
      </c>
      <c r="B161" s="214"/>
      <c r="C161" s="214" t="s">
        <v>342</v>
      </c>
      <c r="D161" s="239">
        <f t="shared" ref="D161:G161" si="33">IF(D175=0,0,1000*(D159/D175))</f>
        <v>-5628.8884946409526</v>
      </c>
      <c r="E161" s="239">
        <f t="shared" si="33"/>
        <v>0</v>
      </c>
      <c r="F161" s="239">
        <f t="shared" si="33"/>
        <v>-4490.7193831241821</v>
      </c>
      <c r="G161" s="239">
        <f t="shared" si="33"/>
        <v>0</v>
      </c>
    </row>
    <row r="162" spans="1:7">
      <c r="A162" s="301" t="s">
        <v>343</v>
      </c>
      <c r="B162" s="302"/>
      <c r="C162" s="302" t="s">
        <v>344</v>
      </c>
      <c r="D162" s="238">
        <f t="shared" ref="D162:G162" si="34">IF((D22+D23+D65+D66)=0,0,D158/(D22+D23+D65+D66))</f>
        <v>-0.86120518498678233</v>
      </c>
      <c r="E162" s="238">
        <f t="shared" si="34"/>
        <v>0</v>
      </c>
      <c r="F162" s="238">
        <f t="shared" si="34"/>
        <v>-0.63959549472114496</v>
      </c>
      <c r="G162" s="238">
        <f t="shared" si="34"/>
        <v>0</v>
      </c>
    </row>
    <row r="163" spans="1:7">
      <c r="A163" s="215" t="s">
        <v>345</v>
      </c>
      <c r="B163" s="214"/>
      <c r="C163" s="214" t="s">
        <v>316</v>
      </c>
      <c r="D163" s="218">
        <f t="shared" ref="D163:G163" si="35">D145</f>
        <v>1010467.05221</v>
      </c>
      <c r="E163" s="218">
        <f t="shared" si="35"/>
        <v>0</v>
      </c>
      <c r="F163" s="218">
        <f t="shared" si="35"/>
        <v>893258</v>
      </c>
      <c r="G163" s="218">
        <f t="shared" si="35"/>
        <v>0</v>
      </c>
    </row>
    <row r="164" spans="1:7" ht="28">
      <c r="A164" s="222" t="s">
        <v>346</v>
      </c>
      <c r="B164" s="304"/>
      <c r="C164" s="304" t="s">
        <v>347</v>
      </c>
      <c r="D164" s="241">
        <f t="shared" ref="D164:G164" si="36">IF(D178=0,0,D146/D178)</f>
        <v>0.26906651867547138</v>
      </c>
      <c r="E164" s="241">
        <f t="shared" si="36"/>
        <v>0</v>
      </c>
      <c r="F164" s="241">
        <f t="shared" si="36"/>
        <v>0.19754187271933421</v>
      </c>
      <c r="G164" s="241">
        <f t="shared" si="36"/>
        <v>0</v>
      </c>
    </row>
    <row r="165" spans="1:7">
      <c r="A165" s="306" t="s">
        <v>348</v>
      </c>
      <c r="B165" s="307"/>
      <c r="C165" s="307" t="s">
        <v>349</v>
      </c>
      <c r="D165" s="244">
        <f t="shared" ref="D165:G165" si="37">IF(D177=0,0,D180/D177)</f>
        <v>5.4253007833096278E-2</v>
      </c>
      <c r="E165" s="244">
        <f t="shared" si="37"/>
        <v>5.9491415724135487E-2</v>
      </c>
      <c r="F165" s="244">
        <f t="shared" si="37"/>
        <v>5.2991421673404746E-2</v>
      </c>
      <c r="G165" s="244">
        <f t="shared" si="37"/>
        <v>6.6177056924436636E-2</v>
      </c>
    </row>
    <row r="166" spans="1:7">
      <c r="A166" s="215" t="s">
        <v>350</v>
      </c>
      <c r="B166" s="214"/>
      <c r="C166" s="214" t="s">
        <v>218</v>
      </c>
      <c r="D166" s="218">
        <f t="shared" ref="D166:G166" si="38">D55</f>
        <v>32552.453880000001</v>
      </c>
      <c r="E166" s="218">
        <f t="shared" si="38"/>
        <v>29956.5</v>
      </c>
      <c r="F166" s="218">
        <f t="shared" si="38"/>
        <v>32656.5</v>
      </c>
      <c r="G166" s="218">
        <f t="shared" si="38"/>
        <v>34682.899999999994</v>
      </c>
    </row>
    <row r="167" spans="1:7">
      <c r="A167" s="301" t="s">
        <v>351</v>
      </c>
      <c r="B167" s="302"/>
      <c r="C167" s="302" t="s">
        <v>352</v>
      </c>
      <c r="D167" s="238">
        <f t="shared" ref="D167:G167" si="39">IF(0=D111,0,(D44+D45+D46+D47+D48)/D111)</f>
        <v>6.3433823674945841E-3</v>
      </c>
      <c r="E167" s="238">
        <f t="shared" si="39"/>
        <v>0</v>
      </c>
      <c r="F167" s="238">
        <f t="shared" si="39"/>
        <v>4.2436819392649263E-3</v>
      </c>
      <c r="G167" s="238">
        <f t="shared" si="39"/>
        <v>0</v>
      </c>
    </row>
    <row r="168" spans="1:7">
      <c r="A168" s="215" t="s">
        <v>353</v>
      </c>
      <c r="B168" s="290"/>
      <c r="C168" s="290" t="s">
        <v>354</v>
      </c>
      <c r="D168" s="218">
        <f t="shared" ref="D168:G168" si="40">D38-D44</f>
        <v>-5110.0007900000001</v>
      </c>
      <c r="E168" s="218">
        <f t="shared" si="40"/>
        <v>-3327.3</v>
      </c>
      <c r="F168" s="218">
        <f t="shared" si="40"/>
        <v>-2724.7000000000003</v>
      </c>
      <c r="G168" s="218">
        <f t="shared" si="40"/>
        <v>-1376.3</v>
      </c>
    </row>
    <row r="169" spans="1:7">
      <c r="A169" s="301" t="s">
        <v>355</v>
      </c>
      <c r="B169" s="302"/>
      <c r="C169" s="302" t="s">
        <v>356</v>
      </c>
      <c r="D169" s="221">
        <f t="shared" ref="D169:G169" si="41">IF(D177=0,0,D168/D177)</f>
        <v>-4.320875944088547E-3</v>
      </c>
      <c r="E169" s="221">
        <f t="shared" si="41"/>
        <v>-2.767245676237472E-3</v>
      </c>
      <c r="F169" s="221">
        <f t="shared" si="41"/>
        <v>-2.2186394375027993E-3</v>
      </c>
      <c r="G169" s="221">
        <f t="shared" si="41"/>
        <v>-1.1456005625537194E-3</v>
      </c>
    </row>
    <row r="170" spans="1:7">
      <c r="A170" s="215" t="s">
        <v>357</v>
      </c>
      <c r="B170" s="214"/>
      <c r="C170" s="214" t="s">
        <v>358</v>
      </c>
      <c r="D170" s="218">
        <f t="shared" ref="D170:G170" si="42">SUM(D82:D87)+SUM(D89:D94)</f>
        <v>112064.75634000001</v>
      </c>
      <c r="E170" s="218">
        <f t="shared" si="42"/>
        <v>98969.3</v>
      </c>
      <c r="F170" s="218">
        <f t="shared" si="42"/>
        <v>87600.5</v>
      </c>
      <c r="G170" s="218">
        <f t="shared" si="42"/>
        <v>126295.2</v>
      </c>
    </row>
    <row r="171" spans="1:7">
      <c r="A171" s="215" t="s">
        <v>359</v>
      </c>
      <c r="B171" s="214"/>
      <c r="C171" s="214" t="s">
        <v>360</v>
      </c>
      <c r="D171" s="239">
        <f t="shared" ref="D171:G171" si="43">SUM(D96:D102)+SUM(D104:D105)</f>
        <v>18656.496419999999</v>
      </c>
      <c r="E171" s="239">
        <f t="shared" si="43"/>
        <v>9705.6350000000002</v>
      </c>
      <c r="F171" s="239">
        <f t="shared" si="43"/>
        <v>9786.7000000000007</v>
      </c>
      <c r="G171" s="239">
        <f t="shared" si="43"/>
        <v>16177</v>
      </c>
    </row>
    <row r="172" spans="1:7">
      <c r="A172" s="306" t="s">
        <v>361</v>
      </c>
      <c r="B172" s="307"/>
      <c r="C172" s="307" t="s">
        <v>362</v>
      </c>
      <c r="D172" s="244">
        <f t="shared" ref="D172:G172" si="44">IF(D184=0,0,D170/D184)</f>
        <v>8.298537397497302E-2</v>
      </c>
      <c r="E172" s="244">
        <f t="shared" si="44"/>
        <v>7.1575300561747005E-2</v>
      </c>
      <c r="F172" s="244">
        <f t="shared" si="44"/>
        <v>6.4590168503432951E-2</v>
      </c>
      <c r="G172" s="244">
        <f t="shared" si="44"/>
        <v>8.9724288733930804E-2</v>
      </c>
    </row>
    <row r="173" spans="1:7">
      <c r="A173" s="389"/>
    </row>
    <row r="174" spans="1:7">
      <c r="A174" s="310" t="s">
        <v>363</v>
      </c>
      <c r="B174" s="248"/>
      <c r="C174" s="247"/>
      <c r="D174" s="161"/>
      <c r="E174" s="161"/>
      <c r="F174" s="161"/>
      <c r="G174" s="161"/>
    </row>
    <row r="175" spans="1:7" s="91" customFormat="1">
      <c r="A175" s="312" t="s">
        <v>364</v>
      </c>
      <c r="B175" s="248"/>
      <c r="C175" s="248" t="s">
        <v>387</v>
      </c>
      <c r="D175" s="245">
        <v>118118</v>
      </c>
      <c r="E175" s="245">
        <v>118118</v>
      </c>
      <c r="F175" s="245">
        <v>120089</v>
      </c>
      <c r="G175" s="245">
        <v>120089</v>
      </c>
    </row>
    <row r="176" spans="1:7">
      <c r="A176" s="310" t="s">
        <v>366</v>
      </c>
      <c r="B176" s="248"/>
      <c r="C176" s="248"/>
      <c r="D176" s="248"/>
      <c r="E176" s="248"/>
      <c r="F176" s="248"/>
      <c r="G176" s="248"/>
    </row>
    <row r="177" spans="1:7">
      <c r="A177" s="312" t="s">
        <v>367</v>
      </c>
      <c r="B177" s="248"/>
      <c r="C177" s="248" t="s">
        <v>368</v>
      </c>
      <c r="D177" s="249">
        <f t="shared" ref="D177:G177" si="45">SUM(D22:D32)+SUM(D44:D53)+SUM(D65:D72)+D75</f>
        <v>1182630.75731</v>
      </c>
      <c r="E177" s="249">
        <f t="shared" si="45"/>
        <v>1202386.9180000001</v>
      </c>
      <c r="F177" s="249">
        <f t="shared" si="45"/>
        <v>1228095</v>
      </c>
      <c r="G177" s="249">
        <f t="shared" si="45"/>
        <v>1201378.6000000001</v>
      </c>
    </row>
    <row r="178" spans="1:7">
      <c r="A178" s="312" t="s">
        <v>369</v>
      </c>
      <c r="B178" s="248"/>
      <c r="C178" s="248" t="s">
        <v>370</v>
      </c>
      <c r="D178" s="249">
        <f t="shared" ref="D178:G178" si="46">D78-D17-D20-D59-D63-D64</f>
        <v>1321455.9304899999</v>
      </c>
      <c r="E178" s="249">
        <f t="shared" si="46"/>
        <v>1370241.9436000001</v>
      </c>
      <c r="F178" s="249">
        <f t="shared" si="46"/>
        <v>1354730.5</v>
      </c>
      <c r="G178" s="249">
        <f t="shared" si="46"/>
        <v>1371722.36</v>
      </c>
    </row>
    <row r="179" spans="1:7">
      <c r="A179" s="312"/>
      <c r="B179" s="248"/>
      <c r="C179" s="248" t="s">
        <v>371</v>
      </c>
      <c r="D179" s="249">
        <f t="shared" ref="D179:G179" si="47">D178+D170</f>
        <v>1433520.68683</v>
      </c>
      <c r="E179" s="249">
        <f t="shared" si="47"/>
        <v>1469211.2436000002</v>
      </c>
      <c r="F179" s="249">
        <f t="shared" si="47"/>
        <v>1442331</v>
      </c>
      <c r="G179" s="249">
        <f t="shared" si="47"/>
        <v>1498017.56</v>
      </c>
    </row>
    <row r="180" spans="1:7">
      <c r="A180" s="312" t="s">
        <v>372</v>
      </c>
      <c r="B180" s="248"/>
      <c r="C180" s="248" t="s">
        <v>373</v>
      </c>
      <c r="D180" s="249">
        <f t="shared" ref="D180:G180" si="48">D38-D44+D8+D9+D10+D16-D33</f>
        <v>64161.275740000012</v>
      </c>
      <c r="E180" s="249">
        <f t="shared" si="48"/>
        <v>71531.700000000012</v>
      </c>
      <c r="F180" s="249">
        <f t="shared" si="48"/>
        <v>65078.5</v>
      </c>
      <c r="G180" s="249">
        <f t="shared" si="48"/>
        <v>79503.7</v>
      </c>
    </row>
    <row r="181" spans="1:7" ht="27.5" customHeight="1">
      <c r="A181" s="315" t="s">
        <v>374</v>
      </c>
      <c r="B181" s="251"/>
      <c r="C181" s="251" t="s">
        <v>375</v>
      </c>
      <c r="D181" s="252">
        <f t="shared" ref="D181:G181" si="49">D22+D23+D24+D25+D26+D29+SUM(D44:D47)+SUM(D49:D53)-D54+D32-D33+SUM(D65:D70)+D72</f>
        <v>1176584.1823100001</v>
      </c>
      <c r="E181" s="252">
        <f t="shared" si="49"/>
        <v>1195883.9180000001</v>
      </c>
      <c r="F181" s="252">
        <f t="shared" si="49"/>
        <v>1222580.8999999999</v>
      </c>
      <c r="G181" s="252">
        <f t="shared" si="49"/>
        <v>1193909.6000000001</v>
      </c>
    </row>
    <row r="182" spans="1:7">
      <c r="A182" s="317" t="s">
        <v>376</v>
      </c>
      <c r="B182" s="251"/>
      <c r="C182" s="251" t="s">
        <v>377</v>
      </c>
      <c r="D182" s="252">
        <f t="shared" ref="D182:G182" si="50">D181+D171</f>
        <v>1195240.67873</v>
      </c>
      <c r="E182" s="252">
        <f t="shared" si="50"/>
        <v>1205589.5530000001</v>
      </c>
      <c r="F182" s="252">
        <f t="shared" si="50"/>
        <v>1232367.5999999999</v>
      </c>
      <c r="G182" s="252">
        <f t="shared" si="50"/>
        <v>1210086.6000000001</v>
      </c>
    </row>
    <row r="183" spans="1:7">
      <c r="A183" s="317" t="s">
        <v>378</v>
      </c>
      <c r="B183" s="251"/>
      <c r="C183" s="251" t="s">
        <v>379</v>
      </c>
      <c r="D183" s="252">
        <f t="shared" ref="D183" si="51">D4+D5-D7+D38+D39+D40+D41+D43+D13-D16+D57+D58+D60+D62</f>
        <v>1238350.9973300002</v>
      </c>
      <c r="E183" s="252">
        <f>E4+E5-E7+E38+E39+E40+E41+E43+E13-E16+E57+E58+E60+E62</f>
        <v>1283760.4856</v>
      </c>
      <c r="F183" s="252">
        <f>F4+F5-F7+F38+F39+F40+F41+F43+F13-F16+F57+F58+F60+F62</f>
        <v>1268650.8</v>
      </c>
      <c r="G183" s="252">
        <f>G4+G5-G7+G38+G39+G40+G41+G43+G13-G16+G57+G58+G60+G62</f>
        <v>1281296.8999999999</v>
      </c>
    </row>
    <row r="184" spans="1:7">
      <c r="A184" s="317" t="s">
        <v>380</v>
      </c>
      <c r="B184" s="251"/>
      <c r="C184" s="251" t="s">
        <v>381</v>
      </c>
      <c r="D184" s="252">
        <f t="shared" ref="D184:G184" si="52">D183+D170</f>
        <v>1350415.7536700002</v>
      </c>
      <c r="E184" s="252">
        <f t="shared" si="52"/>
        <v>1382729.7856000001</v>
      </c>
      <c r="F184" s="252">
        <f t="shared" si="52"/>
        <v>1356251.3</v>
      </c>
      <c r="G184" s="252">
        <f t="shared" si="52"/>
        <v>1407592.0999999999</v>
      </c>
    </row>
    <row r="185" spans="1:7">
      <c r="A185" s="317"/>
      <c r="B185" s="251"/>
      <c r="C185" s="251" t="s">
        <v>382</v>
      </c>
      <c r="D185" s="252">
        <f t="shared" ref="D185:G186" si="53">D181-D183</f>
        <v>-61766.815020000096</v>
      </c>
      <c r="E185" s="252">
        <f t="shared" si="53"/>
        <v>-87876.567599999951</v>
      </c>
      <c r="F185" s="252">
        <f t="shared" si="53"/>
        <v>-46069.90000000014</v>
      </c>
      <c r="G185" s="252">
        <f t="shared" si="53"/>
        <v>-87387.299999999814</v>
      </c>
    </row>
    <row r="186" spans="1:7">
      <c r="A186" s="317"/>
      <c r="B186" s="251"/>
      <c r="C186" s="251" t="s">
        <v>383</v>
      </c>
      <c r="D186" s="252">
        <f t="shared" si="53"/>
        <v>-155175.0749400002</v>
      </c>
      <c r="E186" s="252">
        <f t="shared" si="53"/>
        <v>-177140.23259999999</v>
      </c>
      <c r="F186" s="252">
        <f t="shared" si="53"/>
        <v>-123883.70000000019</v>
      </c>
      <c r="G186" s="252">
        <f t="shared" si="53"/>
        <v>-197505.49999999977</v>
      </c>
    </row>
  </sheetData>
  <sheetProtection selectLockedCells="1" sort="0" autoFilter="0" pivotTables="0"/>
  <autoFilter ref="A1:F1" xr:uid="{00000000-0009-0000-0000-000009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16383" man="1"/>
    <brk id="14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M186"/>
  <sheetViews>
    <sheetView tabSelected="1" zoomScaleNormal="100" workbookViewId="0">
      <pane xSplit="3" ySplit="2" topLeftCell="D3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11.5" defaultRowHeight="13"/>
  <cols>
    <col min="1" max="1" width="16.33203125" style="389" customWidth="1"/>
    <col min="2" max="2" width="3.6640625" style="84" customWidth="1"/>
    <col min="3" max="3" width="44.6640625" style="84" customWidth="1"/>
    <col min="4" max="5" width="11.5" style="84"/>
    <col min="6" max="7" width="11.5" style="84" customWidth="1"/>
    <col min="8" max="16384" width="11.5" style="84"/>
  </cols>
  <sheetData>
    <row r="1" spans="1:39" s="77" customFormat="1" ht="18" customHeight="1">
      <c r="A1" s="399" t="s">
        <v>94</v>
      </c>
      <c r="B1" s="73" t="s">
        <v>396</v>
      </c>
      <c r="C1" s="73" t="s">
        <v>95</v>
      </c>
      <c r="D1" s="74" t="s">
        <v>96</v>
      </c>
      <c r="E1" s="75" t="s">
        <v>9</v>
      </c>
      <c r="F1" s="74" t="s">
        <v>96</v>
      </c>
      <c r="G1" s="75" t="s">
        <v>9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</row>
    <row r="2" spans="1:39" s="83" customFormat="1" ht="15" customHeight="1">
      <c r="A2" s="400"/>
      <c r="B2" s="79"/>
      <c r="C2" s="80" t="s">
        <v>397</v>
      </c>
      <c r="D2" s="81">
        <v>2014</v>
      </c>
      <c r="E2" s="82">
        <v>2015</v>
      </c>
      <c r="F2" s="81">
        <v>2015</v>
      </c>
      <c r="G2" s="82">
        <v>2016</v>
      </c>
    </row>
    <row r="3" spans="1:39" ht="15" customHeight="1">
      <c r="A3" s="678" t="s">
        <v>398</v>
      </c>
      <c r="B3" s="679"/>
      <c r="C3" s="679"/>
      <c r="E3" s="85"/>
      <c r="F3" s="85"/>
      <c r="G3" s="85"/>
    </row>
    <row r="4" spans="1:39" s="91" customFormat="1" ht="12.75" customHeight="1">
      <c r="A4" s="401">
        <v>30</v>
      </c>
      <c r="B4" s="87"/>
      <c r="C4" s="88" t="s">
        <v>98</v>
      </c>
      <c r="D4" s="89">
        <v>1181998</v>
      </c>
      <c r="E4" s="90">
        <v>1185564</v>
      </c>
      <c r="F4" s="90">
        <v>1192362</v>
      </c>
      <c r="G4" s="90">
        <v>1207488</v>
      </c>
    </row>
    <row r="5" spans="1:39" s="91" customFormat="1" ht="12.75" customHeight="1">
      <c r="A5" s="101">
        <v>31</v>
      </c>
      <c r="B5" s="93"/>
      <c r="C5" s="94" t="s">
        <v>399</v>
      </c>
      <c r="D5" s="95">
        <v>328246</v>
      </c>
      <c r="E5" s="96">
        <v>339790</v>
      </c>
      <c r="F5" s="96">
        <v>334541</v>
      </c>
      <c r="G5" s="96">
        <v>344875</v>
      </c>
    </row>
    <row r="6" spans="1:39" s="91" customFormat="1" ht="12.75" customHeight="1">
      <c r="A6" s="97" t="s">
        <v>100</v>
      </c>
      <c r="B6" s="98"/>
      <c r="C6" s="99" t="s">
        <v>400</v>
      </c>
      <c r="D6" s="100">
        <v>44792</v>
      </c>
      <c r="E6" s="96">
        <v>45707</v>
      </c>
      <c r="F6" s="96">
        <v>47268</v>
      </c>
      <c r="G6" s="96">
        <v>44816</v>
      </c>
    </row>
    <row r="7" spans="1:39" s="91" customFormat="1" ht="12.75" customHeight="1">
      <c r="A7" s="97" t="s">
        <v>401</v>
      </c>
      <c r="B7" s="98"/>
      <c r="C7" s="99" t="s">
        <v>402</v>
      </c>
      <c r="D7" s="100">
        <v>3238</v>
      </c>
      <c r="E7" s="96">
        <v>0</v>
      </c>
      <c r="F7" s="96">
        <v>4677</v>
      </c>
      <c r="G7" s="96">
        <v>1000</v>
      </c>
    </row>
    <row r="8" spans="1:39" s="91" customFormat="1" ht="12.75" customHeight="1">
      <c r="A8" s="101">
        <v>330</v>
      </c>
      <c r="B8" s="93"/>
      <c r="C8" s="94" t="s">
        <v>403</v>
      </c>
      <c r="D8" s="95">
        <v>72642</v>
      </c>
      <c r="E8" s="96">
        <v>79994</v>
      </c>
      <c r="F8" s="96">
        <v>78478</v>
      </c>
      <c r="G8" s="96">
        <v>75087</v>
      </c>
    </row>
    <row r="9" spans="1:39" s="91" customFormat="1" ht="12.75" customHeight="1">
      <c r="A9" s="101">
        <v>332</v>
      </c>
      <c r="B9" s="93"/>
      <c r="C9" s="94" t="s">
        <v>404</v>
      </c>
      <c r="D9" s="95">
        <v>0</v>
      </c>
      <c r="E9" s="96">
        <v>0</v>
      </c>
      <c r="F9" s="96">
        <v>0</v>
      </c>
      <c r="G9" s="96">
        <v>0</v>
      </c>
    </row>
    <row r="10" spans="1:39" s="91" customFormat="1" ht="12.75" customHeight="1">
      <c r="A10" s="101">
        <v>339</v>
      </c>
      <c r="B10" s="93"/>
      <c r="C10" s="94" t="s">
        <v>405</v>
      </c>
      <c r="D10" s="95">
        <v>0</v>
      </c>
      <c r="E10" s="96">
        <v>0</v>
      </c>
      <c r="F10" s="96">
        <v>0</v>
      </c>
      <c r="G10" s="96">
        <v>0</v>
      </c>
    </row>
    <row r="11" spans="1:39" s="195" customFormat="1" ht="28.25" customHeight="1">
      <c r="A11" s="102">
        <v>350</v>
      </c>
      <c r="B11" s="402"/>
      <c r="C11" s="104" t="s">
        <v>406</v>
      </c>
      <c r="D11" s="131">
        <v>0</v>
      </c>
      <c r="E11" s="96">
        <v>0</v>
      </c>
      <c r="F11" s="96">
        <v>102000</v>
      </c>
      <c r="G11" s="96">
        <v>0</v>
      </c>
    </row>
    <row r="12" spans="1:39" s="106" customFormat="1" ht="28">
      <c r="A12" s="102">
        <v>351</v>
      </c>
      <c r="B12" s="103"/>
      <c r="C12" s="104" t="s">
        <v>407</v>
      </c>
      <c r="D12" s="105">
        <v>41876</v>
      </c>
      <c r="E12" s="96">
        <v>38489</v>
      </c>
      <c r="F12" s="96">
        <v>36910</v>
      </c>
      <c r="G12" s="96">
        <v>38516</v>
      </c>
    </row>
    <row r="13" spans="1:39" s="91" customFormat="1" ht="12.75" customHeight="1">
      <c r="A13" s="101">
        <v>36</v>
      </c>
      <c r="B13" s="93"/>
      <c r="C13" s="94" t="s">
        <v>408</v>
      </c>
      <c r="D13" s="100">
        <v>1367621</v>
      </c>
      <c r="E13" s="96">
        <v>1358100</v>
      </c>
      <c r="F13" s="96">
        <v>1377980</v>
      </c>
      <c r="G13" s="96">
        <v>1406585</v>
      </c>
    </row>
    <row r="14" spans="1:39" s="91" customFormat="1" ht="12.75" customHeight="1">
      <c r="A14" s="107" t="s">
        <v>409</v>
      </c>
      <c r="B14" s="93"/>
      <c r="C14" s="108" t="s">
        <v>410</v>
      </c>
      <c r="D14" s="100">
        <v>250424</v>
      </c>
      <c r="E14" s="96">
        <v>251879</v>
      </c>
      <c r="F14" s="96">
        <v>251018</v>
      </c>
      <c r="G14" s="96">
        <v>250778</v>
      </c>
    </row>
    <row r="15" spans="1:39" s="91" customFormat="1" ht="12.75" customHeight="1">
      <c r="A15" s="107" t="s">
        <v>411</v>
      </c>
      <c r="B15" s="93"/>
      <c r="C15" s="108" t="s">
        <v>412</v>
      </c>
      <c r="D15" s="100">
        <v>38752</v>
      </c>
      <c r="E15" s="96">
        <v>37391</v>
      </c>
      <c r="F15" s="96">
        <v>34672</v>
      </c>
      <c r="G15" s="96">
        <v>38017</v>
      </c>
    </row>
    <row r="16" spans="1:39" s="111" customFormat="1" ht="26.25" customHeight="1">
      <c r="A16" s="107" t="s">
        <v>413</v>
      </c>
      <c r="B16" s="109"/>
      <c r="C16" s="108" t="s">
        <v>414</v>
      </c>
      <c r="D16" s="110">
        <v>43681</v>
      </c>
      <c r="E16" s="96">
        <v>41816</v>
      </c>
      <c r="F16" s="96">
        <v>31483</v>
      </c>
      <c r="G16" s="96">
        <v>34825</v>
      </c>
    </row>
    <row r="17" spans="1:7" s="113" customFormat="1">
      <c r="A17" s="101">
        <v>37</v>
      </c>
      <c r="B17" s="93"/>
      <c r="C17" s="94" t="s">
        <v>415</v>
      </c>
      <c r="D17" s="112">
        <v>222085</v>
      </c>
      <c r="E17" s="96">
        <v>222979</v>
      </c>
      <c r="F17" s="96">
        <v>219085</v>
      </c>
      <c r="G17" s="96">
        <v>219893</v>
      </c>
    </row>
    <row r="18" spans="1:7" s="113" customFormat="1">
      <c r="A18" s="114" t="s">
        <v>416</v>
      </c>
      <c r="B18" s="98"/>
      <c r="C18" s="99" t="s">
        <v>417</v>
      </c>
      <c r="D18" s="115">
        <v>50</v>
      </c>
      <c r="E18" s="96">
        <v>4</v>
      </c>
      <c r="F18" s="96">
        <v>150</v>
      </c>
      <c r="G18" s="96">
        <v>0</v>
      </c>
    </row>
    <row r="19" spans="1:7" s="113" customFormat="1">
      <c r="A19" s="114" t="s">
        <v>418</v>
      </c>
      <c r="B19" s="98"/>
      <c r="C19" s="99" t="s">
        <v>419</v>
      </c>
      <c r="D19" s="115">
        <v>0</v>
      </c>
      <c r="E19" s="96">
        <v>0</v>
      </c>
      <c r="F19" s="96">
        <v>0</v>
      </c>
      <c r="G19" s="96">
        <v>0</v>
      </c>
    </row>
    <row r="20" spans="1:7" s="91" customFormat="1" ht="12.75" customHeight="1">
      <c r="A20" s="403">
        <v>39</v>
      </c>
      <c r="B20" s="117"/>
      <c r="C20" s="118" t="s">
        <v>120</v>
      </c>
      <c r="D20" s="119">
        <v>28667</v>
      </c>
      <c r="E20" s="120">
        <v>29322</v>
      </c>
      <c r="F20" s="120">
        <v>29430</v>
      </c>
      <c r="G20" s="120">
        <v>28488</v>
      </c>
    </row>
    <row r="21" spans="1:7" ht="12.75" customHeight="1">
      <c r="A21" s="404"/>
      <c r="B21" s="121"/>
      <c r="C21" s="122" t="s">
        <v>420</v>
      </c>
      <c r="D21" s="123">
        <f t="shared" ref="D21:G21" si="0">D4+D5+SUM(D8:D13)+D17</f>
        <v>3214468</v>
      </c>
      <c r="E21" s="123">
        <f t="shared" si="0"/>
        <v>3224916</v>
      </c>
      <c r="F21" s="123">
        <f t="shared" si="0"/>
        <v>3341356</v>
      </c>
      <c r="G21" s="123">
        <f t="shared" si="0"/>
        <v>3292444</v>
      </c>
    </row>
    <row r="22" spans="1:7" s="195" customFormat="1" ht="12.75" customHeight="1">
      <c r="A22" s="102" t="s">
        <v>183</v>
      </c>
      <c r="B22" s="402"/>
      <c r="C22" s="104" t="s">
        <v>421</v>
      </c>
      <c r="D22" s="131">
        <v>962968</v>
      </c>
      <c r="E22" s="194">
        <v>980200</v>
      </c>
      <c r="F22" s="194">
        <v>1055445</v>
      </c>
      <c r="G22" s="194">
        <v>1012000</v>
      </c>
    </row>
    <row r="23" spans="1:7" s="195" customFormat="1" ht="14">
      <c r="A23" s="102" t="s">
        <v>185</v>
      </c>
      <c r="B23" s="402"/>
      <c r="C23" s="104" t="s">
        <v>422</v>
      </c>
      <c r="D23" s="131">
        <v>205996</v>
      </c>
      <c r="E23" s="194">
        <v>214471</v>
      </c>
      <c r="F23" s="194">
        <v>210794</v>
      </c>
      <c r="G23" s="194">
        <v>208204</v>
      </c>
    </row>
    <row r="24" spans="1:7" s="125" customFormat="1" ht="12.75" customHeight="1">
      <c r="A24" s="101">
        <v>41</v>
      </c>
      <c r="B24" s="93"/>
      <c r="C24" s="94" t="s">
        <v>423</v>
      </c>
      <c r="D24" s="95">
        <v>37334</v>
      </c>
      <c r="E24" s="124">
        <v>35671</v>
      </c>
      <c r="F24" s="124">
        <v>86197</v>
      </c>
      <c r="G24" s="124">
        <v>36018</v>
      </c>
    </row>
    <row r="25" spans="1:7" s="91" customFormat="1" ht="12.75" customHeight="1">
      <c r="A25" s="344">
        <v>42</v>
      </c>
      <c r="B25" s="127"/>
      <c r="C25" s="94" t="s">
        <v>424</v>
      </c>
      <c r="D25" s="95">
        <v>235470</v>
      </c>
      <c r="E25" s="124">
        <v>221774</v>
      </c>
      <c r="F25" s="124">
        <v>234779</v>
      </c>
      <c r="G25" s="124">
        <v>226849</v>
      </c>
    </row>
    <row r="26" spans="1:7" s="129" customFormat="1" ht="12.75" customHeight="1">
      <c r="A26" s="102">
        <v>430</v>
      </c>
      <c r="B26" s="93"/>
      <c r="C26" s="94" t="s">
        <v>425</v>
      </c>
      <c r="D26" s="112">
        <v>2012</v>
      </c>
      <c r="E26" s="128">
        <v>2017</v>
      </c>
      <c r="F26" s="128">
        <v>2013</v>
      </c>
      <c r="G26" s="128">
        <v>2035</v>
      </c>
    </row>
    <row r="27" spans="1:7" s="129" customFormat="1" ht="12.75" customHeight="1">
      <c r="A27" s="102">
        <v>431</v>
      </c>
      <c r="B27" s="93"/>
      <c r="C27" s="94" t="s">
        <v>426</v>
      </c>
      <c r="D27" s="112">
        <v>14</v>
      </c>
      <c r="E27" s="128">
        <v>60</v>
      </c>
      <c r="F27" s="128">
        <v>7</v>
      </c>
      <c r="G27" s="128">
        <v>40</v>
      </c>
    </row>
    <row r="28" spans="1:7" s="129" customFormat="1" ht="12.75" customHeight="1">
      <c r="A28" s="102">
        <v>432</v>
      </c>
      <c r="B28" s="93"/>
      <c r="C28" s="94" t="s">
        <v>427</v>
      </c>
      <c r="D28" s="112">
        <v>0</v>
      </c>
      <c r="E28" s="128">
        <v>0</v>
      </c>
      <c r="F28" s="128">
        <v>0</v>
      </c>
      <c r="G28" s="128">
        <v>0</v>
      </c>
    </row>
    <row r="29" spans="1:7" s="129" customFormat="1" ht="12.75" customHeight="1">
      <c r="A29" s="102">
        <v>439</v>
      </c>
      <c r="B29" s="93"/>
      <c r="C29" s="94" t="s">
        <v>428</v>
      </c>
      <c r="D29" s="112">
        <v>0</v>
      </c>
      <c r="E29" s="128">
        <v>0</v>
      </c>
      <c r="F29" s="128">
        <v>0</v>
      </c>
      <c r="G29" s="128">
        <v>0</v>
      </c>
    </row>
    <row r="30" spans="1:7" s="91" customFormat="1" ht="28">
      <c r="A30" s="102">
        <v>450</v>
      </c>
      <c r="B30" s="103"/>
      <c r="C30" s="104" t="s">
        <v>429</v>
      </c>
      <c r="D30" s="130">
        <v>0</v>
      </c>
      <c r="E30" s="96">
        <v>0</v>
      </c>
      <c r="F30" s="96">
        <v>11511</v>
      </c>
      <c r="G30" s="96">
        <v>0</v>
      </c>
    </row>
    <row r="31" spans="1:7" s="106" customFormat="1" ht="28">
      <c r="A31" s="102">
        <v>451</v>
      </c>
      <c r="B31" s="103"/>
      <c r="C31" s="104" t="s">
        <v>430</v>
      </c>
      <c r="D31" s="131">
        <v>64186</v>
      </c>
      <c r="E31" s="124">
        <v>83296</v>
      </c>
      <c r="F31" s="124">
        <v>33437</v>
      </c>
      <c r="G31" s="124">
        <v>82874</v>
      </c>
    </row>
    <row r="32" spans="1:7" s="91" customFormat="1" ht="12.75" customHeight="1">
      <c r="A32" s="101">
        <v>46</v>
      </c>
      <c r="B32" s="93"/>
      <c r="C32" s="94" t="s">
        <v>431</v>
      </c>
      <c r="D32" s="95">
        <v>1402577</v>
      </c>
      <c r="E32" s="124">
        <v>1378977</v>
      </c>
      <c r="F32" s="124">
        <v>1424708</v>
      </c>
      <c r="G32" s="124">
        <v>1411406</v>
      </c>
    </row>
    <row r="33" spans="1:7" s="111" customFormat="1" ht="14">
      <c r="A33" s="107" t="s">
        <v>432</v>
      </c>
      <c r="B33" s="405"/>
      <c r="C33" s="108" t="s">
        <v>433</v>
      </c>
      <c r="D33" s="286">
        <v>0</v>
      </c>
      <c r="E33" s="406">
        <v>0</v>
      </c>
      <c r="F33" s="406">
        <v>0</v>
      </c>
      <c r="G33" s="406">
        <v>0</v>
      </c>
    </row>
    <row r="34" spans="1:7" s="91" customFormat="1" ht="15" customHeight="1">
      <c r="A34" s="101">
        <v>47</v>
      </c>
      <c r="B34" s="93"/>
      <c r="C34" s="94" t="s">
        <v>415</v>
      </c>
      <c r="D34" s="95">
        <v>223567</v>
      </c>
      <c r="E34" s="124">
        <v>222979</v>
      </c>
      <c r="F34" s="124">
        <v>220550</v>
      </c>
      <c r="G34" s="124">
        <v>219893</v>
      </c>
    </row>
    <row r="35" spans="1:7" s="91" customFormat="1" ht="15" customHeight="1">
      <c r="A35" s="403">
        <v>49</v>
      </c>
      <c r="B35" s="117"/>
      <c r="C35" s="118" t="s">
        <v>120</v>
      </c>
      <c r="D35" s="119">
        <v>28667</v>
      </c>
      <c r="E35" s="133">
        <v>29322</v>
      </c>
      <c r="F35" s="133">
        <v>29430</v>
      </c>
      <c r="G35" s="133">
        <v>28488</v>
      </c>
    </row>
    <row r="36" spans="1:7" ht="13.5" customHeight="1">
      <c r="A36" s="404"/>
      <c r="B36" s="134"/>
      <c r="C36" s="122" t="s">
        <v>434</v>
      </c>
      <c r="D36" s="123">
        <f t="shared" ref="D36:G36" si="1">D22+D23+D24+D25+D26+D27+D28+D29+D30+D31+D32+D34</f>
        <v>3134124</v>
      </c>
      <c r="E36" s="123">
        <f t="shared" si="1"/>
        <v>3139445</v>
      </c>
      <c r="F36" s="123">
        <f t="shared" si="1"/>
        <v>3279441</v>
      </c>
      <c r="G36" s="123">
        <f t="shared" si="1"/>
        <v>3199319</v>
      </c>
    </row>
    <row r="37" spans="1:7" s="135" customFormat="1" ht="15" customHeight="1">
      <c r="A37" s="404"/>
      <c r="B37" s="134"/>
      <c r="C37" s="122" t="s">
        <v>435</v>
      </c>
      <c r="D37" s="123">
        <f t="shared" ref="D37:G37" si="2">D36-D21</f>
        <v>-80344</v>
      </c>
      <c r="E37" s="123">
        <f t="shared" si="2"/>
        <v>-85471</v>
      </c>
      <c r="F37" s="123">
        <f t="shared" si="2"/>
        <v>-61915</v>
      </c>
      <c r="G37" s="123">
        <f t="shared" si="2"/>
        <v>-93125</v>
      </c>
    </row>
    <row r="38" spans="1:7" s="106" customFormat="1" ht="15" customHeight="1">
      <c r="A38" s="101">
        <v>340</v>
      </c>
      <c r="B38" s="93"/>
      <c r="C38" s="94" t="s">
        <v>436</v>
      </c>
      <c r="D38" s="95">
        <v>4172</v>
      </c>
      <c r="E38" s="124">
        <v>4128</v>
      </c>
      <c r="F38" s="124">
        <v>3900</v>
      </c>
      <c r="G38" s="124">
        <v>3798</v>
      </c>
    </row>
    <row r="39" spans="1:7" s="106" customFormat="1" ht="15" customHeight="1">
      <c r="A39" s="101">
        <v>341</v>
      </c>
      <c r="B39" s="93"/>
      <c r="C39" s="94" t="s">
        <v>437</v>
      </c>
      <c r="D39" s="95">
        <v>0</v>
      </c>
      <c r="E39" s="124">
        <v>0</v>
      </c>
      <c r="F39" s="124">
        <v>0</v>
      </c>
      <c r="G39" s="124">
        <v>0</v>
      </c>
    </row>
    <row r="40" spans="1:7" s="111" customFormat="1" ht="15" customHeight="1">
      <c r="A40" s="102">
        <v>342</v>
      </c>
      <c r="B40" s="402"/>
      <c r="C40" s="104" t="s">
        <v>438</v>
      </c>
      <c r="D40" s="131">
        <v>0</v>
      </c>
      <c r="E40" s="194">
        <v>0</v>
      </c>
      <c r="F40" s="194">
        <v>0</v>
      </c>
      <c r="G40" s="194">
        <v>0</v>
      </c>
    </row>
    <row r="41" spans="1:7" s="106" customFormat="1" ht="15" customHeight="1">
      <c r="A41" s="101">
        <v>343</v>
      </c>
      <c r="B41" s="93"/>
      <c r="C41" s="94" t="s">
        <v>439</v>
      </c>
      <c r="D41" s="95">
        <v>0</v>
      </c>
      <c r="E41" s="124">
        <v>0</v>
      </c>
      <c r="F41" s="124">
        <v>0</v>
      </c>
      <c r="G41" s="124">
        <v>0</v>
      </c>
    </row>
    <row r="42" spans="1:7" s="111" customFormat="1" ht="15" customHeight="1">
      <c r="A42" s="102">
        <v>344</v>
      </c>
      <c r="B42" s="402"/>
      <c r="C42" s="104" t="s">
        <v>440</v>
      </c>
      <c r="D42" s="131">
        <v>0</v>
      </c>
      <c r="E42" s="194">
        <v>0</v>
      </c>
      <c r="F42" s="194">
        <v>0</v>
      </c>
      <c r="G42" s="194">
        <v>0</v>
      </c>
    </row>
    <row r="43" spans="1:7" s="106" customFormat="1" ht="15" customHeight="1">
      <c r="A43" s="101">
        <v>349</v>
      </c>
      <c r="B43" s="93"/>
      <c r="C43" s="94" t="s">
        <v>441</v>
      </c>
      <c r="D43" s="95">
        <v>27</v>
      </c>
      <c r="E43" s="124">
        <v>16</v>
      </c>
      <c r="F43" s="124">
        <v>19</v>
      </c>
      <c r="G43" s="124">
        <v>16</v>
      </c>
    </row>
    <row r="44" spans="1:7" s="91" customFormat="1" ht="15" customHeight="1">
      <c r="A44" s="101">
        <v>440</v>
      </c>
      <c r="B44" s="93"/>
      <c r="C44" s="94" t="s">
        <v>442</v>
      </c>
      <c r="D44" s="95">
        <v>12648</v>
      </c>
      <c r="E44" s="124">
        <v>15375</v>
      </c>
      <c r="F44" s="124">
        <v>11556</v>
      </c>
      <c r="G44" s="124">
        <v>9186</v>
      </c>
    </row>
    <row r="45" spans="1:7" s="195" customFormat="1" ht="15" customHeight="1">
      <c r="A45" s="102">
        <v>441</v>
      </c>
      <c r="B45" s="402"/>
      <c r="C45" s="104" t="s">
        <v>443</v>
      </c>
      <c r="D45" s="131">
        <v>778</v>
      </c>
      <c r="E45" s="407">
        <v>0</v>
      </c>
      <c r="F45" s="407">
        <v>663</v>
      </c>
      <c r="G45" s="407">
        <v>0</v>
      </c>
    </row>
    <row r="46" spans="1:7" s="195" customFormat="1" ht="15" customHeight="1">
      <c r="A46" s="102">
        <v>442</v>
      </c>
      <c r="B46" s="402"/>
      <c r="C46" s="104" t="s">
        <v>444</v>
      </c>
      <c r="D46" s="131">
        <v>577</v>
      </c>
      <c r="E46" s="194">
        <v>475</v>
      </c>
      <c r="F46" s="194">
        <v>277</v>
      </c>
      <c r="G46" s="194">
        <v>238</v>
      </c>
    </row>
    <row r="47" spans="1:7" s="91" customFormat="1" ht="15" customHeight="1">
      <c r="A47" s="101">
        <v>443</v>
      </c>
      <c r="B47" s="93"/>
      <c r="C47" s="94" t="s">
        <v>445</v>
      </c>
      <c r="D47" s="95">
        <v>0</v>
      </c>
      <c r="E47" s="269">
        <v>0</v>
      </c>
      <c r="F47" s="269">
        <v>0</v>
      </c>
      <c r="G47" s="269">
        <v>0</v>
      </c>
    </row>
    <row r="48" spans="1:7" s="91" customFormat="1" ht="15" customHeight="1">
      <c r="A48" s="101">
        <v>444</v>
      </c>
      <c r="B48" s="93"/>
      <c r="C48" s="94" t="s">
        <v>446</v>
      </c>
      <c r="D48" s="95">
        <v>0</v>
      </c>
      <c r="E48" s="269">
        <v>0</v>
      </c>
      <c r="F48" s="269">
        <v>0</v>
      </c>
      <c r="G48" s="269">
        <v>0</v>
      </c>
    </row>
    <row r="49" spans="1:7" s="91" customFormat="1" ht="15" customHeight="1">
      <c r="A49" s="101">
        <v>445</v>
      </c>
      <c r="B49" s="93"/>
      <c r="C49" s="94" t="s">
        <v>447</v>
      </c>
      <c r="D49" s="95">
        <v>2679</v>
      </c>
      <c r="E49" s="124">
        <v>2891</v>
      </c>
      <c r="F49" s="124">
        <v>2678</v>
      </c>
      <c r="G49" s="124">
        <v>2604</v>
      </c>
    </row>
    <row r="50" spans="1:7" s="91" customFormat="1" ht="15" customHeight="1">
      <c r="A50" s="101">
        <v>446</v>
      </c>
      <c r="B50" s="93"/>
      <c r="C50" s="94" t="s">
        <v>448</v>
      </c>
      <c r="D50" s="95">
        <v>60740</v>
      </c>
      <c r="E50" s="124">
        <v>63715</v>
      </c>
      <c r="F50" s="124">
        <v>66865</v>
      </c>
      <c r="G50" s="124">
        <v>65400</v>
      </c>
    </row>
    <row r="51" spans="1:7" s="195" customFormat="1" ht="15" customHeight="1">
      <c r="A51" s="102">
        <v>447</v>
      </c>
      <c r="B51" s="402"/>
      <c r="C51" s="104" t="s">
        <v>449</v>
      </c>
      <c r="D51" s="131">
        <v>7369</v>
      </c>
      <c r="E51" s="194">
        <v>7333</v>
      </c>
      <c r="F51" s="194">
        <v>7803</v>
      </c>
      <c r="G51" s="194">
        <v>10018</v>
      </c>
    </row>
    <row r="52" spans="1:7" s="91" customFormat="1" ht="15" customHeight="1">
      <c r="A52" s="101">
        <v>448</v>
      </c>
      <c r="B52" s="93"/>
      <c r="C52" s="94" t="s">
        <v>450</v>
      </c>
      <c r="D52" s="95">
        <v>0</v>
      </c>
      <c r="E52" s="269">
        <v>0</v>
      </c>
      <c r="F52" s="269">
        <v>0</v>
      </c>
      <c r="G52" s="269">
        <v>0</v>
      </c>
    </row>
    <row r="53" spans="1:7" s="195" customFormat="1" ht="15" customHeight="1">
      <c r="A53" s="102">
        <v>449</v>
      </c>
      <c r="B53" s="402"/>
      <c r="C53" s="104" t="s">
        <v>451</v>
      </c>
      <c r="D53" s="131">
        <v>0</v>
      </c>
      <c r="E53" s="407">
        <v>0</v>
      </c>
      <c r="F53" s="407">
        <v>0</v>
      </c>
      <c r="G53" s="407">
        <v>0</v>
      </c>
    </row>
    <row r="54" spans="1:7" s="106" customFormat="1" ht="13.5" customHeight="1">
      <c r="A54" s="136" t="s">
        <v>452</v>
      </c>
      <c r="B54" s="137"/>
      <c r="C54" s="137" t="s">
        <v>453</v>
      </c>
      <c r="D54" s="138">
        <v>0</v>
      </c>
      <c r="E54" s="408">
        <v>0</v>
      </c>
      <c r="F54" s="408">
        <v>0</v>
      </c>
      <c r="G54" s="408">
        <v>0</v>
      </c>
    </row>
    <row r="55" spans="1:7" ht="15" customHeight="1">
      <c r="A55" s="409"/>
      <c r="B55" s="134"/>
      <c r="C55" s="122" t="s">
        <v>454</v>
      </c>
      <c r="D55" s="123">
        <f t="shared" ref="D55:G55" si="3">SUM(D44:D53)-SUM(D38:D43)</f>
        <v>80592</v>
      </c>
      <c r="E55" s="123">
        <f t="shared" si="3"/>
        <v>85645</v>
      </c>
      <c r="F55" s="123">
        <f t="shared" si="3"/>
        <v>85923</v>
      </c>
      <c r="G55" s="123">
        <f t="shared" si="3"/>
        <v>83632</v>
      </c>
    </row>
    <row r="56" spans="1:7" ht="14.25" customHeight="1">
      <c r="A56" s="409"/>
      <c r="B56" s="134"/>
      <c r="C56" s="122" t="s">
        <v>455</v>
      </c>
      <c r="D56" s="123">
        <f t="shared" ref="D56:G56" si="4">D55+D37</f>
        <v>248</v>
      </c>
      <c r="E56" s="123">
        <f t="shared" si="4"/>
        <v>174</v>
      </c>
      <c r="F56" s="123">
        <f t="shared" si="4"/>
        <v>24008</v>
      </c>
      <c r="G56" s="123">
        <f t="shared" si="4"/>
        <v>-9493</v>
      </c>
    </row>
    <row r="57" spans="1:7" s="91" customFormat="1" ht="15.75" customHeight="1">
      <c r="A57" s="410">
        <v>380</v>
      </c>
      <c r="B57" s="141"/>
      <c r="C57" s="142" t="s">
        <v>456</v>
      </c>
      <c r="D57" s="340">
        <v>0</v>
      </c>
      <c r="E57" s="266"/>
      <c r="F57" s="266"/>
      <c r="G57" s="266"/>
    </row>
    <row r="58" spans="1:7" s="91" customFormat="1" ht="15.75" customHeight="1">
      <c r="A58" s="410">
        <v>381</v>
      </c>
      <c r="B58" s="141"/>
      <c r="C58" s="142" t="s">
        <v>457</v>
      </c>
      <c r="D58" s="340">
        <v>0</v>
      </c>
      <c r="E58" s="266"/>
      <c r="F58" s="266"/>
      <c r="G58" s="266"/>
    </row>
    <row r="59" spans="1:7" s="106" customFormat="1" ht="27.5" customHeight="1">
      <c r="A59" s="102">
        <v>383</v>
      </c>
      <c r="B59" s="103"/>
      <c r="C59" s="104" t="s">
        <v>458</v>
      </c>
      <c r="D59" s="143">
        <v>0</v>
      </c>
      <c r="E59" s="144"/>
      <c r="F59" s="144"/>
      <c r="G59" s="144"/>
    </row>
    <row r="60" spans="1:7" s="106" customFormat="1" ht="14">
      <c r="A60" s="102">
        <v>3840</v>
      </c>
      <c r="B60" s="103"/>
      <c r="C60" s="104" t="s">
        <v>459</v>
      </c>
      <c r="D60" s="145">
        <v>0</v>
      </c>
      <c r="E60" s="146"/>
      <c r="F60" s="146"/>
      <c r="G60" s="146"/>
    </row>
    <row r="61" spans="1:7" s="106" customFormat="1" ht="26.5" customHeight="1">
      <c r="A61" s="102">
        <v>3841</v>
      </c>
      <c r="B61" s="103"/>
      <c r="C61" s="104" t="s">
        <v>460</v>
      </c>
      <c r="D61" s="145">
        <v>0</v>
      </c>
      <c r="E61" s="146"/>
      <c r="F61" s="146"/>
      <c r="G61" s="146"/>
    </row>
    <row r="62" spans="1:7" s="106" customFormat="1" ht="14">
      <c r="A62" s="147">
        <v>386</v>
      </c>
      <c r="B62" s="148"/>
      <c r="C62" s="149" t="s">
        <v>461</v>
      </c>
      <c r="D62" s="145">
        <v>0</v>
      </c>
      <c r="E62" s="146"/>
      <c r="F62" s="146"/>
      <c r="G62" s="146"/>
    </row>
    <row r="63" spans="1:7" s="106" customFormat="1" ht="27.5" customHeight="1">
      <c r="A63" s="102">
        <v>387</v>
      </c>
      <c r="B63" s="103"/>
      <c r="C63" s="104" t="s">
        <v>462</v>
      </c>
      <c r="D63" s="145">
        <v>0</v>
      </c>
      <c r="E63" s="146"/>
      <c r="F63" s="146"/>
      <c r="G63" s="146"/>
    </row>
    <row r="64" spans="1:7" s="106" customFormat="1">
      <c r="A64" s="101">
        <v>389</v>
      </c>
      <c r="B64" s="150"/>
      <c r="C64" s="94" t="s">
        <v>119</v>
      </c>
      <c r="D64" s="95">
        <v>0</v>
      </c>
      <c r="E64" s="124"/>
      <c r="F64" s="124"/>
      <c r="G64" s="124"/>
    </row>
    <row r="65" spans="1:7" s="195" customFormat="1" ht="14">
      <c r="A65" s="102" t="s">
        <v>227</v>
      </c>
      <c r="B65" s="402"/>
      <c r="C65" s="104" t="s">
        <v>463</v>
      </c>
      <c r="D65" s="131">
        <v>0</v>
      </c>
      <c r="E65" s="194"/>
      <c r="F65" s="194"/>
      <c r="G65" s="194"/>
    </row>
    <row r="66" spans="1:7" s="153" customFormat="1" ht="28">
      <c r="A66" s="102" t="s">
        <v>229</v>
      </c>
      <c r="B66" s="152"/>
      <c r="C66" s="104" t="s">
        <v>464</v>
      </c>
      <c r="D66" s="143">
        <v>0</v>
      </c>
      <c r="E66" s="144"/>
      <c r="F66" s="144"/>
      <c r="G66" s="144"/>
    </row>
    <row r="67" spans="1:7" s="91" customFormat="1">
      <c r="A67" s="102">
        <v>481</v>
      </c>
      <c r="B67" s="93"/>
      <c r="C67" s="94" t="s">
        <v>465</v>
      </c>
      <c r="D67" s="95">
        <v>0</v>
      </c>
      <c r="E67" s="124"/>
      <c r="F67" s="124"/>
      <c r="G67" s="124"/>
    </row>
    <row r="68" spans="1:7" s="91" customFormat="1">
      <c r="A68" s="102">
        <v>482</v>
      </c>
      <c r="B68" s="93"/>
      <c r="C68" s="94" t="s">
        <v>466</v>
      </c>
      <c r="D68" s="95">
        <v>0</v>
      </c>
      <c r="E68" s="124"/>
      <c r="F68" s="124"/>
      <c r="G68" s="124"/>
    </row>
    <row r="69" spans="1:7" s="91" customFormat="1">
      <c r="A69" s="102">
        <v>483</v>
      </c>
      <c r="B69" s="93"/>
      <c r="C69" s="94" t="s">
        <v>467</v>
      </c>
      <c r="D69" s="95">
        <v>0</v>
      </c>
      <c r="E69" s="124"/>
      <c r="F69" s="124"/>
      <c r="G69" s="124"/>
    </row>
    <row r="70" spans="1:7" s="91" customFormat="1">
      <c r="A70" s="102">
        <v>484</v>
      </c>
      <c r="B70" s="93"/>
      <c r="C70" s="94" t="s">
        <v>468</v>
      </c>
      <c r="D70" s="95">
        <v>0</v>
      </c>
      <c r="E70" s="124"/>
      <c r="F70" s="124"/>
      <c r="G70" s="124"/>
    </row>
    <row r="71" spans="1:7" s="195" customFormat="1" ht="28">
      <c r="A71" s="102">
        <v>485</v>
      </c>
      <c r="B71" s="402"/>
      <c r="C71" s="104" t="s">
        <v>469</v>
      </c>
      <c r="D71" s="131">
        <v>0</v>
      </c>
      <c r="E71" s="194"/>
      <c r="F71" s="194"/>
      <c r="G71" s="194"/>
    </row>
    <row r="72" spans="1:7" s="91" customFormat="1">
      <c r="A72" s="102">
        <v>486</v>
      </c>
      <c r="B72" s="93"/>
      <c r="C72" s="94" t="s">
        <v>470</v>
      </c>
      <c r="D72" s="95">
        <v>0</v>
      </c>
      <c r="E72" s="124"/>
      <c r="F72" s="124"/>
      <c r="G72" s="124"/>
    </row>
    <row r="73" spans="1:7" s="111" customFormat="1" ht="28">
      <c r="A73" s="102">
        <v>487</v>
      </c>
      <c r="B73" s="405"/>
      <c r="C73" s="104" t="s">
        <v>471</v>
      </c>
      <c r="D73" s="131">
        <v>0</v>
      </c>
      <c r="E73" s="194"/>
      <c r="F73" s="194"/>
      <c r="G73" s="194"/>
    </row>
    <row r="74" spans="1:7" s="106" customFormat="1" ht="15" customHeight="1">
      <c r="A74" s="102">
        <v>489</v>
      </c>
      <c r="B74" s="155"/>
      <c r="C74" s="118" t="s">
        <v>149</v>
      </c>
      <c r="D74" s="131">
        <v>0</v>
      </c>
      <c r="E74" s="194"/>
      <c r="F74" s="194"/>
      <c r="G74" s="194">
        <v>10000</v>
      </c>
    </row>
    <row r="75" spans="1:7" s="106" customFormat="1">
      <c r="A75" s="156" t="s">
        <v>472</v>
      </c>
      <c r="B75" s="155"/>
      <c r="C75" s="137" t="s">
        <v>473</v>
      </c>
      <c r="D75" s="95">
        <v>0</v>
      </c>
      <c r="E75" s="124"/>
      <c r="F75" s="124"/>
      <c r="G75" s="124"/>
    </row>
    <row r="76" spans="1:7">
      <c r="A76" s="404"/>
      <c r="B76" s="121"/>
      <c r="C76" s="122" t="s">
        <v>474</v>
      </c>
      <c r="D76" s="123">
        <f t="shared" ref="D76:G76" si="5">SUM(D65:D74)-SUM(D57:D64)</f>
        <v>0</v>
      </c>
      <c r="E76" s="123">
        <f t="shared" si="5"/>
        <v>0</v>
      </c>
      <c r="F76" s="123">
        <f t="shared" si="5"/>
        <v>0</v>
      </c>
      <c r="G76" s="123">
        <f t="shared" si="5"/>
        <v>10000</v>
      </c>
    </row>
    <row r="77" spans="1:7">
      <c r="A77" s="411"/>
      <c r="B77" s="157"/>
      <c r="C77" s="122" t="s">
        <v>475</v>
      </c>
      <c r="D77" s="123">
        <f t="shared" ref="D77:G77" si="6">D56+D76</f>
        <v>248</v>
      </c>
      <c r="E77" s="123">
        <f t="shared" si="6"/>
        <v>174</v>
      </c>
      <c r="F77" s="123">
        <f t="shared" si="6"/>
        <v>24008</v>
      </c>
      <c r="G77" s="123">
        <f t="shared" si="6"/>
        <v>507</v>
      </c>
    </row>
    <row r="78" spans="1:7">
      <c r="A78" s="412">
        <v>3</v>
      </c>
      <c r="B78" s="158"/>
      <c r="C78" s="159" t="s">
        <v>242</v>
      </c>
      <c r="D78" s="160">
        <f t="shared" ref="D78:G78" si="7">D20+D21+SUM(D38:D43)+SUM(D57:D64)</f>
        <v>3247334</v>
      </c>
      <c r="E78" s="160">
        <f t="shared" si="7"/>
        <v>3258382</v>
      </c>
      <c r="F78" s="160">
        <f t="shared" si="7"/>
        <v>3374705</v>
      </c>
      <c r="G78" s="160">
        <f t="shared" si="7"/>
        <v>3324746</v>
      </c>
    </row>
    <row r="79" spans="1:7">
      <c r="A79" s="412">
        <v>4</v>
      </c>
      <c r="B79" s="158"/>
      <c r="C79" s="159" t="s">
        <v>243</v>
      </c>
      <c r="D79" s="160">
        <f t="shared" ref="D79:G79" si="8">D35+D36+SUM(D44:D53)+SUM(D65:D74)</f>
        <v>3247582</v>
      </c>
      <c r="E79" s="160">
        <f t="shared" si="8"/>
        <v>3258556</v>
      </c>
      <c r="F79" s="160">
        <f t="shared" si="8"/>
        <v>3398713</v>
      </c>
      <c r="G79" s="160">
        <f t="shared" si="8"/>
        <v>3325253</v>
      </c>
    </row>
    <row r="80" spans="1:7">
      <c r="C80" s="135"/>
      <c r="D80" s="161"/>
      <c r="E80" s="161"/>
      <c r="F80" s="161"/>
      <c r="G80" s="161"/>
    </row>
    <row r="81" spans="1:7">
      <c r="A81" s="680" t="s">
        <v>476</v>
      </c>
      <c r="B81" s="681"/>
      <c r="C81" s="681"/>
      <c r="D81" s="162"/>
      <c r="E81" s="162"/>
      <c r="F81" s="162"/>
      <c r="G81" s="162"/>
    </row>
    <row r="82" spans="1:7" s="91" customFormat="1">
      <c r="A82" s="164">
        <v>50</v>
      </c>
      <c r="B82" s="165"/>
      <c r="C82" s="165" t="s">
        <v>477</v>
      </c>
      <c r="D82" s="95">
        <v>108854</v>
      </c>
      <c r="E82" s="124">
        <v>112678</v>
      </c>
      <c r="F82" s="124">
        <v>109369</v>
      </c>
      <c r="G82" s="124">
        <v>101442</v>
      </c>
    </row>
    <row r="83" spans="1:7" s="91" customFormat="1">
      <c r="A83" s="164">
        <v>51</v>
      </c>
      <c r="B83" s="165"/>
      <c r="C83" s="165" t="s">
        <v>478</v>
      </c>
      <c r="D83" s="95">
        <v>0</v>
      </c>
      <c r="E83" s="124">
        <v>0</v>
      </c>
      <c r="F83" s="124">
        <v>0</v>
      </c>
      <c r="G83" s="124">
        <v>0</v>
      </c>
    </row>
    <row r="84" spans="1:7" s="91" customFormat="1">
      <c r="A84" s="164">
        <v>52</v>
      </c>
      <c r="B84" s="165"/>
      <c r="C84" s="165" t="s">
        <v>479</v>
      </c>
      <c r="D84" s="95">
        <v>0</v>
      </c>
      <c r="E84" s="124">
        <v>0</v>
      </c>
      <c r="F84" s="124">
        <v>0</v>
      </c>
      <c r="G84" s="124">
        <v>0</v>
      </c>
    </row>
    <row r="85" spans="1:7" s="91" customFormat="1">
      <c r="A85" s="166">
        <v>54</v>
      </c>
      <c r="B85" s="167"/>
      <c r="C85" s="167" t="s">
        <v>480</v>
      </c>
      <c r="D85" s="100">
        <v>8184</v>
      </c>
      <c r="E85" s="124">
        <v>12399</v>
      </c>
      <c r="F85" s="124">
        <v>8858</v>
      </c>
      <c r="G85" s="124">
        <v>11412</v>
      </c>
    </row>
    <row r="86" spans="1:7" s="91" customFormat="1">
      <c r="A86" s="166">
        <v>55</v>
      </c>
      <c r="B86" s="167"/>
      <c r="C86" s="167" t="s">
        <v>481</v>
      </c>
      <c r="D86" s="100">
        <v>0</v>
      </c>
      <c r="E86" s="124">
        <v>1000</v>
      </c>
      <c r="F86" s="124">
        <v>325</v>
      </c>
      <c r="G86" s="124">
        <v>1500</v>
      </c>
    </row>
    <row r="87" spans="1:7" s="91" customFormat="1">
      <c r="A87" s="166">
        <v>56</v>
      </c>
      <c r="B87" s="167"/>
      <c r="C87" s="167" t="s">
        <v>482</v>
      </c>
      <c r="D87" s="100">
        <v>43809</v>
      </c>
      <c r="E87" s="124">
        <v>39169</v>
      </c>
      <c r="F87" s="124">
        <v>32914</v>
      </c>
      <c r="G87" s="124">
        <v>31988</v>
      </c>
    </row>
    <row r="88" spans="1:7" s="91" customFormat="1">
      <c r="A88" s="164">
        <v>57</v>
      </c>
      <c r="B88" s="165"/>
      <c r="C88" s="165" t="s">
        <v>483</v>
      </c>
      <c r="D88" s="95">
        <v>14433</v>
      </c>
      <c r="E88" s="124">
        <v>20222</v>
      </c>
      <c r="F88" s="124">
        <v>12884</v>
      </c>
      <c r="G88" s="124">
        <v>18195</v>
      </c>
    </row>
    <row r="89" spans="1:7" s="195" customFormat="1" ht="28">
      <c r="A89" s="173">
        <v>580</v>
      </c>
      <c r="B89" s="174"/>
      <c r="C89" s="174" t="s">
        <v>484</v>
      </c>
      <c r="D89" s="131">
        <v>0</v>
      </c>
      <c r="E89" s="194">
        <v>0</v>
      </c>
      <c r="F89" s="194">
        <v>0</v>
      </c>
      <c r="G89" s="194">
        <v>0</v>
      </c>
    </row>
    <row r="90" spans="1:7" s="195" customFormat="1" ht="28">
      <c r="A90" s="173">
        <v>582</v>
      </c>
      <c r="B90" s="174"/>
      <c r="C90" s="174" t="s">
        <v>485</v>
      </c>
      <c r="D90" s="131">
        <v>0</v>
      </c>
      <c r="E90" s="194">
        <v>0</v>
      </c>
      <c r="F90" s="194">
        <v>0</v>
      </c>
      <c r="G90" s="194">
        <v>0</v>
      </c>
    </row>
    <row r="91" spans="1:7" s="91" customFormat="1">
      <c r="A91" s="164">
        <v>584</v>
      </c>
      <c r="B91" s="165"/>
      <c r="C91" s="165" t="s">
        <v>486</v>
      </c>
      <c r="D91" s="95">
        <v>0</v>
      </c>
      <c r="E91" s="124">
        <v>0</v>
      </c>
      <c r="F91" s="124">
        <v>0</v>
      </c>
      <c r="G91" s="124">
        <v>0</v>
      </c>
    </row>
    <row r="92" spans="1:7" s="195" customFormat="1" ht="28">
      <c r="A92" s="173">
        <v>585</v>
      </c>
      <c r="B92" s="174"/>
      <c r="C92" s="174" t="s">
        <v>487</v>
      </c>
      <c r="D92" s="131">
        <v>0</v>
      </c>
      <c r="E92" s="194">
        <v>0</v>
      </c>
      <c r="F92" s="194">
        <v>0</v>
      </c>
      <c r="G92" s="194">
        <v>0</v>
      </c>
    </row>
    <row r="93" spans="1:7" s="91" customFormat="1">
      <c r="A93" s="164">
        <v>586</v>
      </c>
      <c r="B93" s="165"/>
      <c r="C93" s="165" t="s">
        <v>488</v>
      </c>
      <c r="D93" s="95">
        <v>0</v>
      </c>
      <c r="E93" s="124">
        <v>0</v>
      </c>
      <c r="F93" s="124">
        <v>0</v>
      </c>
      <c r="G93" s="124">
        <v>0</v>
      </c>
    </row>
    <row r="94" spans="1:7" s="91" customFormat="1">
      <c r="A94" s="168">
        <v>589</v>
      </c>
      <c r="B94" s="169"/>
      <c r="C94" s="169" t="s">
        <v>489</v>
      </c>
      <c r="D94" s="119">
        <v>0</v>
      </c>
      <c r="E94" s="133">
        <v>0</v>
      </c>
      <c r="F94" s="133">
        <v>0</v>
      </c>
      <c r="G94" s="133">
        <v>0</v>
      </c>
    </row>
    <row r="95" spans="1:7">
      <c r="A95" s="170">
        <v>5</v>
      </c>
      <c r="B95" s="171"/>
      <c r="C95" s="171" t="s">
        <v>490</v>
      </c>
      <c r="D95" s="172">
        <f t="shared" ref="D95:G95" si="9">SUM(D82:D94)</f>
        <v>175280</v>
      </c>
      <c r="E95" s="172">
        <f t="shared" si="9"/>
        <v>185468</v>
      </c>
      <c r="F95" s="172">
        <f t="shared" si="9"/>
        <v>164350</v>
      </c>
      <c r="G95" s="172">
        <f t="shared" si="9"/>
        <v>164537</v>
      </c>
    </row>
    <row r="96" spans="1:7" s="195" customFormat="1" ht="14">
      <c r="A96" s="173">
        <v>60</v>
      </c>
      <c r="B96" s="174"/>
      <c r="C96" s="174" t="s">
        <v>491</v>
      </c>
      <c r="D96" s="131">
        <v>31</v>
      </c>
      <c r="E96" s="194">
        <v>0</v>
      </c>
      <c r="F96" s="194">
        <v>2079</v>
      </c>
      <c r="G96" s="194">
        <v>0</v>
      </c>
    </row>
    <row r="97" spans="1:7" s="195" customFormat="1" ht="14">
      <c r="A97" s="173">
        <v>61</v>
      </c>
      <c r="B97" s="174"/>
      <c r="C97" s="174" t="s">
        <v>492</v>
      </c>
      <c r="D97" s="131">
        <v>182</v>
      </c>
      <c r="E97" s="194">
        <v>0</v>
      </c>
      <c r="F97" s="194">
        <v>15</v>
      </c>
      <c r="G97" s="194"/>
    </row>
    <row r="98" spans="1:7" s="91" customFormat="1">
      <c r="A98" s="164">
        <v>62</v>
      </c>
      <c r="B98" s="165"/>
      <c r="C98" s="165" t="s">
        <v>493</v>
      </c>
      <c r="D98" s="95">
        <v>0</v>
      </c>
      <c r="E98" s="124">
        <v>0</v>
      </c>
      <c r="F98" s="124">
        <v>0</v>
      </c>
      <c r="G98" s="124">
        <v>0</v>
      </c>
    </row>
    <row r="99" spans="1:7" s="91" customFormat="1">
      <c r="A99" s="164">
        <v>63</v>
      </c>
      <c r="B99" s="165"/>
      <c r="C99" s="165" t="s">
        <v>494</v>
      </c>
      <c r="D99" s="95">
        <v>34666</v>
      </c>
      <c r="E99" s="124">
        <v>15168</v>
      </c>
      <c r="F99" s="124">
        <v>10701</v>
      </c>
      <c r="G99" s="124">
        <v>6103</v>
      </c>
    </row>
    <row r="100" spans="1:7" s="91" customFormat="1">
      <c r="A100" s="164">
        <v>64</v>
      </c>
      <c r="B100" s="165"/>
      <c r="C100" s="165" t="s">
        <v>495</v>
      </c>
      <c r="D100" s="95">
        <v>8562</v>
      </c>
      <c r="E100" s="124">
        <v>10762</v>
      </c>
      <c r="F100" s="124">
        <v>11720</v>
      </c>
      <c r="G100" s="124">
        <v>10539</v>
      </c>
    </row>
    <row r="101" spans="1:7" s="91" customFormat="1">
      <c r="A101" s="164">
        <v>65</v>
      </c>
      <c r="B101" s="165"/>
      <c r="C101" s="165" t="s">
        <v>496</v>
      </c>
      <c r="D101" s="95">
        <v>0</v>
      </c>
      <c r="E101" s="124">
        <v>0</v>
      </c>
      <c r="F101" s="124">
        <v>0</v>
      </c>
      <c r="G101" s="124">
        <v>0</v>
      </c>
    </row>
    <row r="102" spans="1:7" s="195" customFormat="1" ht="14">
      <c r="A102" s="173">
        <v>66</v>
      </c>
      <c r="B102" s="174"/>
      <c r="C102" s="174" t="s">
        <v>497</v>
      </c>
      <c r="D102" s="131">
        <v>126</v>
      </c>
      <c r="E102" s="194">
        <v>70</v>
      </c>
      <c r="F102" s="194">
        <v>103</v>
      </c>
      <c r="G102" s="194">
        <v>50</v>
      </c>
    </row>
    <row r="103" spans="1:7" s="91" customFormat="1">
      <c r="A103" s="164">
        <v>67</v>
      </c>
      <c r="B103" s="165"/>
      <c r="C103" s="165" t="s">
        <v>483</v>
      </c>
      <c r="D103" s="95">
        <v>14291</v>
      </c>
      <c r="E103" s="96">
        <v>20222</v>
      </c>
      <c r="F103" s="96">
        <v>13026</v>
      </c>
      <c r="G103" s="96">
        <v>18195</v>
      </c>
    </row>
    <row r="104" spans="1:7" s="91" customFormat="1" ht="42">
      <c r="A104" s="173" t="s">
        <v>266</v>
      </c>
      <c r="B104" s="165"/>
      <c r="C104" s="174" t="s">
        <v>498</v>
      </c>
      <c r="D104" s="95">
        <v>0</v>
      </c>
      <c r="E104" s="124">
        <v>0</v>
      </c>
      <c r="F104" s="124">
        <v>0</v>
      </c>
      <c r="G104" s="124">
        <v>0</v>
      </c>
    </row>
    <row r="105" spans="1:7" s="91" customFormat="1" ht="56.5" customHeight="1">
      <c r="A105" s="175" t="s">
        <v>499</v>
      </c>
      <c r="B105" s="169"/>
      <c r="C105" s="176" t="s">
        <v>500</v>
      </c>
      <c r="D105" s="119">
        <v>0</v>
      </c>
      <c r="E105" s="133">
        <v>0</v>
      </c>
      <c r="F105" s="133">
        <v>0</v>
      </c>
      <c r="G105" s="133">
        <v>0</v>
      </c>
    </row>
    <row r="106" spans="1:7">
      <c r="A106" s="170">
        <v>6</v>
      </c>
      <c r="B106" s="171"/>
      <c r="C106" s="171" t="s">
        <v>501</v>
      </c>
      <c r="D106" s="172">
        <f t="shared" ref="D106:G106" si="10">SUM(D96:D105)</f>
        <v>57858</v>
      </c>
      <c r="E106" s="172">
        <f t="shared" si="10"/>
        <v>46222</v>
      </c>
      <c r="F106" s="172">
        <f t="shared" si="10"/>
        <v>37644</v>
      </c>
      <c r="G106" s="172">
        <f t="shared" si="10"/>
        <v>34887</v>
      </c>
    </row>
    <row r="107" spans="1:7">
      <c r="A107" s="413" t="s">
        <v>271</v>
      </c>
      <c r="B107" s="178"/>
      <c r="C107" s="171" t="s">
        <v>2</v>
      </c>
      <c r="D107" s="172">
        <f t="shared" ref="D107:G107" si="11">(D95-D88)-(D106-D103)</f>
        <v>117280</v>
      </c>
      <c r="E107" s="172">
        <f t="shared" si="11"/>
        <v>139246</v>
      </c>
      <c r="F107" s="172">
        <f t="shared" si="11"/>
        <v>126848</v>
      </c>
      <c r="G107" s="172">
        <f t="shared" si="11"/>
        <v>129650</v>
      </c>
    </row>
    <row r="108" spans="1:7">
      <c r="A108" s="414" t="s">
        <v>272</v>
      </c>
      <c r="B108" s="179"/>
      <c r="C108" s="180" t="s">
        <v>502</v>
      </c>
      <c r="D108" s="172">
        <f t="shared" ref="D108:G108" si="12">D107-D85-D86+D100+D101</f>
        <v>117658</v>
      </c>
      <c r="E108" s="172">
        <f t="shared" si="12"/>
        <v>136609</v>
      </c>
      <c r="F108" s="172">
        <f t="shared" si="12"/>
        <v>129385</v>
      </c>
      <c r="G108" s="172">
        <f t="shared" si="12"/>
        <v>127277</v>
      </c>
    </row>
    <row r="109" spans="1:7">
      <c r="C109" s="135"/>
      <c r="D109" s="161"/>
      <c r="E109" s="161"/>
      <c r="F109" s="161"/>
      <c r="G109" s="161"/>
    </row>
    <row r="110" spans="1:7">
      <c r="A110" s="415" t="s">
        <v>503</v>
      </c>
      <c r="B110" s="182"/>
      <c r="C110" s="181"/>
      <c r="D110" s="161"/>
      <c r="E110" s="161"/>
      <c r="F110" s="161"/>
      <c r="G110" s="161"/>
    </row>
    <row r="111" spans="1:7" s="91" customFormat="1">
      <c r="A111" s="416">
        <v>10</v>
      </c>
      <c r="B111" s="184"/>
      <c r="C111" s="184" t="s">
        <v>504</v>
      </c>
      <c r="D111" s="185">
        <f t="shared" ref="D111:G111" si="13">D112+D117</f>
        <v>1826332</v>
      </c>
      <c r="E111" s="186">
        <f t="shared" si="13"/>
        <v>0</v>
      </c>
      <c r="F111" s="186">
        <f t="shared" si="13"/>
        <v>2189220</v>
      </c>
      <c r="G111" s="186">
        <f t="shared" si="13"/>
        <v>0</v>
      </c>
    </row>
    <row r="112" spans="1:7" s="91" customFormat="1">
      <c r="A112" s="187" t="s">
        <v>276</v>
      </c>
      <c r="B112" s="188"/>
      <c r="C112" s="188" t="s">
        <v>505</v>
      </c>
      <c r="D112" s="185">
        <f t="shared" ref="D112:G112" si="14">D113+D114+D115+D116</f>
        <v>1273753</v>
      </c>
      <c r="E112" s="186">
        <f t="shared" si="14"/>
        <v>0</v>
      </c>
      <c r="F112" s="186">
        <f t="shared" si="14"/>
        <v>1472829</v>
      </c>
      <c r="G112" s="186">
        <f t="shared" si="14"/>
        <v>0</v>
      </c>
    </row>
    <row r="113" spans="1:7" s="91" customFormat="1">
      <c r="A113" s="189" t="s">
        <v>278</v>
      </c>
      <c r="B113" s="190"/>
      <c r="C113" s="190" t="s">
        <v>506</v>
      </c>
      <c r="D113" s="95">
        <v>1142206</v>
      </c>
      <c r="E113" s="124"/>
      <c r="F113" s="124">
        <v>1331312</v>
      </c>
      <c r="G113" s="124"/>
    </row>
    <row r="114" spans="1:7" s="153" customFormat="1" ht="15" customHeight="1">
      <c r="A114" s="191">
        <v>102</v>
      </c>
      <c r="B114" s="192"/>
      <c r="C114" s="192" t="s">
        <v>507</v>
      </c>
      <c r="D114" s="143">
        <v>0</v>
      </c>
      <c r="E114" s="144"/>
      <c r="F114" s="144"/>
      <c r="G114" s="144"/>
    </row>
    <row r="115" spans="1:7" s="91" customFormat="1">
      <c r="A115" s="189">
        <v>104</v>
      </c>
      <c r="B115" s="190"/>
      <c r="C115" s="190" t="s">
        <v>508</v>
      </c>
      <c r="D115" s="95">
        <v>127093</v>
      </c>
      <c r="E115" s="124"/>
      <c r="F115" s="124">
        <v>135987</v>
      </c>
      <c r="G115" s="124"/>
    </row>
    <row r="116" spans="1:7" s="91" customFormat="1">
      <c r="A116" s="189">
        <v>106</v>
      </c>
      <c r="B116" s="190"/>
      <c r="C116" s="190" t="s">
        <v>509</v>
      </c>
      <c r="D116" s="95">
        <v>4454</v>
      </c>
      <c r="E116" s="124"/>
      <c r="F116" s="124">
        <v>5530</v>
      </c>
      <c r="G116" s="124"/>
    </row>
    <row r="117" spans="1:7" s="91" customFormat="1">
      <c r="A117" s="187" t="s">
        <v>283</v>
      </c>
      <c r="B117" s="188"/>
      <c r="C117" s="188" t="s">
        <v>510</v>
      </c>
      <c r="D117" s="185">
        <f t="shared" ref="D117:G117" si="15">D118+D119+D120</f>
        <v>552579</v>
      </c>
      <c r="E117" s="186">
        <f t="shared" si="15"/>
        <v>0</v>
      </c>
      <c r="F117" s="186">
        <f t="shared" si="15"/>
        <v>716391</v>
      </c>
      <c r="G117" s="186">
        <f t="shared" si="15"/>
        <v>0</v>
      </c>
    </row>
    <row r="118" spans="1:7" s="91" customFormat="1">
      <c r="A118" s="189">
        <v>107</v>
      </c>
      <c r="B118" s="190"/>
      <c r="C118" s="190" t="s">
        <v>511</v>
      </c>
      <c r="D118" s="95">
        <v>550883</v>
      </c>
      <c r="E118" s="124"/>
      <c r="F118" s="124">
        <v>716391</v>
      </c>
      <c r="G118" s="124"/>
    </row>
    <row r="119" spans="1:7" s="91" customFormat="1">
      <c r="A119" s="189">
        <v>108</v>
      </c>
      <c r="B119" s="190"/>
      <c r="C119" s="190" t="s">
        <v>512</v>
      </c>
      <c r="D119" s="95">
        <v>1696</v>
      </c>
      <c r="E119" s="124"/>
      <c r="F119" s="124"/>
      <c r="G119" s="124"/>
    </row>
    <row r="120" spans="1:7" s="195" customFormat="1" ht="28">
      <c r="A120" s="191">
        <v>109</v>
      </c>
      <c r="B120" s="193"/>
      <c r="C120" s="193" t="s">
        <v>513</v>
      </c>
      <c r="D120" s="131">
        <v>0</v>
      </c>
      <c r="E120" s="194"/>
      <c r="F120" s="194"/>
      <c r="G120" s="194"/>
    </row>
    <row r="121" spans="1:7" s="91" customFormat="1">
      <c r="A121" s="187">
        <v>14</v>
      </c>
      <c r="B121" s="188"/>
      <c r="C121" s="188" t="s">
        <v>514</v>
      </c>
      <c r="D121" s="185">
        <f t="shared" ref="D121:G121" si="16">SUM(D122:D130)</f>
        <v>844837</v>
      </c>
      <c r="E121" s="185">
        <f t="shared" si="16"/>
        <v>0</v>
      </c>
      <c r="F121" s="185">
        <f t="shared" si="16"/>
        <v>858658</v>
      </c>
      <c r="G121" s="185">
        <f t="shared" si="16"/>
        <v>0</v>
      </c>
    </row>
    <row r="122" spans="1:7" s="91" customFormat="1">
      <c r="A122" s="189" t="s">
        <v>289</v>
      </c>
      <c r="B122" s="190"/>
      <c r="C122" s="190" t="s">
        <v>515</v>
      </c>
      <c r="D122" s="95">
        <v>515537</v>
      </c>
      <c r="E122" s="124"/>
      <c r="F122" s="124">
        <v>537036</v>
      </c>
      <c r="G122" s="124"/>
    </row>
    <row r="123" spans="1:7" s="91" customFormat="1">
      <c r="A123" s="189">
        <v>144</v>
      </c>
      <c r="B123" s="190"/>
      <c r="C123" s="190" t="s">
        <v>480</v>
      </c>
      <c r="D123" s="95">
        <v>185341</v>
      </c>
      <c r="E123" s="124"/>
      <c r="F123" s="124">
        <v>178763</v>
      </c>
      <c r="G123" s="124"/>
    </row>
    <row r="124" spans="1:7" s="91" customFormat="1">
      <c r="A124" s="189">
        <v>145</v>
      </c>
      <c r="B124" s="190"/>
      <c r="C124" s="190" t="s">
        <v>516</v>
      </c>
      <c r="D124" s="95">
        <v>143959</v>
      </c>
      <c r="E124" s="196"/>
      <c r="F124" s="196">
        <v>142859</v>
      </c>
      <c r="G124" s="196"/>
    </row>
    <row r="125" spans="1:7" s="91" customFormat="1">
      <c r="A125" s="189">
        <v>146</v>
      </c>
      <c r="B125" s="190"/>
      <c r="C125" s="190" t="s">
        <v>517</v>
      </c>
      <c r="D125" s="95">
        <v>0</v>
      </c>
      <c r="E125" s="196"/>
      <c r="F125" s="196">
        <v>0</v>
      </c>
      <c r="G125" s="196"/>
    </row>
    <row r="126" spans="1:7" s="195" customFormat="1" ht="29.5" customHeight="1">
      <c r="A126" s="191" t="s">
        <v>293</v>
      </c>
      <c r="B126" s="193"/>
      <c r="C126" s="193" t="s">
        <v>518</v>
      </c>
      <c r="D126" s="131">
        <v>0</v>
      </c>
      <c r="E126" s="197"/>
      <c r="F126" s="197">
        <v>0</v>
      </c>
      <c r="G126" s="197"/>
    </row>
    <row r="127" spans="1:7" s="91" customFormat="1">
      <c r="A127" s="189">
        <v>1484</v>
      </c>
      <c r="B127" s="190"/>
      <c r="C127" s="190" t="s">
        <v>519</v>
      </c>
      <c r="D127" s="95">
        <v>0</v>
      </c>
      <c r="E127" s="196"/>
      <c r="F127" s="196">
        <v>0</v>
      </c>
      <c r="G127" s="196"/>
    </row>
    <row r="128" spans="1:7" s="195" customFormat="1" ht="14">
      <c r="A128" s="191">
        <v>1485</v>
      </c>
      <c r="B128" s="193"/>
      <c r="C128" s="193" t="s">
        <v>520</v>
      </c>
      <c r="D128" s="131">
        <v>0</v>
      </c>
      <c r="E128" s="197"/>
      <c r="F128" s="197">
        <v>0</v>
      </c>
      <c r="G128" s="197"/>
    </row>
    <row r="129" spans="1:7" s="195" customFormat="1" ht="28">
      <c r="A129" s="191">
        <v>1486</v>
      </c>
      <c r="B129" s="193"/>
      <c r="C129" s="193" t="s">
        <v>521</v>
      </c>
      <c r="D129" s="131">
        <v>0</v>
      </c>
      <c r="E129" s="197"/>
      <c r="F129" s="197">
        <v>0</v>
      </c>
      <c r="G129" s="197"/>
    </row>
    <row r="130" spans="1:7" s="195" customFormat="1" ht="14">
      <c r="A130" s="417">
        <v>1489</v>
      </c>
      <c r="B130" s="418"/>
      <c r="C130" s="418" t="s">
        <v>522</v>
      </c>
      <c r="D130" s="419">
        <v>0</v>
      </c>
      <c r="E130" s="420"/>
      <c r="F130" s="420">
        <v>0</v>
      </c>
      <c r="G130" s="420"/>
    </row>
    <row r="131" spans="1:7">
      <c r="A131" s="421">
        <v>1</v>
      </c>
      <c r="B131" s="202"/>
      <c r="C131" s="201" t="s">
        <v>523</v>
      </c>
      <c r="D131" s="203">
        <f t="shared" ref="D131:G131" si="17">D111+D121</f>
        <v>2671169</v>
      </c>
      <c r="E131" s="203">
        <f t="shared" si="17"/>
        <v>0</v>
      </c>
      <c r="F131" s="203">
        <f t="shared" si="17"/>
        <v>3047878</v>
      </c>
      <c r="G131" s="203">
        <f t="shared" si="17"/>
        <v>0</v>
      </c>
    </row>
    <row r="132" spans="1:7">
      <c r="C132" s="135"/>
      <c r="D132" s="161"/>
      <c r="E132" s="161"/>
      <c r="F132" s="161"/>
      <c r="G132" s="161"/>
    </row>
    <row r="133" spans="1:7" s="91" customFormat="1">
      <c r="A133" s="416">
        <v>20</v>
      </c>
      <c r="B133" s="184"/>
      <c r="C133" s="184" t="s">
        <v>524</v>
      </c>
      <c r="D133" s="204">
        <f t="shared" ref="D133:G133" si="18">D134+D140</f>
        <v>1123086</v>
      </c>
      <c r="E133" s="318">
        <f t="shared" si="18"/>
        <v>0</v>
      </c>
      <c r="F133" s="318">
        <f t="shared" si="18"/>
        <v>1479054</v>
      </c>
      <c r="G133" s="318">
        <f t="shared" si="18"/>
        <v>0</v>
      </c>
    </row>
    <row r="134" spans="1:7" s="91" customFormat="1">
      <c r="A134" s="205" t="s">
        <v>301</v>
      </c>
      <c r="B134" s="188"/>
      <c r="C134" s="188" t="s">
        <v>525</v>
      </c>
      <c r="D134" s="185">
        <f t="shared" ref="D134:G134" si="19">D135+D136+D138+D139</f>
        <v>908479</v>
      </c>
      <c r="E134" s="186">
        <f t="shared" si="19"/>
        <v>0</v>
      </c>
      <c r="F134" s="186">
        <f t="shared" si="19"/>
        <v>1164114</v>
      </c>
      <c r="G134" s="186">
        <f t="shared" si="19"/>
        <v>0</v>
      </c>
    </row>
    <row r="135" spans="1:7" s="106" customFormat="1">
      <c r="A135" s="206">
        <v>200</v>
      </c>
      <c r="B135" s="190"/>
      <c r="C135" s="190" t="s">
        <v>526</v>
      </c>
      <c r="D135" s="95">
        <v>556131</v>
      </c>
      <c r="E135" s="124"/>
      <c r="F135" s="124">
        <v>829052</v>
      </c>
      <c r="G135" s="124"/>
    </row>
    <row r="136" spans="1:7" s="106" customFormat="1">
      <c r="A136" s="206">
        <v>201</v>
      </c>
      <c r="B136" s="190"/>
      <c r="C136" s="190" t="s">
        <v>527</v>
      </c>
      <c r="D136" s="95">
        <v>0</v>
      </c>
      <c r="E136" s="124"/>
      <c r="F136" s="124"/>
      <c r="G136" s="124"/>
    </row>
    <row r="137" spans="1:7" s="106" customFormat="1">
      <c r="A137" s="207" t="s">
        <v>528</v>
      </c>
      <c r="B137" s="208"/>
      <c r="C137" s="208" t="s">
        <v>529</v>
      </c>
      <c r="D137" s="100">
        <v>0</v>
      </c>
      <c r="E137" s="209"/>
      <c r="F137" s="209"/>
      <c r="G137" s="209"/>
    </row>
    <row r="138" spans="1:7" s="106" customFormat="1">
      <c r="A138" s="206">
        <v>204</v>
      </c>
      <c r="B138" s="190"/>
      <c r="C138" s="190" t="s">
        <v>530</v>
      </c>
      <c r="D138" s="95">
        <v>352348</v>
      </c>
      <c r="E138" s="196"/>
      <c r="F138" s="196">
        <v>335062</v>
      </c>
      <c r="G138" s="196"/>
    </row>
    <row r="139" spans="1:7" s="106" customFormat="1">
      <c r="A139" s="206">
        <v>205</v>
      </c>
      <c r="B139" s="190"/>
      <c r="C139" s="190" t="s">
        <v>531</v>
      </c>
      <c r="D139" s="95">
        <v>0</v>
      </c>
      <c r="E139" s="196"/>
      <c r="F139" s="196"/>
      <c r="G139" s="196"/>
    </row>
    <row r="140" spans="1:7" s="106" customFormat="1">
      <c r="A140" s="205" t="s">
        <v>309</v>
      </c>
      <c r="B140" s="188"/>
      <c r="C140" s="188" t="s">
        <v>532</v>
      </c>
      <c r="D140" s="185">
        <f t="shared" ref="D140:G140" si="20">D141+D143+D144</f>
        <v>214607</v>
      </c>
      <c r="E140" s="186">
        <f t="shared" si="20"/>
        <v>0</v>
      </c>
      <c r="F140" s="186">
        <f t="shared" si="20"/>
        <v>314940</v>
      </c>
      <c r="G140" s="186">
        <f t="shared" si="20"/>
        <v>0</v>
      </c>
    </row>
    <row r="141" spans="1:7" s="106" customFormat="1">
      <c r="A141" s="206">
        <v>206</v>
      </c>
      <c r="B141" s="190"/>
      <c r="C141" s="190" t="s">
        <v>533</v>
      </c>
      <c r="D141" s="95">
        <v>0</v>
      </c>
      <c r="E141" s="196"/>
      <c r="F141" s="196">
        <v>26841</v>
      </c>
      <c r="G141" s="196"/>
    </row>
    <row r="142" spans="1:7" s="106" customFormat="1">
      <c r="A142" s="207" t="s">
        <v>534</v>
      </c>
      <c r="B142" s="208"/>
      <c r="C142" s="208" t="s">
        <v>535</v>
      </c>
      <c r="D142" s="100">
        <v>0</v>
      </c>
      <c r="E142" s="209"/>
      <c r="F142" s="209">
        <v>0</v>
      </c>
      <c r="G142" s="209"/>
    </row>
    <row r="143" spans="1:7" s="106" customFormat="1">
      <c r="A143" s="206">
        <v>208</v>
      </c>
      <c r="B143" s="190"/>
      <c r="C143" s="190" t="s">
        <v>536</v>
      </c>
      <c r="D143" s="95">
        <v>169576</v>
      </c>
      <c r="E143" s="196"/>
      <c r="F143" s="196">
        <v>240027</v>
      </c>
      <c r="G143" s="196"/>
    </row>
    <row r="144" spans="1:7" s="111" customFormat="1" ht="28">
      <c r="A144" s="191">
        <v>209</v>
      </c>
      <c r="B144" s="193"/>
      <c r="C144" s="193" t="s">
        <v>537</v>
      </c>
      <c r="D144" s="131">
        <v>45031</v>
      </c>
      <c r="E144" s="197"/>
      <c r="F144" s="197">
        <v>48072</v>
      </c>
      <c r="G144" s="197"/>
    </row>
    <row r="145" spans="1:7" s="91" customFormat="1">
      <c r="A145" s="205">
        <v>29</v>
      </c>
      <c r="B145" s="188"/>
      <c r="C145" s="188" t="s">
        <v>538</v>
      </c>
      <c r="D145" s="210">
        <v>1548083</v>
      </c>
      <c r="E145" s="196"/>
      <c r="F145" s="196">
        <v>1568824</v>
      </c>
      <c r="G145" s="196"/>
    </row>
    <row r="146" spans="1:7" s="91" customFormat="1">
      <c r="A146" s="211" t="s">
        <v>539</v>
      </c>
      <c r="B146" s="212"/>
      <c r="C146" s="212" t="s">
        <v>540</v>
      </c>
      <c r="D146" s="138">
        <v>0</v>
      </c>
      <c r="E146" s="139"/>
      <c r="F146" s="139"/>
      <c r="G146" s="139"/>
    </row>
    <row r="147" spans="1:7">
      <c r="A147" s="421">
        <v>2</v>
      </c>
      <c r="B147" s="202"/>
      <c r="C147" s="201" t="s">
        <v>541</v>
      </c>
      <c r="D147" s="203">
        <f t="shared" ref="D147:G147" si="21">D133+D145</f>
        <v>2671169</v>
      </c>
      <c r="E147" s="203">
        <f t="shared" si="21"/>
        <v>0</v>
      </c>
      <c r="F147" s="203">
        <f t="shared" si="21"/>
        <v>3047878</v>
      </c>
      <c r="G147" s="203">
        <f t="shared" si="21"/>
        <v>0</v>
      </c>
    </row>
    <row r="148" spans="1:7" ht="7.5" customHeight="1"/>
    <row r="149" spans="1:7" ht="13.5" customHeight="1">
      <c r="A149" s="422" t="s">
        <v>542</v>
      </c>
      <c r="B149" s="214"/>
      <c r="C149" s="215"/>
      <c r="D149" s="214"/>
      <c r="E149" s="214"/>
      <c r="F149" s="214"/>
      <c r="G149" s="214"/>
    </row>
    <row r="150" spans="1:7">
      <c r="A150" s="217" t="s">
        <v>543</v>
      </c>
      <c r="B150" s="217"/>
      <c r="C150" s="217" t="s">
        <v>137</v>
      </c>
      <c r="D150" s="218">
        <f t="shared" ref="D150:G150" si="22">D77+SUM(D8:D12)-D30-D31+D16-D33+D59+D63-D73+D64-D74-D54+D20-D35</f>
        <v>94261</v>
      </c>
      <c r="E150" s="218">
        <f t="shared" si="22"/>
        <v>77177</v>
      </c>
      <c r="F150" s="218">
        <f t="shared" si="22"/>
        <v>227931</v>
      </c>
      <c r="G150" s="218">
        <f t="shared" si="22"/>
        <v>56061</v>
      </c>
    </row>
    <row r="151" spans="1:7">
      <c r="A151" s="220" t="s">
        <v>544</v>
      </c>
      <c r="B151" s="220"/>
      <c r="C151" s="220" t="s">
        <v>545</v>
      </c>
      <c r="D151" s="221">
        <f t="shared" ref="D151:G151" si="23">IF(D177=0,0,D150/D177)</f>
        <v>3.1469131466527425E-2</v>
      </c>
      <c r="E151" s="221">
        <f t="shared" si="23"/>
        <v>2.5672140254236583E-2</v>
      </c>
      <c r="F151" s="221">
        <f t="shared" si="23"/>
        <v>7.2388163747132583E-2</v>
      </c>
      <c r="G151" s="221">
        <f t="shared" si="23"/>
        <v>1.8279536935353023E-2</v>
      </c>
    </row>
    <row r="152" spans="1:7" s="296" customFormat="1" ht="28">
      <c r="A152" s="223" t="s">
        <v>546</v>
      </c>
      <c r="B152" s="223"/>
      <c r="C152" s="223" t="s">
        <v>547</v>
      </c>
      <c r="D152" s="241">
        <f t="shared" ref="D152:G152" si="24">IF(D107=0,0,D150/D107)</f>
        <v>0.80372612551159617</v>
      </c>
      <c r="E152" s="241">
        <f t="shared" si="24"/>
        <v>0.55424931416342305</v>
      </c>
      <c r="F152" s="241">
        <f t="shared" si="24"/>
        <v>1.7968828834510595</v>
      </c>
      <c r="G152" s="241">
        <f t="shared" si="24"/>
        <v>0.43240262244504435</v>
      </c>
    </row>
    <row r="153" spans="1:7" s="296" customFormat="1" ht="28">
      <c r="A153" s="227" t="s">
        <v>546</v>
      </c>
      <c r="B153" s="227"/>
      <c r="C153" s="227" t="s">
        <v>548</v>
      </c>
      <c r="D153" s="423">
        <f t="shared" ref="D153:G153" si="25">IF(0=D108,0,D150/D108)</f>
        <v>0.80114399360859445</v>
      </c>
      <c r="E153" s="423">
        <f t="shared" si="25"/>
        <v>0.56494813665278276</v>
      </c>
      <c r="F153" s="423">
        <f t="shared" si="25"/>
        <v>1.7616493411137304</v>
      </c>
      <c r="G153" s="423">
        <f t="shared" si="25"/>
        <v>0.44046449869182963</v>
      </c>
    </row>
    <row r="154" spans="1:7" s="296" customFormat="1" ht="28">
      <c r="A154" s="230" t="s">
        <v>549</v>
      </c>
      <c r="B154" s="230"/>
      <c r="C154" s="230" t="s">
        <v>550</v>
      </c>
      <c r="D154" s="231">
        <f t="shared" ref="D154:G154" si="26">D150-D107</f>
        <v>-23019</v>
      </c>
      <c r="E154" s="231">
        <f t="shared" si="26"/>
        <v>-62069</v>
      </c>
      <c r="F154" s="231">
        <f t="shared" si="26"/>
        <v>101083</v>
      </c>
      <c r="G154" s="231">
        <f t="shared" si="26"/>
        <v>-73589</v>
      </c>
    </row>
    <row r="155" spans="1:7" ht="27.5" customHeight="1">
      <c r="A155" s="233" t="s">
        <v>551</v>
      </c>
      <c r="B155" s="233"/>
      <c r="C155" s="233" t="s">
        <v>552</v>
      </c>
      <c r="D155" s="234">
        <f t="shared" ref="D155:G155" si="27">D150-D108</f>
        <v>-23397</v>
      </c>
      <c r="E155" s="234">
        <f t="shared" si="27"/>
        <v>-59432</v>
      </c>
      <c r="F155" s="234">
        <f t="shared" si="27"/>
        <v>98546</v>
      </c>
      <c r="G155" s="234">
        <f t="shared" si="27"/>
        <v>-71216</v>
      </c>
    </row>
    <row r="156" spans="1:7">
      <c r="A156" s="217" t="s">
        <v>553</v>
      </c>
      <c r="B156" s="217"/>
      <c r="C156" s="217" t="s">
        <v>554</v>
      </c>
      <c r="D156" s="235">
        <f t="shared" ref="D156:G156" si="28">D135+D136-D137+D141-D142</f>
        <v>556131</v>
      </c>
      <c r="E156" s="235">
        <f t="shared" si="28"/>
        <v>0</v>
      </c>
      <c r="F156" s="235">
        <f t="shared" si="28"/>
        <v>855893</v>
      </c>
      <c r="G156" s="235">
        <f t="shared" si="28"/>
        <v>0</v>
      </c>
    </row>
    <row r="157" spans="1:7">
      <c r="A157" s="237" t="s">
        <v>555</v>
      </c>
      <c r="B157" s="237"/>
      <c r="C157" s="237" t="s">
        <v>556</v>
      </c>
      <c r="D157" s="238">
        <f t="shared" ref="D157:G157" si="29">IF(D177=0,0,D156/D177)</f>
        <v>0.18566490437838942</v>
      </c>
      <c r="E157" s="238">
        <f t="shared" si="29"/>
        <v>0</v>
      </c>
      <c r="F157" s="238">
        <f t="shared" si="29"/>
        <v>0.27182139609804962</v>
      </c>
      <c r="G157" s="238">
        <f t="shared" si="29"/>
        <v>0</v>
      </c>
    </row>
    <row r="158" spans="1:7">
      <c r="A158" s="217" t="s">
        <v>557</v>
      </c>
      <c r="B158" s="217"/>
      <c r="C158" s="217" t="s">
        <v>558</v>
      </c>
      <c r="D158" s="235">
        <f t="shared" ref="D158:G158" si="30">D133-D142-D111</f>
        <v>-703246</v>
      </c>
      <c r="E158" s="235">
        <f t="shared" si="30"/>
        <v>0</v>
      </c>
      <c r="F158" s="235">
        <f t="shared" si="30"/>
        <v>-710166</v>
      </c>
      <c r="G158" s="235">
        <f t="shared" si="30"/>
        <v>0</v>
      </c>
    </row>
    <row r="159" spans="1:7">
      <c r="A159" s="220" t="s">
        <v>559</v>
      </c>
      <c r="B159" s="220"/>
      <c r="C159" s="220" t="s">
        <v>560</v>
      </c>
      <c r="D159" s="239">
        <f t="shared" ref="D159:G159" si="31">D121-D123-D124-D142-D145</f>
        <v>-1032546</v>
      </c>
      <c r="E159" s="239">
        <f t="shared" si="31"/>
        <v>0</v>
      </c>
      <c r="F159" s="239">
        <f t="shared" si="31"/>
        <v>-1031788</v>
      </c>
      <c r="G159" s="239">
        <f t="shared" si="31"/>
        <v>0</v>
      </c>
    </row>
    <row r="160" spans="1:7">
      <c r="A160" s="220" t="s">
        <v>561</v>
      </c>
      <c r="B160" s="220"/>
      <c r="C160" s="220" t="s">
        <v>562</v>
      </c>
      <c r="D160" s="240">
        <f t="shared" ref="D160:G160" si="32">IF(D175=0,"-",1000*D158/D175)</f>
        <v>-2363.0577956989246</v>
      </c>
      <c r="E160" s="240">
        <f t="shared" si="32"/>
        <v>0</v>
      </c>
      <c r="F160" s="240">
        <f t="shared" si="32"/>
        <v>-2314.8050965960761</v>
      </c>
      <c r="G160" s="240">
        <f t="shared" si="32"/>
        <v>0</v>
      </c>
    </row>
    <row r="161" spans="1:7">
      <c r="A161" s="220" t="s">
        <v>561</v>
      </c>
      <c r="B161" s="220"/>
      <c r="C161" s="220" t="s">
        <v>563</v>
      </c>
      <c r="D161" s="239">
        <f t="shared" ref="D161:G161" si="33">IF(D175=0,0,1000*(D159/D175))</f>
        <v>-3469.5766129032259</v>
      </c>
      <c r="E161" s="239">
        <f t="shared" si="33"/>
        <v>0</v>
      </c>
      <c r="F161" s="239">
        <f t="shared" si="33"/>
        <v>-3363.1406192448981</v>
      </c>
      <c r="G161" s="239">
        <f t="shared" si="33"/>
        <v>0</v>
      </c>
    </row>
    <row r="162" spans="1:7">
      <c r="A162" s="237" t="s">
        <v>564</v>
      </c>
      <c r="B162" s="237"/>
      <c r="C162" s="237" t="s">
        <v>565</v>
      </c>
      <c r="D162" s="238">
        <f t="shared" ref="D162:G162" si="34">IF((D22+D23+D65+D66)=0,0,D158/(D22+D23+D65+D66))</f>
        <v>-0.60159765399105536</v>
      </c>
      <c r="E162" s="238">
        <f t="shared" si="34"/>
        <v>0</v>
      </c>
      <c r="F162" s="238">
        <f t="shared" si="34"/>
        <v>-0.56084672798737045</v>
      </c>
      <c r="G162" s="238">
        <f t="shared" si="34"/>
        <v>0</v>
      </c>
    </row>
    <row r="163" spans="1:7">
      <c r="A163" s="220" t="s">
        <v>566</v>
      </c>
      <c r="B163" s="220"/>
      <c r="C163" s="220" t="s">
        <v>567</v>
      </c>
      <c r="D163" s="218">
        <f t="shared" ref="D163:G163" si="35">D145</f>
        <v>1548083</v>
      </c>
      <c r="E163" s="218">
        <f t="shared" si="35"/>
        <v>0</v>
      </c>
      <c r="F163" s="218">
        <f t="shared" si="35"/>
        <v>1568824</v>
      </c>
      <c r="G163" s="218">
        <f t="shared" si="35"/>
        <v>0</v>
      </c>
    </row>
    <row r="164" spans="1:7" ht="28">
      <c r="A164" s="223" t="s">
        <v>568</v>
      </c>
      <c r="B164" s="237"/>
      <c r="C164" s="237" t="s">
        <v>569</v>
      </c>
      <c r="D164" s="241">
        <f t="shared" ref="D164:G164" si="36">IF(D178=0,0,D146/D178)</f>
        <v>0</v>
      </c>
      <c r="E164" s="241">
        <f t="shared" si="36"/>
        <v>0</v>
      </c>
      <c r="F164" s="241">
        <f t="shared" si="36"/>
        <v>0</v>
      </c>
      <c r="G164" s="241">
        <f t="shared" si="36"/>
        <v>0</v>
      </c>
    </row>
    <row r="165" spans="1:7">
      <c r="A165" s="243" t="s">
        <v>570</v>
      </c>
      <c r="B165" s="243"/>
      <c r="C165" s="243" t="s">
        <v>571</v>
      </c>
      <c r="D165" s="244">
        <f t="shared" ref="D165:G165" si="37">IF(D177=0,0,D180/D177)</f>
        <v>3.6004831492033644E-2</v>
      </c>
      <c r="E165" s="244">
        <f t="shared" si="37"/>
        <v>3.6777651929061239E-2</v>
      </c>
      <c r="F165" s="244">
        <f t="shared" si="37"/>
        <v>3.2490846318185759E-2</v>
      </c>
      <c r="G165" s="244">
        <f t="shared" si="37"/>
        <v>3.4081631056007554E-2</v>
      </c>
    </row>
    <row r="166" spans="1:7">
      <c r="A166" s="220" t="s">
        <v>572</v>
      </c>
      <c r="B166" s="220"/>
      <c r="C166" s="220" t="s">
        <v>573</v>
      </c>
      <c r="D166" s="218">
        <f t="shared" ref="D166:G166" si="38">D55</f>
        <v>80592</v>
      </c>
      <c r="E166" s="218">
        <f t="shared" si="38"/>
        <v>85645</v>
      </c>
      <c r="F166" s="218">
        <f t="shared" si="38"/>
        <v>85923</v>
      </c>
      <c r="G166" s="218">
        <f t="shared" si="38"/>
        <v>83632</v>
      </c>
    </row>
    <row r="167" spans="1:7" s="296" customFormat="1" ht="28">
      <c r="A167" s="223" t="s">
        <v>574</v>
      </c>
      <c r="B167" s="237"/>
      <c r="C167" s="237" t="s">
        <v>575</v>
      </c>
      <c r="D167" s="241">
        <f t="shared" ref="D167:G167" si="39">IF(0=D111,0,(D44+D45+D46+D47+D48)/D111)</f>
        <v>7.6672806477683141E-3</v>
      </c>
      <c r="E167" s="241">
        <f t="shared" si="39"/>
        <v>0</v>
      </c>
      <c r="F167" s="241">
        <f t="shared" si="39"/>
        <v>5.7079690483368504E-3</v>
      </c>
      <c r="G167" s="241">
        <f t="shared" si="39"/>
        <v>0</v>
      </c>
    </row>
    <row r="168" spans="1:7">
      <c r="A168" s="220" t="s">
        <v>576</v>
      </c>
      <c r="B168" s="217"/>
      <c r="C168" s="217" t="s">
        <v>577</v>
      </c>
      <c r="D168" s="218">
        <f t="shared" ref="D168:G168" si="40">D38-D44</f>
        <v>-8476</v>
      </c>
      <c r="E168" s="218">
        <f t="shared" si="40"/>
        <v>-11247</v>
      </c>
      <c r="F168" s="218">
        <f t="shared" si="40"/>
        <v>-7656</v>
      </c>
      <c r="G168" s="218">
        <f t="shared" si="40"/>
        <v>-5388</v>
      </c>
    </row>
    <row r="169" spans="1:7">
      <c r="A169" s="237" t="s">
        <v>578</v>
      </c>
      <c r="B169" s="237"/>
      <c r="C169" s="237" t="s">
        <v>579</v>
      </c>
      <c r="D169" s="221">
        <f t="shared" ref="D169:G169" si="41">IF(D177=0,0,D168/D177)</f>
        <v>-2.829721287810298E-3</v>
      </c>
      <c r="E169" s="221">
        <f t="shared" si="41"/>
        <v>-3.7411995988364259E-3</v>
      </c>
      <c r="F169" s="221">
        <f t="shared" si="41"/>
        <v>-2.4314541753778425E-3</v>
      </c>
      <c r="G169" s="221">
        <f t="shared" si="41"/>
        <v>-1.7568388899178056E-3</v>
      </c>
    </row>
    <row r="170" spans="1:7">
      <c r="A170" s="220" t="s">
        <v>580</v>
      </c>
      <c r="B170" s="220"/>
      <c r="C170" s="220" t="s">
        <v>581</v>
      </c>
      <c r="D170" s="218">
        <f t="shared" ref="D170:G170" si="42">SUM(D82:D87)+SUM(D89:D94)</f>
        <v>160847</v>
      </c>
      <c r="E170" s="218">
        <f t="shared" si="42"/>
        <v>165246</v>
      </c>
      <c r="F170" s="218">
        <f t="shared" si="42"/>
        <v>151466</v>
      </c>
      <c r="G170" s="218">
        <f t="shared" si="42"/>
        <v>146342</v>
      </c>
    </row>
    <row r="171" spans="1:7">
      <c r="A171" s="220" t="s">
        <v>582</v>
      </c>
      <c r="B171" s="220"/>
      <c r="C171" s="220" t="s">
        <v>583</v>
      </c>
      <c r="D171" s="239">
        <f t="shared" ref="D171:G171" si="43">SUM(D96:D102)+SUM(D104:D105)</f>
        <v>43567</v>
      </c>
      <c r="E171" s="239">
        <f t="shared" si="43"/>
        <v>26000</v>
      </c>
      <c r="F171" s="239">
        <f t="shared" si="43"/>
        <v>24618</v>
      </c>
      <c r="G171" s="239">
        <f t="shared" si="43"/>
        <v>16692</v>
      </c>
    </row>
    <row r="172" spans="1:7">
      <c r="A172" s="243" t="s">
        <v>584</v>
      </c>
      <c r="B172" s="243"/>
      <c r="C172" s="243" t="s">
        <v>585</v>
      </c>
      <c r="D172" s="244">
        <f t="shared" ref="D172:G172" si="44">IF(D184=0,0,D170/D184)</f>
        <v>5.3687393023746394E-2</v>
      </c>
      <c r="E172" s="244">
        <f t="shared" si="44"/>
        <v>5.4880260163638464E-2</v>
      </c>
      <c r="F172" s="244">
        <f t="shared" si="44"/>
        <v>5.0086174171028286E-2</v>
      </c>
      <c r="G172" s="244">
        <f t="shared" si="44"/>
        <v>4.7617544648565914E-2</v>
      </c>
    </row>
    <row r="174" spans="1:7">
      <c r="A174" s="310" t="s">
        <v>586</v>
      </c>
      <c r="B174" s="248"/>
      <c r="C174" s="247"/>
      <c r="D174" s="245"/>
      <c r="E174" s="245"/>
      <c r="F174" s="245"/>
      <c r="G174" s="245"/>
    </row>
    <row r="175" spans="1:7" s="91" customFormat="1">
      <c r="A175" s="312" t="s">
        <v>587</v>
      </c>
      <c r="B175" s="248"/>
      <c r="C175" s="248" t="s">
        <v>588</v>
      </c>
      <c r="D175" s="245">
        <v>297600</v>
      </c>
      <c r="E175" s="245">
        <v>297600</v>
      </c>
      <c r="F175" s="245">
        <v>306793</v>
      </c>
      <c r="G175" s="245">
        <v>306793</v>
      </c>
    </row>
    <row r="176" spans="1:7">
      <c r="A176" s="310" t="s">
        <v>589</v>
      </c>
      <c r="B176" s="248"/>
      <c r="C176" s="248"/>
      <c r="D176" s="248"/>
      <c r="E176" s="248"/>
      <c r="F176" s="248"/>
      <c r="G176" s="248"/>
    </row>
    <row r="177" spans="1:7">
      <c r="A177" s="312" t="s">
        <v>590</v>
      </c>
      <c r="B177" s="248"/>
      <c r="C177" s="248" t="s">
        <v>591</v>
      </c>
      <c r="D177" s="249">
        <f t="shared" ref="D177:G177" si="45">SUM(D22:D32)+SUM(D44:D53)+SUM(D65:D72)+D75</f>
        <v>2995348</v>
      </c>
      <c r="E177" s="249">
        <f t="shared" si="45"/>
        <v>3006255</v>
      </c>
      <c r="F177" s="249">
        <f t="shared" si="45"/>
        <v>3148733</v>
      </c>
      <c r="G177" s="249">
        <f t="shared" si="45"/>
        <v>3066872</v>
      </c>
    </row>
    <row r="178" spans="1:7">
      <c r="A178" s="312" t="s">
        <v>592</v>
      </c>
      <c r="B178" s="248"/>
      <c r="C178" s="248" t="s">
        <v>593</v>
      </c>
      <c r="D178" s="249">
        <f t="shared" ref="D178:G178" si="46">D78-D17-D20-D59-D63-D64</f>
        <v>2996582</v>
      </c>
      <c r="E178" s="249">
        <f t="shared" si="46"/>
        <v>3006081</v>
      </c>
      <c r="F178" s="249">
        <f t="shared" si="46"/>
        <v>3126190</v>
      </c>
      <c r="G178" s="249">
        <f t="shared" si="46"/>
        <v>3076365</v>
      </c>
    </row>
    <row r="179" spans="1:7">
      <c r="A179" s="312"/>
      <c r="B179" s="248"/>
      <c r="C179" s="248" t="s">
        <v>594</v>
      </c>
      <c r="D179" s="249">
        <f t="shared" ref="D179:G179" si="47">D178+D170</f>
        <v>3157429</v>
      </c>
      <c r="E179" s="249">
        <f t="shared" si="47"/>
        <v>3171327</v>
      </c>
      <c r="F179" s="249">
        <f t="shared" si="47"/>
        <v>3277656</v>
      </c>
      <c r="G179" s="249">
        <f t="shared" si="47"/>
        <v>3222707</v>
      </c>
    </row>
    <row r="180" spans="1:7">
      <c r="A180" s="248" t="s">
        <v>595</v>
      </c>
      <c r="B180" s="248"/>
      <c r="C180" s="248" t="s">
        <v>596</v>
      </c>
      <c r="D180" s="249">
        <f t="shared" ref="D180:G180" si="48">D38-D44+D8+D9+D10+D16-D33</f>
        <v>107847</v>
      </c>
      <c r="E180" s="249">
        <f t="shared" si="48"/>
        <v>110563</v>
      </c>
      <c r="F180" s="249">
        <f t="shared" si="48"/>
        <v>102305</v>
      </c>
      <c r="G180" s="249">
        <f t="shared" si="48"/>
        <v>104524</v>
      </c>
    </row>
    <row r="181" spans="1:7" ht="27.5" customHeight="1">
      <c r="A181" s="315" t="s">
        <v>597</v>
      </c>
      <c r="B181" s="251"/>
      <c r="C181" s="251" t="s">
        <v>598</v>
      </c>
      <c r="D181" s="252">
        <f t="shared" ref="D181:G181" si="49">D22+D23+D24+D25+D26+D29+SUM(D44:D47)+SUM(D49:D53)-D54+D32-D33+SUM(D65:D70)+D72</f>
        <v>2931148</v>
      </c>
      <c r="E181" s="252">
        <f t="shared" si="49"/>
        <v>2922899</v>
      </c>
      <c r="F181" s="252">
        <f t="shared" si="49"/>
        <v>3103778</v>
      </c>
      <c r="G181" s="252">
        <f t="shared" si="49"/>
        <v>2983958</v>
      </c>
    </row>
    <row r="182" spans="1:7">
      <c r="A182" s="317" t="s">
        <v>599</v>
      </c>
      <c r="B182" s="251"/>
      <c r="C182" s="251" t="s">
        <v>600</v>
      </c>
      <c r="D182" s="252">
        <f t="shared" ref="D182:G182" si="50">D181+D171</f>
        <v>2974715</v>
      </c>
      <c r="E182" s="252">
        <f t="shared" si="50"/>
        <v>2948899</v>
      </c>
      <c r="F182" s="252">
        <f t="shared" si="50"/>
        <v>3128396</v>
      </c>
      <c r="G182" s="252">
        <f t="shared" si="50"/>
        <v>3000650</v>
      </c>
    </row>
    <row r="183" spans="1:7">
      <c r="A183" s="317" t="s">
        <v>601</v>
      </c>
      <c r="B183" s="251"/>
      <c r="C183" s="251" t="s">
        <v>602</v>
      </c>
      <c r="D183" s="252">
        <f t="shared" ref="D183" si="51">D4+D5-D7+D38+D39+D40+D41+D43+D13-D16+D57+D58+D60+D62</f>
        <v>2835145</v>
      </c>
      <c r="E183" s="252">
        <f>E4+E5-E7+E38+E39+E40+E41+E43+E13-E16+E57+E58+E60+E62</f>
        <v>2845782</v>
      </c>
      <c r="F183" s="252">
        <f>F4+F5-F7+F38+F39+F40+F41+F43+F13-F16+F57+F58+F60+F62</f>
        <v>2872642</v>
      </c>
      <c r="G183" s="252">
        <f>G4+G5-G7+G38+G39+G40+G41+G43+G13-G16+G57+G58+G60+G62</f>
        <v>2926937</v>
      </c>
    </row>
    <row r="184" spans="1:7">
      <c r="A184" s="317" t="s">
        <v>603</v>
      </c>
      <c r="B184" s="251"/>
      <c r="C184" s="251" t="s">
        <v>604</v>
      </c>
      <c r="D184" s="252">
        <f t="shared" ref="D184:G184" si="52">D183+D170</f>
        <v>2995992</v>
      </c>
      <c r="E184" s="252">
        <f t="shared" si="52"/>
        <v>3011028</v>
      </c>
      <c r="F184" s="252">
        <f t="shared" si="52"/>
        <v>3024108</v>
      </c>
      <c r="G184" s="252">
        <f t="shared" si="52"/>
        <v>3073279</v>
      </c>
    </row>
    <row r="185" spans="1:7">
      <c r="A185" s="317"/>
      <c r="B185" s="251"/>
      <c r="C185" s="251" t="s">
        <v>605</v>
      </c>
      <c r="D185" s="252">
        <f t="shared" ref="D185:G186" si="53">D181-D183</f>
        <v>96003</v>
      </c>
      <c r="E185" s="252">
        <f t="shared" si="53"/>
        <v>77117</v>
      </c>
      <c r="F185" s="252">
        <f t="shared" si="53"/>
        <v>231136</v>
      </c>
      <c r="G185" s="252">
        <f t="shared" si="53"/>
        <v>57021</v>
      </c>
    </row>
    <row r="186" spans="1:7">
      <c r="A186" s="317"/>
      <c r="B186" s="251"/>
      <c r="C186" s="251" t="s">
        <v>606</v>
      </c>
      <c r="D186" s="252">
        <f t="shared" si="53"/>
        <v>-21277</v>
      </c>
      <c r="E186" s="252">
        <f t="shared" si="53"/>
        <v>-62129</v>
      </c>
      <c r="F186" s="252">
        <f t="shared" si="53"/>
        <v>104288</v>
      </c>
      <c r="G186" s="252">
        <f t="shared" si="53"/>
        <v>-72629</v>
      </c>
    </row>
  </sheetData>
  <sheetProtection selectLockedCells="1" sort="0" autoFilter="0" pivotTables="0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12" man="1"/>
    <brk id="148" max="12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AL186"/>
  <sheetViews>
    <sheetView tabSelected="1" zoomScale="115" zoomScaleNormal="115" workbookViewId="0">
      <pane xSplit="3" ySplit="2" topLeftCell="D3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11.5" defaultRowHeight="13"/>
  <cols>
    <col min="1" max="1" width="15.1640625" style="84" customWidth="1"/>
    <col min="2" max="2" width="3.6640625" style="84" customWidth="1"/>
    <col min="3" max="3" width="44.6640625" style="84" customWidth="1"/>
    <col min="4" max="5" width="11.5" style="84"/>
    <col min="6" max="7" width="11.5" style="84" customWidth="1"/>
    <col min="8" max="16384" width="11.5" style="84"/>
  </cols>
  <sheetData>
    <row r="1" spans="1:38" s="77" customFormat="1" ht="18" customHeight="1">
      <c r="A1" s="319" t="s">
        <v>156</v>
      </c>
      <c r="B1" s="437" t="s">
        <v>624</v>
      </c>
      <c r="C1" s="437" t="s">
        <v>140</v>
      </c>
      <c r="D1" s="74" t="s">
        <v>7</v>
      </c>
      <c r="E1" s="75" t="s">
        <v>9</v>
      </c>
      <c r="F1" s="74" t="s">
        <v>7</v>
      </c>
      <c r="G1" s="75" t="s">
        <v>9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</row>
    <row r="2" spans="1:38" s="83" customFormat="1" ht="15" customHeight="1">
      <c r="A2" s="78"/>
      <c r="B2" s="79"/>
      <c r="C2" s="80" t="s">
        <v>158</v>
      </c>
      <c r="D2" s="81">
        <v>2014</v>
      </c>
      <c r="E2" s="82">
        <v>2015</v>
      </c>
      <c r="F2" s="81">
        <v>2015</v>
      </c>
      <c r="G2" s="82">
        <v>2016</v>
      </c>
    </row>
    <row r="3" spans="1:38" ht="15" customHeight="1">
      <c r="A3" s="678" t="s">
        <v>159</v>
      </c>
      <c r="B3" s="679"/>
      <c r="C3" s="679"/>
      <c r="D3" s="91"/>
      <c r="E3" s="394" t="s">
        <v>389</v>
      </c>
      <c r="F3" s="85"/>
      <c r="G3" s="85"/>
    </row>
    <row r="4" spans="1:38" s="91" customFormat="1" ht="12.75" customHeight="1">
      <c r="A4" s="86">
        <v>30</v>
      </c>
      <c r="B4" s="87"/>
      <c r="C4" s="88" t="s">
        <v>14</v>
      </c>
      <c r="D4" s="89">
        <v>436336</v>
      </c>
      <c r="E4" s="90">
        <v>446249.4</v>
      </c>
      <c r="F4" s="90">
        <v>427801.8</v>
      </c>
      <c r="G4" s="90">
        <v>438341.6</v>
      </c>
    </row>
    <row r="5" spans="1:38" s="91" customFormat="1" ht="12.75" customHeight="1">
      <c r="A5" s="92">
        <v>31</v>
      </c>
      <c r="B5" s="93"/>
      <c r="C5" s="94" t="s">
        <v>160</v>
      </c>
      <c r="D5" s="95">
        <v>180192.6</v>
      </c>
      <c r="E5" s="96">
        <v>180266.3</v>
      </c>
      <c r="F5" s="96">
        <v>178298.5</v>
      </c>
      <c r="G5" s="96">
        <v>182555.4</v>
      </c>
    </row>
    <row r="6" spans="1:38" s="91" customFormat="1" ht="12.75" customHeight="1">
      <c r="A6" s="97" t="s">
        <v>17</v>
      </c>
      <c r="B6" s="98"/>
      <c r="C6" s="99" t="s">
        <v>161</v>
      </c>
      <c r="D6" s="100">
        <v>26794.1</v>
      </c>
      <c r="E6" s="96">
        <v>25063</v>
      </c>
      <c r="F6" s="96">
        <v>24828.2</v>
      </c>
      <c r="G6" s="96">
        <v>24757</v>
      </c>
    </row>
    <row r="7" spans="1:38" s="91" customFormat="1" ht="12.75" customHeight="1">
      <c r="A7" s="97" t="s">
        <v>162</v>
      </c>
      <c r="B7" s="98"/>
      <c r="C7" s="99" t="s">
        <v>163</v>
      </c>
      <c r="D7" s="100">
        <v>-1235.9000000000001</v>
      </c>
      <c r="E7" s="96">
        <v>0</v>
      </c>
      <c r="F7" s="96">
        <v>4459.3999999999996</v>
      </c>
      <c r="G7" s="96">
        <v>0</v>
      </c>
    </row>
    <row r="8" spans="1:38" s="91" customFormat="1" ht="12.75" customHeight="1">
      <c r="A8" s="101">
        <v>330</v>
      </c>
      <c r="B8" s="93"/>
      <c r="C8" s="94" t="s">
        <v>164</v>
      </c>
      <c r="D8" s="95">
        <v>55742.1</v>
      </c>
      <c r="E8" s="96">
        <v>58083</v>
      </c>
      <c r="F8" s="96">
        <v>62447.9</v>
      </c>
      <c r="G8" s="96">
        <v>61808</v>
      </c>
    </row>
    <row r="9" spans="1:38" s="91" customFormat="1" ht="12.75" customHeight="1">
      <c r="A9" s="101">
        <v>332</v>
      </c>
      <c r="B9" s="93"/>
      <c r="C9" s="94" t="s">
        <v>165</v>
      </c>
      <c r="D9" s="95">
        <v>0</v>
      </c>
      <c r="E9" s="96">
        <v>0</v>
      </c>
      <c r="F9" s="96">
        <v>0</v>
      </c>
      <c r="G9" s="96">
        <v>0</v>
      </c>
    </row>
    <row r="10" spans="1:38" s="91" customFormat="1" ht="12.75" customHeight="1">
      <c r="A10" s="101">
        <v>339</v>
      </c>
      <c r="B10" s="93"/>
      <c r="C10" s="94" t="s">
        <v>166</v>
      </c>
      <c r="D10" s="95">
        <v>0</v>
      </c>
      <c r="E10" s="96">
        <v>0</v>
      </c>
      <c r="F10" s="96">
        <v>0</v>
      </c>
      <c r="G10" s="96">
        <v>0</v>
      </c>
    </row>
    <row r="11" spans="1:38" s="91" customFormat="1" ht="12.75" customHeight="1">
      <c r="A11" s="92">
        <v>350</v>
      </c>
      <c r="B11" s="93"/>
      <c r="C11" s="94" t="s">
        <v>167</v>
      </c>
      <c r="D11" s="95">
        <v>13799.4</v>
      </c>
      <c r="E11" s="96">
        <v>629.97</v>
      </c>
      <c r="F11" s="96">
        <v>2133.9</v>
      </c>
      <c r="G11" s="96">
        <v>1033.7</v>
      </c>
    </row>
    <row r="12" spans="1:38" s="106" customFormat="1" ht="14">
      <c r="A12" s="102">
        <v>351</v>
      </c>
      <c r="B12" s="103"/>
      <c r="C12" s="104" t="s">
        <v>168</v>
      </c>
      <c r="D12" s="105">
        <v>0</v>
      </c>
      <c r="E12" s="96">
        <v>0</v>
      </c>
      <c r="F12" s="96">
        <v>0</v>
      </c>
      <c r="G12" s="96">
        <v>0</v>
      </c>
    </row>
    <row r="13" spans="1:38" s="91" customFormat="1" ht="12.75" customHeight="1">
      <c r="A13" s="92">
        <v>36</v>
      </c>
      <c r="B13" s="93"/>
      <c r="C13" s="94" t="s">
        <v>169</v>
      </c>
      <c r="D13" s="130">
        <v>1198837.3999999999</v>
      </c>
      <c r="E13" s="96">
        <v>1181806.2</v>
      </c>
      <c r="F13" s="96">
        <v>1238355.8999999999</v>
      </c>
      <c r="G13" s="96">
        <v>1241572.8999999999</v>
      </c>
    </row>
    <row r="14" spans="1:38" s="91" customFormat="1" ht="12.75" customHeight="1">
      <c r="A14" s="107" t="s">
        <v>170</v>
      </c>
      <c r="B14" s="93"/>
      <c r="C14" s="108" t="s">
        <v>171</v>
      </c>
      <c r="D14" s="130">
        <v>428174.9</v>
      </c>
      <c r="E14" s="96">
        <v>431083.6</v>
      </c>
      <c r="F14" s="96">
        <v>442260.4</v>
      </c>
      <c r="G14" s="96">
        <v>426488.6</v>
      </c>
    </row>
    <row r="15" spans="1:38" s="91" customFormat="1" ht="12.75" customHeight="1">
      <c r="A15" s="107" t="s">
        <v>172</v>
      </c>
      <c r="B15" s="93"/>
      <c r="C15" s="108" t="s">
        <v>173</v>
      </c>
      <c r="D15" s="130">
        <v>59421.4</v>
      </c>
      <c r="E15" s="96">
        <v>61224.2</v>
      </c>
      <c r="F15" s="96">
        <v>67417.7</v>
      </c>
      <c r="G15" s="96">
        <v>63466.9</v>
      </c>
    </row>
    <row r="16" spans="1:38" s="111" customFormat="1" ht="26.25" customHeight="1">
      <c r="A16" s="107" t="s">
        <v>174</v>
      </c>
      <c r="B16" s="109"/>
      <c r="C16" s="108" t="s">
        <v>175</v>
      </c>
      <c r="D16" s="395">
        <v>14425.4</v>
      </c>
      <c r="E16" s="96">
        <v>8335.4</v>
      </c>
      <c r="F16" s="96">
        <v>8399.7000000000007</v>
      </c>
      <c r="G16" s="96">
        <v>11470</v>
      </c>
    </row>
    <row r="17" spans="1:7" s="113" customFormat="1">
      <c r="A17" s="92">
        <v>37</v>
      </c>
      <c r="B17" s="93"/>
      <c r="C17" s="94" t="s">
        <v>176</v>
      </c>
      <c r="D17" s="130">
        <v>79891.600000000006</v>
      </c>
      <c r="E17" s="96">
        <v>98540.3</v>
      </c>
      <c r="F17" s="96">
        <v>90794.1</v>
      </c>
      <c r="G17" s="96">
        <v>96468.4</v>
      </c>
    </row>
    <row r="18" spans="1:7" s="113" customFormat="1">
      <c r="A18" s="101" t="s">
        <v>177</v>
      </c>
      <c r="B18" s="93"/>
      <c r="C18" s="94" t="s">
        <v>178</v>
      </c>
      <c r="D18" s="130">
        <v>0</v>
      </c>
      <c r="E18" s="96">
        <v>0</v>
      </c>
      <c r="F18" s="96">
        <v>0</v>
      </c>
      <c r="G18" s="96">
        <v>0</v>
      </c>
    </row>
    <row r="19" spans="1:7" s="113" customFormat="1">
      <c r="A19" s="101" t="s">
        <v>179</v>
      </c>
      <c r="B19" s="93"/>
      <c r="C19" s="94" t="s">
        <v>180</v>
      </c>
      <c r="D19" s="130">
        <v>876.3</v>
      </c>
      <c r="E19" s="96">
        <v>0</v>
      </c>
      <c r="F19" s="96">
        <v>527.29999999999995</v>
      </c>
      <c r="G19" s="96">
        <v>0</v>
      </c>
    </row>
    <row r="20" spans="1:7" s="91" customFormat="1" ht="12.75" customHeight="1">
      <c r="A20" s="116">
        <v>39</v>
      </c>
      <c r="B20" s="117"/>
      <c r="C20" s="118" t="s">
        <v>181</v>
      </c>
      <c r="D20" s="177">
        <v>0</v>
      </c>
      <c r="E20" s="120">
        <v>0</v>
      </c>
      <c r="F20" s="120">
        <v>0</v>
      </c>
      <c r="G20" s="120">
        <v>0</v>
      </c>
    </row>
    <row r="21" spans="1:7" ht="12.75" customHeight="1">
      <c r="A21" s="121"/>
      <c r="B21" s="121"/>
      <c r="C21" s="122" t="s">
        <v>182</v>
      </c>
      <c r="D21" s="123">
        <f t="shared" ref="D21:G21" si="0">D4+D5+SUM(D8:D13)+D17</f>
        <v>1964799.1</v>
      </c>
      <c r="E21" s="123">
        <f t="shared" si="0"/>
        <v>1965575.17</v>
      </c>
      <c r="F21" s="123">
        <f t="shared" si="0"/>
        <v>1999832.1</v>
      </c>
      <c r="G21" s="123">
        <f t="shared" si="0"/>
        <v>2021779.9999999998</v>
      </c>
    </row>
    <row r="22" spans="1:7" s="91" customFormat="1" ht="12.75" customHeight="1">
      <c r="A22" s="101" t="s">
        <v>183</v>
      </c>
      <c r="B22" s="93"/>
      <c r="C22" s="94" t="s">
        <v>184</v>
      </c>
      <c r="D22" s="95">
        <v>770173.7</v>
      </c>
      <c r="E22" s="124">
        <v>783264</v>
      </c>
      <c r="F22" s="124">
        <v>800855.5</v>
      </c>
      <c r="G22" s="124">
        <v>790250</v>
      </c>
    </row>
    <row r="23" spans="1:7" s="91" customFormat="1" ht="12.75" customHeight="1">
      <c r="A23" s="101" t="s">
        <v>185</v>
      </c>
      <c r="B23" s="93"/>
      <c r="C23" s="94" t="s">
        <v>186</v>
      </c>
      <c r="D23" s="95">
        <v>133886.1</v>
      </c>
      <c r="E23" s="124">
        <v>138700</v>
      </c>
      <c r="F23" s="124">
        <v>144629.70000000001</v>
      </c>
      <c r="G23" s="124">
        <v>128700</v>
      </c>
    </row>
    <row r="24" spans="1:7" s="125" customFormat="1" ht="12.75" customHeight="1">
      <c r="A24" s="92">
        <v>41</v>
      </c>
      <c r="B24" s="93"/>
      <c r="C24" s="94" t="s">
        <v>187</v>
      </c>
      <c r="D24" s="95">
        <v>9537.5</v>
      </c>
      <c r="E24" s="124">
        <v>9060.7999999999993</v>
      </c>
      <c r="F24" s="124">
        <v>52342</v>
      </c>
      <c r="G24" s="124">
        <v>9512.7999999999993</v>
      </c>
    </row>
    <row r="25" spans="1:7" s="91" customFormat="1" ht="12.75" customHeight="1">
      <c r="A25" s="126">
        <v>42</v>
      </c>
      <c r="B25" s="127"/>
      <c r="C25" s="94" t="s">
        <v>188</v>
      </c>
      <c r="D25" s="95">
        <v>164776.9</v>
      </c>
      <c r="E25" s="124">
        <v>158416.20000000001</v>
      </c>
      <c r="F25" s="124">
        <v>169778.3</v>
      </c>
      <c r="G25" s="124">
        <v>163857.79999999999</v>
      </c>
    </row>
    <row r="26" spans="1:7" s="129" customFormat="1" ht="12.75" customHeight="1">
      <c r="A26" s="102">
        <v>430</v>
      </c>
      <c r="B26" s="93"/>
      <c r="C26" s="94" t="s">
        <v>189</v>
      </c>
      <c r="D26" s="112">
        <v>3714.6</v>
      </c>
      <c r="E26" s="128">
        <v>2342.9</v>
      </c>
      <c r="F26" s="128">
        <v>16267.7</v>
      </c>
      <c r="G26" s="128">
        <v>16291.4</v>
      </c>
    </row>
    <row r="27" spans="1:7" s="129" customFormat="1" ht="12.75" customHeight="1">
      <c r="A27" s="102">
        <v>431</v>
      </c>
      <c r="B27" s="93"/>
      <c r="C27" s="94" t="s">
        <v>190</v>
      </c>
      <c r="D27" s="112">
        <v>0</v>
      </c>
      <c r="E27" s="128">
        <v>0</v>
      </c>
      <c r="F27" s="128">
        <v>0</v>
      </c>
      <c r="G27" s="128">
        <v>0</v>
      </c>
    </row>
    <row r="28" spans="1:7" s="129" customFormat="1" ht="12.75" customHeight="1">
      <c r="A28" s="102">
        <v>432</v>
      </c>
      <c r="B28" s="93"/>
      <c r="C28" s="94" t="s">
        <v>191</v>
      </c>
      <c r="D28" s="112">
        <v>0</v>
      </c>
      <c r="E28" s="128">
        <v>0</v>
      </c>
      <c r="F28" s="128">
        <v>0</v>
      </c>
      <c r="G28" s="128">
        <v>0</v>
      </c>
    </row>
    <row r="29" spans="1:7" s="129" customFormat="1" ht="12.75" customHeight="1">
      <c r="A29" s="102">
        <v>439</v>
      </c>
      <c r="B29" s="93"/>
      <c r="C29" s="94" t="s">
        <v>192</v>
      </c>
      <c r="D29" s="112">
        <v>0</v>
      </c>
      <c r="E29" s="128">
        <v>0</v>
      </c>
      <c r="F29" s="128">
        <v>0</v>
      </c>
      <c r="G29" s="128">
        <v>0</v>
      </c>
    </row>
    <row r="30" spans="1:7" s="91" customFormat="1" ht="14">
      <c r="A30" s="102">
        <v>450</v>
      </c>
      <c r="B30" s="103"/>
      <c r="C30" s="104" t="s">
        <v>193</v>
      </c>
      <c r="D30" s="130">
        <v>1813.3</v>
      </c>
      <c r="E30" s="96">
        <v>2336.6999999999998</v>
      </c>
      <c r="F30" s="96">
        <v>4069.2</v>
      </c>
      <c r="G30" s="96">
        <v>4022.6</v>
      </c>
    </row>
    <row r="31" spans="1:7" s="106" customFormat="1" ht="14">
      <c r="A31" s="102">
        <v>451</v>
      </c>
      <c r="B31" s="103"/>
      <c r="C31" s="104" t="s">
        <v>194</v>
      </c>
      <c r="D31" s="131">
        <v>0</v>
      </c>
      <c r="E31" s="124">
        <v>0</v>
      </c>
      <c r="F31" s="124">
        <v>0</v>
      </c>
      <c r="G31" s="124">
        <v>0</v>
      </c>
    </row>
    <row r="32" spans="1:7" s="91" customFormat="1" ht="12.75" customHeight="1">
      <c r="A32" s="92">
        <v>46</v>
      </c>
      <c r="B32" s="93"/>
      <c r="C32" s="94" t="s">
        <v>195</v>
      </c>
      <c r="D32" s="95">
        <v>675251.1</v>
      </c>
      <c r="E32" s="124">
        <v>683567.9</v>
      </c>
      <c r="F32" s="124">
        <v>705670.3</v>
      </c>
      <c r="G32" s="124">
        <v>744431.9</v>
      </c>
    </row>
    <row r="33" spans="1:7" s="106" customFormat="1" ht="12.75" customHeight="1">
      <c r="A33" s="114" t="s">
        <v>196</v>
      </c>
      <c r="B33" s="98"/>
      <c r="C33" s="99" t="s">
        <v>197</v>
      </c>
      <c r="D33" s="95">
        <v>0</v>
      </c>
      <c r="E33" s="132">
        <v>0</v>
      </c>
      <c r="F33" s="132">
        <v>0</v>
      </c>
      <c r="G33" s="132">
        <v>0</v>
      </c>
    </row>
    <row r="34" spans="1:7" s="91" customFormat="1" ht="15" customHeight="1">
      <c r="A34" s="92">
        <v>47</v>
      </c>
      <c r="B34" s="93"/>
      <c r="C34" s="94" t="s">
        <v>176</v>
      </c>
      <c r="D34" s="95">
        <v>79891.600000000006</v>
      </c>
      <c r="E34" s="124">
        <v>98540.3</v>
      </c>
      <c r="F34" s="124">
        <v>90794.1</v>
      </c>
      <c r="G34" s="124">
        <v>96468.4</v>
      </c>
    </row>
    <row r="35" spans="1:7" s="91" customFormat="1" ht="15" customHeight="1">
      <c r="A35" s="116">
        <v>49</v>
      </c>
      <c r="B35" s="117"/>
      <c r="C35" s="118" t="s">
        <v>198</v>
      </c>
      <c r="D35" s="177">
        <v>0</v>
      </c>
      <c r="E35" s="133">
        <v>0</v>
      </c>
      <c r="F35" s="133">
        <v>0</v>
      </c>
      <c r="G35" s="133">
        <v>0</v>
      </c>
    </row>
    <row r="36" spans="1:7" ht="13.5" customHeight="1">
      <c r="A36" s="121"/>
      <c r="B36" s="134"/>
      <c r="C36" s="122" t="s">
        <v>199</v>
      </c>
      <c r="D36" s="123">
        <f t="shared" ref="D36:G36" si="1">D22+D23+D24+D25+D26+D27+D28+D29+D30+D31+D32+D34</f>
        <v>1839044.8000000003</v>
      </c>
      <c r="E36" s="123">
        <f t="shared" si="1"/>
        <v>1876228.8</v>
      </c>
      <c r="F36" s="123">
        <f t="shared" si="1"/>
        <v>1984406.8</v>
      </c>
      <c r="G36" s="123">
        <f t="shared" si="1"/>
        <v>1953534.9</v>
      </c>
    </row>
    <row r="37" spans="1:7" s="135" customFormat="1" ht="15" customHeight="1">
      <c r="A37" s="121"/>
      <c r="B37" s="134"/>
      <c r="C37" s="122" t="s">
        <v>200</v>
      </c>
      <c r="D37" s="123">
        <f t="shared" ref="D37:G37" si="2">D36-D21</f>
        <v>-125754.29999999981</v>
      </c>
      <c r="E37" s="123">
        <f t="shared" si="2"/>
        <v>-89346.369999999879</v>
      </c>
      <c r="F37" s="123">
        <f t="shared" si="2"/>
        <v>-15425.300000000047</v>
      </c>
      <c r="G37" s="123">
        <f t="shared" si="2"/>
        <v>-68245.09999999986</v>
      </c>
    </row>
    <row r="38" spans="1:7" s="106" customFormat="1" ht="15" customHeight="1">
      <c r="A38" s="101">
        <v>340</v>
      </c>
      <c r="B38" s="93"/>
      <c r="C38" s="94" t="s">
        <v>201</v>
      </c>
      <c r="D38" s="130">
        <v>10673.4</v>
      </c>
      <c r="E38" s="124">
        <v>26050</v>
      </c>
      <c r="F38" s="124">
        <v>32135.5</v>
      </c>
      <c r="G38" s="124">
        <v>28566</v>
      </c>
    </row>
    <row r="39" spans="1:7" s="106" customFormat="1" ht="15" customHeight="1">
      <c r="A39" s="101">
        <v>341</v>
      </c>
      <c r="B39" s="93"/>
      <c r="C39" s="94" t="s">
        <v>202</v>
      </c>
      <c r="D39" s="95">
        <v>41.4</v>
      </c>
      <c r="E39" s="124">
        <v>0</v>
      </c>
      <c r="F39" s="124">
        <v>46</v>
      </c>
      <c r="G39" s="124">
        <v>0</v>
      </c>
    </row>
    <row r="40" spans="1:7" s="106" customFormat="1" ht="15" customHeight="1">
      <c r="A40" s="101">
        <v>342</v>
      </c>
      <c r="B40" s="93"/>
      <c r="C40" s="94" t="s">
        <v>203</v>
      </c>
      <c r="D40" s="95">
        <v>2921.1</v>
      </c>
      <c r="E40" s="124">
        <v>960</v>
      </c>
      <c r="F40" s="124">
        <v>1911.7</v>
      </c>
      <c r="G40" s="124">
        <v>760</v>
      </c>
    </row>
    <row r="41" spans="1:7" s="106" customFormat="1" ht="15" customHeight="1">
      <c r="A41" s="101">
        <v>343</v>
      </c>
      <c r="B41" s="93"/>
      <c r="C41" s="94" t="s">
        <v>204</v>
      </c>
      <c r="D41" s="95">
        <v>1696.1</v>
      </c>
      <c r="E41" s="124">
        <v>1083.5</v>
      </c>
      <c r="F41" s="124">
        <v>1682.5</v>
      </c>
      <c r="G41" s="124">
        <v>1350.9</v>
      </c>
    </row>
    <row r="42" spans="1:7" s="106" customFormat="1" ht="15" customHeight="1">
      <c r="A42" s="101">
        <v>344</v>
      </c>
      <c r="B42" s="93"/>
      <c r="C42" s="94" t="s">
        <v>205</v>
      </c>
      <c r="D42" s="95">
        <v>39581.800000000003</v>
      </c>
      <c r="E42" s="124">
        <v>0</v>
      </c>
      <c r="F42" s="124">
        <v>0</v>
      </c>
      <c r="G42" s="124">
        <v>0</v>
      </c>
    </row>
    <row r="43" spans="1:7" s="106" customFormat="1" ht="15" customHeight="1">
      <c r="A43" s="101">
        <v>349</v>
      </c>
      <c r="B43" s="93"/>
      <c r="C43" s="94" t="s">
        <v>206</v>
      </c>
      <c r="D43" s="95">
        <v>3830.8</v>
      </c>
      <c r="E43" s="124">
        <v>4900</v>
      </c>
      <c r="F43" s="124">
        <v>1095606.1000000001</v>
      </c>
      <c r="G43" s="124">
        <v>7638.2</v>
      </c>
    </row>
    <row r="44" spans="1:7" s="91" customFormat="1" ht="15" customHeight="1">
      <c r="A44" s="92">
        <v>440</v>
      </c>
      <c r="B44" s="93"/>
      <c r="C44" s="94" t="s">
        <v>207</v>
      </c>
      <c r="D44" s="130">
        <v>10437.299999999999</v>
      </c>
      <c r="E44" s="124">
        <v>8818</v>
      </c>
      <c r="F44" s="124">
        <v>6613</v>
      </c>
      <c r="G44" s="124">
        <v>9240</v>
      </c>
    </row>
    <row r="45" spans="1:7" s="91" customFormat="1" ht="15" customHeight="1">
      <c r="A45" s="92">
        <v>441</v>
      </c>
      <c r="B45" s="93"/>
      <c r="C45" s="94" t="s">
        <v>208</v>
      </c>
      <c r="D45" s="130">
        <v>411.3</v>
      </c>
      <c r="E45" s="124">
        <v>0</v>
      </c>
      <c r="F45" s="124">
        <v>84.9</v>
      </c>
      <c r="G45" s="124">
        <v>20000</v>
      </c>
    </row>
    <row r="46" spans="1:7" s="91" customFormat="1" ht="15" customHeight="1">
      <c r="A46" s="92">
        <v>442</v>
      </c>
      <c r="B46" s="93"/>
      <c r="C46" s="94" t="s">
        <v>209</v>
      </c>
      <c r="D46" s="130">
        <v>0</v>
      </c>
      <c r="E46" s="124">
        <v>0</v>
      </c>
      <c r="F46" s="124">
        <v>0</v>
      </c>
      <c r="G46" s="124">
        <v>0</v>
      </c>
    </row>
    <row r="47" spans="1:7" s="91" customFormat="1" ht="15" customHeight="1">
      <c r="A47" s="92">
        <v>443</v>
      </c>
      <c r="B47" s="93"/>
      <c r="C47" s="94" t="s">
        <v>210</v>
      </c>
      <c r="D47" s="130">
        <v>3795</v>
      </c>
      <c r="E47" s="124">
        <v>4101</v>
      </c>
      <c r="F47" s="124">
        <v>4145.3</v>
      </c>
      <c r="G47" s="124">
        <v>3720</v>
      </c>
    </row>
    <row r="48" spans="1:7" s="91" customFormat="1" ht="15" customHeight="1">
      <c r="A48" s="92">
        <v>444</v>
      </c>
      <c r="B48" s="93"/>
      <c r="C48" s="94" t="s">
        <v>205</v>
      </c>
      <c r="D48" s="130">
        <v>0</v>
      </c>
      <c r="E48" s="124">
        <v>0</v>
      </c>
      <c r="F48" s="124">
        <v>0</v>
      </c>
      <c r="G48" s="124">
        <v>0</v>
      </c>
    </row>
    <row r="49" spans="1:7" s="91" customFormat="1" ht="15" customHeight="1">
      <c r="A49" s="92">
        <v>445</v>
      </c>
      <c r="B49" s="93"/>
      <c r="C49" s="94" t="s">
        <v>211</v>
      </c>
      <c r="D49" s="130">
        <v>3321.9</v>
      </c>
      <c r="E49" s="124">
        <v>3313</v>
      </c>
      <c r="F49" s="124">
        <v>2672.9</v>
      </c>
      <c r="G49" s="124">
        <v>3313</v>
      </c>
    </row>
    <row r="50" spans="1:7" s="91" customFormat="1" ht="15" customHeight="1">
      <c r="A50" s="92">
        <v>446</v>
      </c>
      <c r="B50" s="93"/>
      <c r="C50" s="94" t="s">
        <v>212</v>
      </c>
      <c r="D50" s="130">
        <v>268</v>
      </c>
      <c r="E50" s="124">
        <v>218.2</v>
      </c>
      <c r="F50" s="124">
        <v>78.5</v>
      </c>
      <c r="G50" s="124">
        <v>218.2</v>
      </c>
    </row>
    <row r="51" spans="1:7" s="91" customFormat="1" ht="15" customHeight="1">
      <c r="A51" s="92">
        <v>447</v>
      </c>
      <c r="B51" s="93"/>
      <c r="C51" s="94" t="s">
        <v>213</v>
      </c>
      <c r="D51" s="130">
        <v>31408.7</v>
      </c>
      <c r="E51" s="124">
        <v>32229</v>
      </c>
      <c r="F51" s="124">
        <v>32334.2</v>
      </c>
      <c r="G51" s="124">
        <v>32141</v>
      </c>
    </row>
    <row r="52" spans="1:7" s="91" customFormat="1" ht="15" customHeight="1">
      <c r="A52" s="92">
        <v>448</v>
      </c>
      <c r="B52" s="93"/>
      <c r="C52" s="94" t="s">
        <v>214</v>
      </c>
      <c r="D52" s="130">
        <v>0</v>
      </c>
      <c r="E52" s="124">
        <v>0</v>
      </c>
      <c r="F52" s="124">
        <v>0</v>
      </c>
      <c r="G52" s="124">
        <v>0</v>
      </c>
    </row>
    <row r="53" spans="1:7" s="91" customFormat="1" ht="15" customHeight="1">
      <c r="A53" s="92">
        <v>449</v>
      </c>
      <c r="B53" s="93"/>
      <c r="C53" s="94" t="s">
        <v>215</v>
      </c>
      <c r="D53" s="130">
        <v>2.4</v>
      </c>
      <c r="E53" s="124">
        <v>0</v>
      </c>
      <c r="F53" s="124">
        <v>617.1</v>
      </c>
      <c r="G53" s="124">
        <v>0</v>
      </c>
    </row>
    <row r="54" spans="1:7" s="106" customFormat="1" ht="13.5" customHeight="1">
      <c r="A54" s="136" t="s">
        <v>216</v>
      </c>
      <c r="B54" s="137"/>
      <c r="C54" s="137" t="s">
        <v>217</v>
      </c>
      <c r="D54" s="264">
        <v>2.4</v>
      </c>
      <c r="E54" s="139">
        <v>0</v>
      </c>
      <c r="F54" s="139">
        <v>512.5</v>
      </c>
      <c r="G54" s="139">
        <v>0</v>
      </c>
    </row>
    <row r="55" spans="1:7" ht="15" customHeight="1">
      <c r="A55" s="134"/>
      <c r="B55" s="134"/>
      <c r="C55" s="122" t="s">
        <v>218</v>
      </c>
      <c r="D55" s="123">
        <f t="shared" ref="D55:G55" si="3">SUM(D44:D53)-SUM(D38:D43)</f>
        <v>-9100.0000000000073</v>
      </c>
      <c r="E55" s="123">
        <f t="shared" si="3"/>
        <v>15685.699999999997</v>
      </c>
      <c r="F55" s="123">
        <f t="shared" si="3"/>
        <v>-1084835.9000000001</v>
      </c>
      <c r="G55" s="123">
        <f t="shared" si="3"/>
        <v>30317.1</v>
      </c>
    </row>
    <row r="56" spans="1:7" ht="14.25" customHeight="1">
      <c r="A56" s="134"/>
      <c r="B56" s="134"/>
      <c r="C56" s="122" t="s">
        <v>219</v>
      </c>
      <c r="D56" s="123">
        <f t="shared" ref="D56:G56" si="4">D55+D37</f>
        <v>-134854.29999999981</v>
      </c>
      <c r="E56" s="123">
        <f t="shared" si="4"/>
        <v>-73660.669999999882</v>
      </c>
      <c r="F56" s="123">
        <f t="shared" si="4"/>
        <v>-1100261.2000000002</v>
      </c>
      <c r="G56" s="123">
        <f t="shared" si="4"/>
        <v>-37927.999999999862</v>
      </c>
    </row>
    <row r="57" spans="1:7" s="91" customFormat="1" ht="15.75" customHeight="1">
      <c r="A57" s="140">
        <v>380</v>
      </c>
      <c r="B57" s="141"/>
      <c r="C57" s="142" t="s">
        <v>220</v>
      </c>
      <c r="D57" s="265">
        <v>0</v>
      </c>
      <c r="E57" s="266">
        <v>0</v>
      </c>
      <c r="F57" s="266">
        <v>0</v>
      </c>
      <c r="G57" s="266">
        <v>0</v>
      </c>
    </row>
    <row r="58" spans="1:7" s="91" customFormat="1" ht="15.75" customHeight="1">
      <c r="A58" s="140">
        <v>381</v>
      </c>
      <c r="B58" s="141"/>
      <c r="C58" s="142" t="s">
        <v>221</v>
      </c>
      <c r="D58" s="265">
        <v>0</v>
      </c>
      <c r="E58" s="266">
        <v>0</v>
      </c>
      <c r="F58" s="266">
        <v>0</v>
      </c>
      <c r="G58" s="266">
        <v>0</v>
      </c>
    </row>
    <row r="59" spans="1:7" s="106" customFormat="1" ht="14">
      <c r="A59" s="102">
        <v>383</v>
      </c>
      <c r="B59" s="103"/>
      <c r="C59" s="104" t="s">
        <v>222</v>
      </c>
      <c r="D59" s="267">
        <v>0</v>
      </c>
      <c r="E59" s="144">
        <v>0</v>
      </c>
      <c r="F59" s="144">
        <v>27290.799999999999</v>
      </c>
      <c r="G59" s="144">
        <v>27300</v>
      </c>
    </row>
    <row r="60" spans="1:7" s="106" customFormat="1" ht="14">
      <c r="A60" s="102">
        <v>3840</v>
      </c>
      <c r="B60" s="103"/>
      <c r="C60" s="104" t="s">
        <v>223</v>
      </c>
      <c r="D60" s="145">
        <v>0</v>
      </c>
      <c r="E60" s="146">
        <v>0</v>
      </c>
      <c r="F60" s="146">
        <v>0</v>
      </c>
      <c r="G60" s="146">
        <v>0</v>
      </c>
    </row>
    <row r="61" spans="1:7" s="106" customFormat="1" ht="14">
      <c r="A61" s="102">
        <v>3841</v>
      </c>
      <c r="B61" s="103"/>
      <c r="C61" s="104" t="s">
        <v>224</v>
      </c>
      <c r="D61" s="145">
        <v>0</v>
      </c>
      <c r="E61" s="146">
        <v>0</v>
      </c>
      <c r="F61" s="146">
        <v>0</v>
      </c>
      <c r="G61" s="146">
        <v>0</v>
      </c>
    </row>
    <row r="62" spans="1:7" s="106" customFormat="1" ht="14">
      <c r="A62" s="147">
        <v>386</v>
      </c>
      <c r="B62" s="148"/>
      <c r="C62" s="149" t="s">
        <v>225</v>
      </c>
      <c r="D62" s="145">
        <v>0</v>
      </c>
      <c r="E62" s="146">
        <v>0</v>
      </c>
      <c r="F62" s="146">
        <v>0</v>
      </c>
      <c r="G62" s="146">
        <v>0</v>
      </c>
    </row>
    <row r="63" spans="1:7" s="106" customFormat="1" ht="28">
      <c r="A63" s="102">
        <v>387</v>
      </c>
      <c r="B63" s="103"/>
      <c r="C63" s="104" t="s">
        <v>226</v>
      </c>
      <c r="D63" s="145">
        <v>0</v>
      </c>
      <c r="E63" s="146">
        <v>0</v>
      </c>
      <c r="F63" s="146">
        <v>0</v>
      </c>
      <c r="G63" s="146">
        <v>0</v>
      </c>
    </row>
    <row r="64" spans="1:7" s="106" customFormat="1">
      <c r="A64" s="101">
        <v>389</v>
      </c>
      <c r="B64" s="150"/>
      <c r="C64" s="94" t="s">
        <v>42</v>
      </c>
      <c r="D64" s="95">
        <v>0</v>
      </c>
      <c r="E64" s="124">
        <v>0</v>
      </c>
      <c r="F64" s="124">
        <v>0</v>
      </c>
      <c r="G64" s="124">
        <v>0</v>
      </c>
    </row>
    <row r="65" spans="1:7" s="91" customFormat="1">
      <c r="A65" s="101" t="s">
        <v>227</v>
      </c>
      <c r="B65" s="93"/>
      <c r="C65" s="94" t="s">
        <v>228</v>
      </c>
      <c r="D65" s="95">
        <v>0</v>
      </c>
      <c r="E65" s="124">
        <v>0</v>
      </c>
      <c r="F65" s="124">
        <v>0</v>
      </c>
      <c r="G65" s="124">
        <v>0</v>
      </c>
    </row>
    <row r="66" spans="1:7" s="153" customFormat="1" ht="14">
      <c r="A66" s="151" t="s">
        <v>229</v>
      </c>
      <c r="B66" s="152"/>
      <c r="C66" s="104" t="s">
        <v>230</v>
      </c>
      <c r="D66" s="143">
        <v>0</v>
      </c>
      <c r="E66" s="144">
        <v>0</v>
      </c>
      <c r="F66" s="144">
        <v>0</v>
      </c>
      <c r="G66" s="144">
        <v>0</v>
      </c>
    </row>
    <row r="67" spans="1:7" s="91" customFormat="1">
      <c r="A67" s="154">
        <v>481</v>
      </c>
      <c r="B67" s="93"/>
      <c r="C67" s="94" t="s">
        <v>231</v>
      </c>
      <c r="D67" s="95">
        <v>0</v>
      </c>
      <c r="E67" s="124">
        <v>0</v>
      </c>
      <c r="F67" s="124">
        <v>0</v>
      </c>
      <c r="G67" s="124">
        <v>0</v>
      </c>
    </row>
    <row r="68" spans="1:7" s="91" customFormat="1">
      <c r="A68" s="154">
        <v>482</v>
      </c>
      <c r="B68" s="93"/>
      <c r="C68" s="94" t="s">
        <v>232</v>
      </c>
      <c r="D68" s="95">
        <v>0</v>
      </c>
      <c r="E68" s="124">
        <v>0</v>
      </c>
      <c r="F68" s="124">
        <v>0</v>
      </c>
      <c r="G68" s="124">
        <v>0</v>
      </c>
    </row>
    <row r="69" spans="1:7" s="91" customFormat="1">
      <c r="A69" s="154">
        <v>483</v>
      </c>
      <c r="B69" s="93"/>
      <c r="C69" s="94" t="s">
        <v>233</v>
      </c>
      <c r="D69" s="95">
        <v>0</v>
      </c>
      <c r="E69" s="124">
        <v>0</v>
      </c>
      <c r="F69" s="124">
        <v>0</v>
      </c>
      <c r="G69" s="124">
        <v>0</v>
      </c>
    </row>
    <row r="70" spans="1:7" s="91" customFormat="1">
      <c r="A70" s="154">
        <v>484</v>
      </c>
      <c r="B70" s="93"/>
      <c r="C70" s="94" t="s">
        <v>234</v>
      </c>
      <c r="D70" s="95">
        <v>0</v>
      </c>
      <c r="E70" s="124">
        <v>0</v>
      </c>
      <c r="F70" s="124">
        <v>0</v>
      </c>
      <c r="G70" s="124">
        <v>0</v>
      </c>
    </row>
    <row r="71" spans="1:7" s="91" customFormat="1">
      <c r="A71" s="154">
        <v>485</v>
      </c>
      <c r="B71" s="93"/>
      <c r="C71" s="94" t="s">
        <v>235</v>
      </c>
      <c r="D71" s="95">
        <v>0</v>
      </c>
      <c r="E71" s="124">
        <v>0</v>
      </c>
      <c r="F71" s="124">
        <v>0</v>
      </c>
      <c r="G71" s="124">
        <v>0</v>
      </c>
    </row>
    <row r="72" spans="1:7" s="91" customFormat="1">
      <c r="A72" s="154">
        <v>486</v>
      </c>
      <c r="B72" s="93"/>
      <c r="C72" s="94" t="s">
        <v>236</v>
      </c>
      <c r="D72" s="95">
        <v>0</v>
      </c>
      <c r="E72" s="124">
        <v>0</v>
      </c>
      <c r="F72" s="124">
        <v>0</v>
      </c>
      <c r="G72" s="124">
        <v>0</v>
      </c>
    </row>
    <row r="73" spans="1:7" s="106" customFormat="1">
      <c r="A73" s="154">
        <v>487</v>
      </c>
      <c r="B73" s="98"/>
      <c r="C73" s="94" t="s">
        <v>237</v>
      </c>
      <c r="D73" s="130">
        <v>0</v>
      </c>
      <c r="E73" s="124">
        <v>0</v>
      </c>
      <c r="F73" s="124">
        <v>0</v>
      </c>
      <c r="G73" s="124">
        <v>0</v>
      </c>
    </row>
    <row r="74" spans="1:7" s="106" customFormat="1">
      <c r="A74" s="154">
        <v>489</v>
      </c>
      <c r="B74" s="155"/>
      <c r="C74" s="118" t="s">
        <v>59</v>
      </c>
      <c r="D74" s="130">
        <v>0</v>
      </c>
      <c r="E74" s="124">
        <v>0</v>
      </c>
      <c r="F74" s="124">
        <v>0</v>
      </c>
      <c r="G74" s="124">
        <v>0</v>
      </c>
    </row>
    <row r="75" spans="1:7" s="106" customFormat="1">
      <c r="A75" s="156" t="s">
        <v>238</v>
      </c>
      <c r="B75" s="155"/>
      <c r="C75" s="137" t="s">
        <v>239</v>
      </c>
      <c r="D75" s="95">
        <v>0</v>
      </c>
      <c r="E75" s="124">
        <v>0</v>
      </c>
      <c r="F75" s="124">
        <v>0</v>
      </c>
      <c r="G75" s="124">
        <v>0</v>
      </c>
    </row>
    <row r="76" spans="1:7">
      <c r="A76" s="121"/>
      <c r="B76" s="121"/>
      <c r="C76" s="122" t="s">
        <v>240</v>
      </c>
      <c r="D76" s="123">
        <f t="shared" ref="D76:G76" si="5">SUM(D65:D74)-SUM(D57:D64)</f>
        <v>0</v>
      </c>
      <c r="E76" s="123">
        <f t="shared" si="5"/>
        <v>0</v>
      </c>
      <c r="F76" s="123">
        <f t="shared" si="5"/>
        <v>-27290.799999999999</v>
      </c>
      <c r="G76" s="123">
        <f t="shared" si="5"/>
        <v>-27300</v>
      </c>
    </row>
    <row r="77" spans="1:7">
      <c r="A77" s="157"/>
      <c r="B77" s="157"/>
      <c r="C77" s="122" t="s">
        <v>241</v>
      </c>
      <c r="D77" s="123">
        <f t="shared" ref="D77:G77" si="6">D56+D76</f>
        <v>-134854.29999999981</v>
      </c>
      <c r="E77" s="123">
        <f t="shared" si="6"/>
        <v>-73660.669999999882</v>
      </c>
      <c r="F77" s="123">
        <f t="shared" si="6"/>
        <v>-1127552.0000000002</v>
      </c>
      <c r="G77" s="123">
        <f t="shared" si="6"/>
        <v>-65227.999999999862</v>
      </c>
    </row>
    <row r="78" spans="1:7">
      <c r="A78" s="158">
        <v>3</v>
      </c>
      <c r="B78" s="158"/>
      <c r="C78" s="159" t="s">
        <v>242</v>
      </c>
      <c r="D78" s="160">
        <f t="shared" ref="D78:G78" si="7">D20+D21+SUM(D38:D43)+SUM(D57:D64)</f>
        <v>2023543.7000000002</v>
      </c>
      <c r="E78" s="160">
        <f t="shared" si="7"/>
        <v>1998568.67</v>
      </c>
      <c r="F78" s="160">
        <f t="shared" si="7"/>
        <v>3158504.7</v>
      </c>
      <c r="G78" s="160">
        <f t="shared" si="7"/>
        <v>2087395.0999999999</v>
      </c>
    </row>
    <row r="79" spans="1:7">
      <c r="A79" s="158">
        <v>4</v>
      </c>
      <c r="B79" s="158"/>
      <c r="C79" s="159" t="s">
        <v>243</v>
      </c>
      <c r="D79" s="160">
        <f t="shared" ref="D79:G79" si="8">D35+D36+SUM(D44:D53)+SUM(D65:D74)</f>
        <v>1888689.4000000004</v>
      </c>
      <c r="E79" s="160">
        <f t="shared" si="8"/>
        <v>1924908</v>
      </c>
      <c r="F79" s="160">
        <f t="shared" si="8"/>
        <v>2030952.7</v>
      </c>
      <c r="G79" s="160">
        <f t="shared" si="8"/>
        <v>2022167.0999999999</v>
      </c>
    </row>
    <row r="80" spans="1:7">
      <c r="C80" s="135"/>
      <c r="D80" s="161"/>
      <c r="E80" s="161"/>
      <c r="F80" s="161"/>
      <c r="G80" s="161"/>
    </row>
    <row r="81" spans="1:7">
      <c r="A81" s="680" t="s">
        <v>244</v>
      </c>
      <c r="B81" s="681"/>
      <c r="C81" s="681"/>
      <c r="D81" s="162"/>
      <c r="E81" s="163"/>
      <c r="F81" s="163"/>
      <c r="G81" s="163"/>
    </row>
    <row r="82" spans="1:7" s="91" customFormat="1">
      <c r="A82" s="164">
        <v>50</v>
      </c>
      <c r="B82" s="165"/>
      <c r="C82" s="165" t="s">
        <v>245</v>
      </c>
      <c r="D82" s="95">
        <v>107263</v>
      </c>
      <c r="E82" s="124">
        <v>153447</v>
      </c>
      <c r="F82" s="124">
        <v>117130.7</v>
      </c>
      <c r="G82" s="124">
        <v>151355</v>
      </c>
    </row>
    <row r="83" spans="1:7" s="91" customFormat="1">
      <c r="A83" s="164">
        <v>51</v>
      </c>
      <c r="B83" s="165"/>
      <c r="C83" s="165" t="s">
        <v>246</v>
      </c>
      <c r="D83" s="95">
        <v>0</v>
      </c>
      <c r="E83" s="124">
        <v>0</v>
      </c>
      <c r="F83" s="124">
        <v>0</v>
      </c>
      <c r="G83" s="124">
        <v>0</v>
      </c>
    </row>
    <row r="84" spans="1:7" s="91" customFormat="1">
      <c r="A84" s="164">
        <v>52</v>
      </c>
      <c r="B84" s="165"/>
      <c r="C84" s="165" t="s">
        <v>247</v>
      </c>
      <c r="D84" s="95">
        <v>0</v>
      </c>
      <c r="E84" s="124">
        <v>0</v>
      </c>
      <c r="F84" s="124">
        <v>0</v>
      </c>
      <c r="G84" s="124">
        <v>0</v>
      </c>
    </row>
    <row r="85" spans="1:7" s="91" customFormat="1">
      <c r="A85" s="166">
        <v>54</v>
      </c>
      <c r="B85" s="167"/>
      <c r="C85" s="167" t="s">
        <v>248</v>
      </c>
      <c r="D85" s="95">
        <v>15157.4</v>
      </c>
      <c r="E85" s="124">
        <v>7900</v>
      </c>
      <c r="F85" s="124">
        <v>8478.2999999999993</v>
      </c>
      <c r="G85" s="124">
        <v>1800</v>
      </c>
    </row>
    <row r="86" spans="1:7" s="91" customFormat="1">
      <c r="A86" s="166">
        <v>55</v>
      </c>
      <c r="B86" s="167"/>
      <c r="C86" s="167" t="s">
        <v>249</v>
      </c>
      <c r="D86" s="95">
        <v>0</v>
      </c>
      <c r="E86" s="124">
        <v>0</v>
      </c>
      <c r="F86" s="124">
        <v>0</v>
      </c>
      <c r="G86" s="124">
        <v>0</v>
      </c>
    </row>
    <row r="87" spans="1:7" s="91" customFormat="1">
      <c r="A87" s="166">
        <v>56</v>
      </c>
      <c r="B87" s="167"/>
      <c r="C87" s="167" t="s">
        <v>250</v>
      </c>
      <c r="D87" s="95">
        <v>3876.8</v>
      </c>
      <c r="E87" s="124">
        <v>4285</v>
      </c>
      <c r="F87" s="124">
        <v>3389.2</v>
      </c>
      <c r="G87" s="124">
        <v>3965</v>
      </c>
    </row>
    <row r="88" spans="1:7" s="91" customFormat="1">
      <c r="A88" s="164">
        <v>57</v>
      </c>
      <c r="B88" s="165"/>
      <c r="C88" s="165" t="s">
        <v>251</v>
      </c>
      <c r="D88" s="95">
        <v>2811.4</v>
      </c>
      <c r="E88" s="124">
        <v>5300</v>
      </c>
      <c r="F88" s="124">
        <v>3728</v>
      </c>
      <c r="G88" s="124">
        <v>5080</v>
      </c>
    </row>
    <row r="89" spans="1:7" s="91" customFormat="1">
      <c r="A89" s="164">
        <v>580</v>
      </c>
      <c r="B89" s="165"/>
      <c r="C89" s="165" t="s">
        <v>252</v>
      </c>
      <c r="D89" s="95">
        <v>0</v>
      </c>
      <c r="E89" s="124">
        <v>0</v>
      </c>
      <c r="F89" s="124">
        <v>0</v>
      </c>
      <c r="G89" s="124">
        <v>0</v>
      </c>
    </row>
    <row r="90" spans="1:7" s="91" customFormat="1">
      <c r="A90" s="164">
        <v>582</v>
      </c>
      <c r="B90" s="165"/>
      <c r="C90" s="165" t="s">
        <v>253</v>
      </c>
      <c r="D90" s="95">
        <v>0</v>
      </c>
      <c r="E90" s="124">
        <v>0</v>
      </c>
      <c r="F90" s="124">
        <v>0</v>
      </c>
      <c r="G90" s="124">
        <v>0</v>
      </c>
    </row>
    <row r="91" spans="1:7" s="91" customFormat="1">
      <c r="A91" s="164">
        <v>584</v>
      </c>
      <c r="B91" s="165"/>
      <c r="C91" s="165" t="s">
        <v>254</v>
      </c>
      <c r="D91" s="95">
        <v>0</v>
      </c>
      <c r="E91" s="124">
        <v>0</v>
      </c>
      <c r="F91" s="124">
        <v>0</v>
      </c>
      <c r="G91" s="124">
        <v>0</v>
      </c>
    </row>
    <row r="92" spans="1:7" s="91" customFormat="1">
      <c r="A92" s="164">
        <v>585</v>
      </c>
      <c r="B92" s="165"/>
      <c r="C92" s="165" t="s">
        <v>255</v>
      </c>
      <c r="D92" s="95">
        <v>0</v>
      </c>
      <c r="E92" s="124">
        <v>0</v>
      </c>
      <c r="F92" s="124">
        <v>0</v>
      </c>
      <c r="G92" s="124">
        <v>0</v>
      </c>
    </row>
    <row r="93" spans="1:7" s="91" customFormat="1">
      <c r="A93" s="164">
        <v>586</v>
      </c>
      <c r="B93" s="165"/>
      <c r="C93" s="165" t="s">
        <v>256</v>
      </c>
      <c r="D93" s="95">
        <v>0</v>
      </c>
      <c r="E93" s="124">
        <v>0</v>
      </c>
      <c r="F93" s="124">
        <v>0</v>
      </c>
      <c r="G93" s="124">
        <v>0</v>
      </c>
    </row>
    <row r="94" spans="1:7" s="91" customFormat="1">
      <c r="A94" s="168">
        <v>589</v>
      </c>
      <c r="B94" s="169"/>
      <c r="C94" s="169" t="s">
        <v>257</v>
      </c>
      <c r="D94" s="119">
        <v>0</v>
      </c>
      <c r="E94" s="133">
        <v>0</v>
      </c>
      <c r="F94" s="133">
        <v>0</v>
      </c>
      <c r="G94" s="133">
        <v>0</v>
      </c>
    </row>
    <row r="95" spans="1:7">
      <c r="A95" s="170">
        <v>5</v>
      </c>
      <c r="B95" s="171"/>
      <c r="C95" s="171" t="s">
        <v>258</v>
      </c>
      <c r="D95" s="172">
        <f t="shared" ref="D95:G95" si="9">SUM(D82:D94)</f>
        <v>129108.59999999999</v>
      </c>
      <c r="E95" s="172">
        <f t="shared" si="9"/>
        <v>170932</v>
      </c>
      <c r="F95" s="172">
        <f t="shared" si="9"/>
        <v>132726.20000000001</v>
      </c>
      <c r="G95" s="172">
        <f t="shared" si="9"/>
        <v>162200</v>
      </c>
    </row>
    <row r="96" spans="1:7" s="91" customFormat="1">
      <c r="A96" s="164">
        <v>60</v>
      </c>
      <c r="B96" s="165"/>
      <c r="C96" s="165" t="s">
        <v>259</v>
      </c>
      <c r="D96" s="95">
        <v>46.4</v>
      </c>
      <c r="E96" s="124">
        <v>0</v>
      </c>
      <c r="F96" s="124">
        <v>1363.4</v>
      </c>
      <c r="G96" s="124">
        <v>0</v>
      </c>
    </row>
    <row r="97" spans="1:7" s="91" customFormat="1">
      <c r="A97" s="164">
        <v>61</v>
      </c>
      <c r="B97" s="165"/>
      <c r="C97" s="165" t="s">
        <v>260</v>
      </c>
      <c r="D97" s="95">
        <v>0</v>
      </c>
      <c r="E97" s="124">
        <v>0</v>
      </c>
      <c r="F97" s="124">
        <v>0</v>
      </c>
      <c r="G97" s="124">
        <v>0</v>
      </c>
    </row>
    <row r="98" spans="1:7" s="91" customFormat="1">
      <c r="A98" s="164">
        <v>62</v>
      </c>
      <c r="B98" s="165"/>
      <c r="C98" s="165" t="s">
        <v>261</v>
      </c>
      <c r="D98" s="95">
        <v>0</v>
      </c>
      <c r="E98" s="124">
        <v>0</v>
      </c>
      <c r="F98" s="124">
        <v>0</v>
      </c>
      <c r="G98" s="124">
        <v>0</v>
      </c>
    </row>
    <row r="99" spans="1:7" s="91" customFormat="1">
      <c r="A99" s="164">
        <v>63</v>
      </c>
      <c r="B99" s="165"/>
      <c r="C99" s="165" t="s">
        <v>262</v>
      </c>
      <c r="D99" s="95">
        <v>30645.4</v>
      </c>
      <c r="E99" s="124">
        <v>31964.6</v>
      </c>
      <c r="F99" s="124">
        <v>26336.5</v>
      </c>
      <c r="G99" s="124">
        <v>27542.2</v>
      </c>
    </row>
    <row r="100" spans="1:7" s="91" customFormat="1">
      <c r="A100" s="164">
        <v>64</v>
      </c>
      <c r="B100" s="165"/>
      <c r="C100" s="165" t="s">
        <v>263</v>
      </c>
      <c r="D100" s="95">
        <v>8233.2000000000007</v>
      </c>
      <c r="E100" s="124">
        <v>2534.4</v>
      </c>
      <c r="F100" s="124">
        <v>2756.1</v>
      </c>
      <c r="G100" s="124">
        <v>2534.4</v>
      </c>
    </row>
    <row r="101" spans="1:7" s="91" customFormat="1">
      <c r="A101" s="164">
        <v>65</v>
      </c>
      <c r="B101" s="165"/>
      <c r="C101" s="165" t="s">
        <v>264</v>
      </c>
      <c r="D101" s="95">
        <v>0</v>
      </c>
      <c r="E101" s="124">
        <v>0</v>
      </c>
      <c r="F101" s="124">
        <v>0</v>
      </c>
      <c r="G101" s="124">
        <v>0</v>
      </c>
    </row>
    <row r="102" spans="1:7" s="91" customFormat="1">
      <c r="A102" s="164">
        <v>66</v>
      </c>
      <c r="B102" s="165"/>
      <c r="C102" s="165" t="s">
        <v>265</v>
      </c>
      <c r="D102" s="95">
        <v>0</v>
      </c>
      <c r="E102" s="124">
        <v>0</v>
      </c>
      <c r="F102" s="124">
        <v>0</v>
      </c>
      <c r="G102" s="124">
        <v>0</v>
      </c>
    </row>
    <row r="103" spans="1:7" s="91" customFormat="1">
      <c r="A103" s="164">
        <v>67</v>
      </c>
      <c r="B103" s="165"/>
      <c r="C103" s="165" t="s">
        <v>251</v>
      </c>
      <c r="D103" s="130">
        <v>2811.4</v>
      </c>
      <c r="E103" s="96">
        <v>5300</v>
      </c>
      <c r="F103" s="96">
        <v>3728</v>
      </c>
      <c r="G103" s="96">
        <v>5080</v>
      </c>
    </row>
    <row r="104" spans="1:7" s="91" customFormat="1" ht="28">
      <c r="A104" s="173" t="s">
        <v>266</v>
      </c>
      <c r="B104" s="165"/>
      <c r="C104" s="174" t="s">
        <v>267</v>
      </c>
      <c r="D104" s="130">
        <v>0</v>
      </c>
      <c r="E104" s="96">
        <v>0</v>
      </c>
      <c r="F104" s="96">
        <v>0</v>
      </c>
      <c r="G104" s="96">
        <v>0</v>
      </c>
    </row>
    <row r="105" spans="1:7" s="91" customFormat="1" ht="42">
      <c r="A105" s="175" t="s">
        <v>268</v>
      </c>
      <c r="B105" s="169"/>
      <c r="C105" s="176" t="s">
        <v>269</v>
      </c>
      <c r="D105" s="177">
        <v>0</v>
      </c>
      <c r="E105" s="120">
        <v>0</v>
      </c>
      <c r="F105" s="120">
        <v>0</v>
      </c>
      <c r="G105" s="120">
        <v>0</v>
      </c>
    </row>
    <row r="106" spans="1:7">
      <c r="A106" s="170">
        <v>6</v>
      </c>
      <c r="B106" s="171"/>
      <c r="C106" s="171" t="s">
        <v>270</v>
      </c>
      <c r="D106" s="172">
        <f t="shared" ref="D106:G106" si="10">SUM(D96:D105)</f>
        <v>41736.400000000001</v>
      </c>
      <c r="E106" s="172">
        <f t="shared" si="10"/>
        <v>39799</v>
      </c>
      <c r="F106" s="172">
        <f t="shared" si="10"/>
        <v>34184</v>
      </c>
      <c r="G106" s="172">
        <f t="shared" si="10"/>
        <v>35156.600000000006</v>
      </c>
    </row>
    <row r="107" spans="1:7">
      <c r="A107" s="178" t="s">
        <v>271</v>
      </c>
      <c r="B107" s="178"/>
      <c r="C107" s="171" t="s">
        <v>1</v>
      </c>
      <c r="D107" s="172">
        <f t="shared" ref="D107:G107" si="11">(D95-D88)-(D106-D103)</f>
        <v>87372.2</v>
      </c>
      <c r="E107" s="172">
        <f t="shared" si="11"/>
        <v>131133</v>
      </c>
      <c r="F107" s="172">
        <f t="shared" si="11"/>
        <v>98542.200000000012</v>
      </c>
      <c r="G107" s="172">
        <f t="shared" si="11"/>
        <v>127043.4</v>
      </c>
    </row>
    <row r="108" spans="1:7">
      <c r="A108" s="179" t="s">
        <v>272</v>
      </c>
      <c r="B108" s="179"/>
      <c r="C108" s="180" t="s">
        <v>273</v>
      </c>
      <c r="D108" s="280">
        <f t="shared" ref="D108:G108" si="12">D107-D85-D86+D100+D101</f>
        <v>80448</v>
      </c>
      <c r="E108" s="280">
        <f t="shared" si="12"/>
        <v>125767.4</v>
      </c>
      <c r="F108" s="280">
        <f t="shared" si="12"/>
        <v>92820.000000000015</v>
      </c>
      <c r="G108" s="280">
        <f t="shared" si="12"/>
        <v>127777.79999999999</v>
      </c>
    </row>
    <row r="109" spans="1:7">
      <c r="C109" s="135"/>
      <c r="D109" s="161"/>
      <c r="E109" s="161"/>
      <c r="F109" s="161"/>
      <c r="G109" s="161"/>
    </row>
    <row r="110" spans="1:7">
      <c r="A110" s="181" t="s">
        <v>274</v>
      </c>
      <c r="B110" s="182"/>
      <c r="C110" s="181"/>
      <c r="D110" s="161"/>
      <c r="E110" s="161"/>
      <c r="F110" s="161"/>
      <c r="G110" s="161"/>
    </row>
    <row r="111" spans="1:7" s="91" customFormat="1">
      <c r="A111" s="183">
        <v>10</v>
      </c>
      <c r="B111" s="184"/>
      <c r="C111" s="184" t="s">
        <v>275</v>
      </c>
      <c r="D111" s="185">
        <f t="shared" ref="D111:G111" si="13">D112+D117</f>
        <v>1105841.71</v>
      </c>
      <c r="E111" s="186">
        <f t="shared" si="13"/>
        <v>0</v>
      </c>
      <c r="F111" s="186">
        <f t="shared" si="13"/>
        <v>985746.39999999991</v>
      </c>
      <c r="G111" s="186">
        <f t="shared" si="13"/>
        <v>0</v>
      </c>
    </row>
    <row r="112" spans="1:7" s="91" customFormat="1">
      <c r="A112" s="187" t="s">
        <v>276</v>
      </c>
      <c r="B112" s="188"/>
      <c r="C112" s="188" t="s">
        <v>277</v>
      </c>
      <c r="D112" s="185">
        <f t="shared" ref="D112:G112" si="14">D113+D114+D115+D116</f>
        <v>790317.21</v>
      </c>
      <c r="E112" s="186">
        <f t="shared" si="14"/>
        <v>0</v>
      </c>
      <c r="F112" s="186">
        <f t="shared" si="14"/>
        <v>656723.19999999995</v>
      </c>
      <c r="G112" s="186">
        <f t="shared" si="14"/>
        <v>0</v>
      </c>
    </row>
    <row r="113" spans="1:7" s="91" customFormat="1">
      <c r="A113" s="189" t="s">
        <v>278</v>
      </c>
      <c r="B113" s="190"/>
      <c r="C113" s="190" t="s">
        <v>279</v>
      </c>
      <c r="D113" s="95">
        <v>675956.3</v>
      </c>
      <c r="E113" s="124"/>
      <c r="F113" s="124">
        <v>522795.9</v>
      </c>
      <c r="G113" s="124"/>
    </row>
    <row r="114" spans="1:7" s="153" customFormat="1" ht="15" customHeight="1">
      <c r="A114" s="191">
        <v>102</v>
      </c>
      <c r="B114" s="192"/>
      <c r="C114" s="192" t="s">
        <v>280</v>
      </c>
      <c r="D114" s="143">
        <v>20000</v>
      </c>
      <c r="E114" s="144"/>
      <c r="F114" s="144">
        <v>20000</v>
      </c>
      <c r="G114" s="144"/>
    </row>
    <row r="115" spans="1:7" s="91" customFormat="1">
      <c r="A115" s="189">
        <v>104</v>
      </c>
      <c r="B115" s="190"/>
      <c r="C115" s="190" t="s">
        <v>281</v>
      </c>
      <c r="D115" s="95">
        <v>90479.96</v>
      </c>
      <c r="E115" s="124"/>
      <c r="F115" s="124">
        <v>109974.1</v>
      </c>
      <c r="G115" s="124"/>
    </row>
    <row r="116" spans="1:7" s="91" customFormat="1">
      <c r="A116" s="189">
        <v>106</v>
      </c>
      <c r="B116" s="190"/>
      <c r="C116" s="190" t="s">
        <v>282</v>
      </c>
      <c r="D116" s="95">
        <v>3880.95</v>
      </c>
      <c r="E116" s="124"/>
      <c r="F116" s="124">
        <v>3953.2</v>
      </c>
      <c r="G116" s="124"/>
    </row>
    <row r="117" spans="1:7" s="91" customFormat="1">
      <c r="A117" s="187" t="s">
        <v>283</v>
      </c>
      <c r="B117" s="188"/>
      <c r="C117" s="188" t="s">
        <v>284</v>
      </c>
      <c r="D117" s="185">
        <f t="shared" ref="D117:G117" si="15">D118+D119+D120</f>
        <v>315524.5</v>
      </c>
      <c r="E117" s="186">
        <f t="shared" si="15"/>
        <v>0</v>
      </c>
      <c r="F117" s="186">
        <f t="shared" si="15"/>
        <v>329023.19999999995</v>
      </c>
      <c r="G117" s="186">
        <f t="shared" si="15"/>
        <v>0</v>
      </c>
    </row>
    <row r="118" spans="1:7" s="91" customFormat="1">
      <c r="A118" s="189">
        <v>107</v>
      </c>
      <c r="B118" s="190"/>
      <c r="C118" s="190" t="s">
        <v>285</v>
      </c>
      <c r="D118" s="95">
        <v>149611</v>
      </c>
      <c r="E118" s="124"/>
      <c r="F118" s="124">
        <v>162046.79999999999</v>
      </c>
      <c r="G118" s="124"/>
    </row>
    <row r="119" spans="1:7" s="91" customFormat="1">
      <c r="A119" s="189">
        <v>108</v>
      </c>
      <c r="B119" s="190"/>
      <c r="C119" s="190" t="s">
        <v>286</v>
      </c>
      <c r="D119" s="95">
        <v>165913.5</v>
      </c>
      <c r="E119" s="124"/>
      <c r="F119" s="124">
        <v>166976.4</v>
      </c>
      <c r="G119" s="124"/>
    </row>
    <row r="120" spans="1:7" s="195" customFormat="1" ht="14">
      <c r="A120" s="191">
        <v>109</v>
      </c>
      <c r="B120" s="193"/>
      <c r="C120" s="193" t="s">
        <v>287</v>
      </c>
      <c r="D120" s="131">
        <v>0</v>
      </c>
      <c r="E120" s="194"/>
      <c r="F120" s="194"/>
      <c r="G120" s="194"/>
    </row>
    <row r="121" spans="1:7" s="91" customFormat="1">
      <c r="A121" s="187">
        <v>14</v>
      </c>
      <c r="B121" s="188"/>
      <c r="C121" s="188" t="s">
        <v>288</v>
      </c>
      <c r="D121" s="185">
        <f t="shared" ref="D121:G121" si="16">SUM(D122:D130)</f>
        <v>1542198.6</v>
      </c>
      <c r="E121" s="185">
        <f t="shared" si="16"/>
        <v>0</v>
      </c>
      <c r="F121" s="185">
        <f t="shared" si="16"/>
        <v>1569911.7000000002</v>
      </c>
      <c r="G121" s="185">
        <f t="shared" si="16"/>
        <v>0</v>
      </c>
    </row>
    <row r="122" spans="1:7" s="91" customFormat="1">
      <c r="A122" s="189" t="s">
        <v>289</v>
      </c>
      <c r="B122" s="190"/>
      <c r="C122" s="190" t="s">
        <v>290</v>
      </c>
      <c r="D122" s="95">
        <v>1404629.4</v>
      </c>
      <c r="E122" s="124"/>
      <c r="F122" s="124">
        <v>1431362.3</v>
      </c>
      <c r="G122" s="124"/>
    </row>
    <row r="123" spans="1:7" s="91" customFormat="1">
      <c r="A123" s="189">
        <v>144</v>
      </c>
      <c r="B123" s="190"/>
      <c r="C123" s="190" t="s">
        <v>248</v>
      </c>
      <c r="D123" s="95">
        <v>114894.1</v>
      </c>
      <c r="E123" s="124"/>
      <c r="F123" s="124">
        <v>117396.7</v>
      </c>
      <c r="G123" s="124"/>
    </row>
    <row r="124" spans="1:7" s="91" customFormat="1">
      <c r="A124" s="189">
        <v>145</v>
      </c>
      <c r="B124" s="190"/>
      <c r="C124" s="190" t="s">
        <v>291</v>
      </c>
      <c r="D124" s="95">
        <v>22675.1</v>
      </c>
      <c r="E124" s="196"/>
      <c r="F124" s="196">
        <v>22675.1</v>
      </c>
      <c r="G124" s="196"/>
    </row>
    <row r="125" spans="1:7" s="91" customFormat="1">
      <c r="A125" s="189">
        <v>146</v>
      </c>
      <c r="B125" s="190"/>
      <c r="C125" s="190" t="s">
        <v>292</v>
      </c>
      <c r="D125" s="95">
        <v>0</v>
      </c>
      <c r="E125" s="196"/>
      <c r="F125" s="196">
        <v>-1522.4</v>
      </c>
      <c r="G125" s="196"/>
    </row>
    <row r="126" spans="1:7" s="195" customFormat="1" ht="29.5" customHeight="1">
      <c r="A126" s="191" t="s">
        <v>293</v>
      </c>
      <c r="B126" s="193"/>
      <c r="C126" s="193" t="s">
        <v>294</v>
      </c>
      <c r="D126" s="131">
        <v>0</v>
      </c>
      <c r="E126" s="197"/>
      <c r="F126" s="197"/>
      <c r="G126" s="197"/>
    </row>
    <row r="127" spans="1:7" s="91" customFormat="1">
      <c r="A127" s="189">
        <v>1484</v>
      </c>
      <c r="B127" s="190"/>
      <c r="C127" s="190" t="s">
        <v>295</v>
      </c>
      <c r="D127" s="95">
        <v>0</v>
      </c>
      <c r="E127" s="196"/>
      <c r="F127" s="196"/>
      <c r="G127" s="196"/>
    </row>
    <row r="128" spans="1:7" s="91" customFormat="1">
      <c r="A128" s="189">
        <v>1485</v>
      </c>
      <c r="B128" s="190"/>
      <c r="C128" s="190" t="s">
        <v>296</v>
      </c>
      <c r="D128" s="95">
        <v>0</v>
      </c>
      <c r="E128" s="196"/>
      <c r="F128" s="196"/>
      <c r="G128" s="196"/>
    </row>
    <row r="129" spans="1:7" s="91" customFormat="1">
      <c r="A129" s="189">
        <v>1486</v>
      </c>
      <c r="B129" s="190"/>
      <c r="C129" s="190" t="s">
        <v>297</v>
      </c>
      <c r="D129" s="95">
        <v>0</v>
      </c>
      <c r="E129" s="196"/>
      <c r="F129" s="196"/>
      <c r="G129" s="196"/>
    </row>
    <row r="130" spans="1:7" s="91" customFormat="1">
      <c r="A130" s="198">
        <v>1489</v>
      </c>
      <c r="B130" s="199"/>
      <c r="C130" s="199" t="s">
        <v>298</v>
      </c>
      <c r="D130" s="119">
        <v>0</v>
      </c>
      <c r="E130" s="200"/>
      <c r="F130" s="200"/>
      <c r="G130" s="200"/>
    </row>
    <row r="131" spans="1:7">
      <c r="A131" s="201">
        <v>1</v>
      </c>
      <c r="B131" s="202"/>
      <c r="C131" s="201" t="s">
        <v>299</v>
      </c>
      <c r="D131" s="203">
        <f t="shared" ref="D131:G131" si="17">D111+D121</f>
        <v>2648040.31</v>
      </c>
      <c r="E131" s="203">
        <f t="shared" si="17"/>
        <v>0</v>
      </c>
      <c r="F131" s="203">
        <f t="shared" si="17"/>
        <v>2555658.1</v>
      </c>
      <c r="G131" s="203">
        <f t="shared" si="17"/>
        <v>0</v>
      </c>
    </row>
    <row r="132" spans="1:7">
      <c r="C132" s="135"/>
      <c r="D132" s="161"/>
      <c r="E132" s="161"/>
      <c r="F132" s="161"/>
      <c r="G132" s="161"/>
    </row>
    <row r="133" spans="1:7" s="91" customFormat="1">
      <c r="A133" s="183">
        <v>20</v>
      </c>
      <c r="B133" s="184"/>
      <c r="C133" s="184" t="s">
        <v>300</v>
      </c>
      <c r="D133" s="204">
        <f t="shared" ref="D133:G133" si="18">D134+D140</f>
        <v>1960273</v>
      </c>
      <c r="E133" s="318">
        <f t="shared" si="18"/>
        <v>0</v>
      </c>
      <c r="F133" s="318">
        <f t="shared" si="18"/>
        <v>2481121.6</v>
      </c>
      <c r="G133" s="318">
        <f t="shared" si="18"/>
        <v>0</v>
      </c>
    </row>
    <row r="134" spans="1:7" s="91" customFormat="1">
      <c r="A134" s="205" t="s">
        <v>301</v>
      </c>
      <c r="B134" s="188"/>
      <c r="C134" s="188" t="s">
        <v>302</v>
      </c>
      <c r="D134" s="185">
        <f t="shared" ref="D134:G134" si="19">D135+D136+D138+D139</f>
        <v>521317.6</v>
      </c>
      <c r="E134" s="186">
        <f t="shared" si="19"/>
        <v>0</v>
      </c>
      <c r="F134" s="186">
        <f t="shared" si="19"/>
        <v>560922.89999999991</v>
      </c>
      <c r="G134" s="186">
        <f t="shared" si="19"/>
        <v>0</v>
      </c>
    </row>
    <row r="135" spans="1:7" s="106" customFormat="1">
      <c r="A135" s="206">
        <v>200</v>
      </c>
      <c r="B135" s="190"/>
      <c r="C135" s="190" t="s">
        <v>303</v>
      </c>
      <c r="D135" s="95">
        <v>244726.2</v>
      </c>
      <c r="E135" s="124"/>
      <c r="F135" s="124">
        <v>283134</v>
      </c>
      <c r="G135" s="124"/>
    </row>
    <row r="136" spans="1:7" s="106" customFormat="1">
      <c r="A136" s="206">
        <v>201</v>
      </c>
      <c r="B136" s="190"/>
      <c r="C136" s="190" t="s">
        <v>304</v>
      </c>
      <c r="D136" s="95">
        <v>54.6</v>
      </c>
      <c r="E136" s="124"/>
      <c r="F136" s="124">
        <v>75064.600000000006</v>
      </c>
      <c r="G136" s="124"/>
    </row>
    <row r="137" spans="1:7" s="106" customFormat="1">
      <c r="A137" s="207" t="s">
        <v>305</v>
      </c>
      <c r="B137" s="208"/>
      <c r="C137" s="208" t="s">
        <v>306</v>
      </c>
      <c r="D137" s="100">
        <v>0</v>
      </c>
      <c r="E137" s="209"/>
      <c r="F137" s="209"/>
      <c r="G137" s="209"/>
    </row>
    <row r="138" spans="1:7" s="106" customFormat="1">
      <c r="A138" s="206">
        <v>204</v>
      </c>
      <c r="B138" s="190"/>
      <c r="C138" s="190" t="s">
        <v>307</v>
      </c>
      <c r="D138" s="95">
        <v>276536.8</v>
      </c>
      <c r="E138" s="196"/>
      <c r="F138" s="196">
        <v>202724.3</v>
      </c>
      <c r="G138" s="196"/>
    </row>
    <row r="139" spans="1:7" s="106" customFormat="1">
      <c r="A139" s="206">
        <v>205</v>
      </c>
      <c r="B139" s="190"/>
      <c r="C139" s="190" t="s">
        <v>308</v>
      </c>
      <c r="D139" s="95">
        <v>0</v>
      </c>
      <c r="E139" s="196"/>
      <c r="F139" s="196"/>
      <c r="G139" s="196"/>
    </row>
    <row r="140" spans="1:7" s="106" customFormat="1">
      <c r="A140" s="205" t="s">
        <v>309</v>
      </c>
      <c r="B140" s="188"/>
      <c r="C140" s="188" t="s">
        <v>310</v>
      </c>
      <c r="D140" s="185">
        <f t="shared" ref="D140:G140" si="20">D141+D143+D144</f>
        <v>1438955.4</v>
      </c>
      <c r="E140" s="186">
        <f t="shared" si="20"/>
        <v>0</v>
      </c>
      <c r="F140" s="186">
        <f t="shared" si="20"/>
        <v>1920198.7000000002</v>
      </c>
      <c r="G140" s="186">
        <f t="shared" si="20"/>
        <v>0</v>
      </c>
    </row>
    <row r="141" spans="1:7" s="106" customFormat="1">
      <c r="A141" s="206">
        <v>206</v>
      </c>
      <c r="B141" s="190"/>
      <c r="C141" s="190" t="s">
        <v>311</v>
      </c>
      <c r="D141" s="95">
        <v>856820.2</v>
      </c>
      <c r="E141" s="196"/>
      <c r="F141" s="196">
        <v>1790776.6</v>
      </c>
      <c r="G141" s="196"/>
    </row>
    <row r="142" spans="1:7" s="106" customFormat="1">
      <c r="A142" s="207" t="s">
        <v>312</v>
      </c>
      <c r="B142" s="208"/>
      <c r="C142" s="208" t="s">
        <v>313</v>
      </c>
      <c r="D142" s="100">
        <v>0</v>
      </c>
      <c r="E142" s="209"/>
      <c r="F142" s="209"/>
      <c r="G142" s="209"/>
    </row>
    <row r="143" spans="1:7" s="106" customFormat="1">
      <c r="A143" s="206">
        <v>208</v>
      </c>
      <c r="B143" s="190"/>
      <c r="C143" s="190" t="s">
        <v>314</v>
      </c>
      <c r="D143" s="95">
        <v>497727.1</v>
      </c>
      <c r="E143" s="196"/>
      <c r="F143" s="196">
        <v>35478.6</v>
      </c>
      <c r="G143" s="196"/>
    </row>
    <row r="144" spans="1:7" s="111" customFormat="1" ht="28">
      <c r="A144" s="191">
        <v>209</v>
      </c>
      <c r="B144" s="193"/>
      <c r="C144" s="193" t="s">
        <v>315</v>
      </c>
      <c r="D144" s="131">
        <v>84408.1</v>
      </c>
      <c r="E144" s="197"/>
      <c r="F144" s="197">
        <v>93943.5</v>
      </c>
      <c r="G144" s="197"/>
    </row>
    <row r="145" spans="1:7" s="91" customFormat="1">
      <c r="A145" s="205">
        <v>29</v>
      </c>
      <c r="B145" s="188"/>
      <c r="C145" s="188" t="s">
        <v>316</v>
      </c>
      <c r="D145" s="210">
        <v>687767.3</v>
      </c>
      <c r="E145" s="196"/>
      <c r="F145" s="196">
        <v>74536.5</v>
      </c>
      <c r="G145" s="196"/>
    </row>
    <row r="146" spans="1:7" s="91" customFormat="1">
      <c r="A146" s="211" t="s">
        <v>317</v>
      </c>
      <c r="B146" s="212"/>
      <c r="C146" s="212" t="s">
        <v>318</v>
      </c>
      <c r="D146" s="138">
        <v>0</v>
      </c>
      <c r="E146" s="139"/>
      <c r="F146" s="139">
        <v>21106.3</v>
      </c>
      <c r="G146" s="139"/>
    </row>
    <row r="147" spans="1:7">
      <c r="A147" s="201">
        <v>2</v>
      </c>
      <c r="B147" s="202"/>
      <c r="C147" s="201" t="s">
        <v>319</v>
      </c>
      <c r="D147" s="203">
        <f t="shared" ref="D147:G147" si="21">D133+D145</f>
        <v>2648040.2999999998</v>
      </c>
      <c r="E147" s="203">
        <f t="shared" si="21"/>
        <v>0</v>
      </c>
      <c r="F147" s="203">
        <f t="shared" si="21"/>
        <v>2555658.1</v>
      </c>
      <c r="G147" s="203">
        <f t="shared" si="21"/>
        <v>0</v>
      </c>
    </row>
    <row r="148" spans="1:7" ht="7.5" customHeight="1"/>
    <row r="149" spans="1:7" ht="13.5" customHeight="1">
      <c r="A149" s="213" t="s">
        <v>320</v>
      </c>
      <c r="B149" s="214"/>
      <c r="C149" s="215" t="s">
        <v>321</v>
      </c>
      <c r="D149" s="214"/>
      <c r="E149" s="214"/>
      <c r="F149" s="214"/>
      <c r="G149" s="214"/>
    </row>
    <row r="150" spans="1:7">
      <c r="A150" s="289" t="s">
        <v>322</v>
      </c>
      <c r="B150" s="483"/>
      <c r="C150" s="483" t="s">
        <v>82</v>
      </c>
      <c r="D150" s="218">
        <f t="shared" ref="D150:G150" si="22">D77+SUM(D8:D12)-D30-D31+D16-D33+D59+D63-D73+D64-D74-D54+D20-D35</f>
        <v>-52703.099999999817</v>
      </c>
      <c r="E150" s="218">
        <f t="shared" si="22"/>
        <v>-8948.9999999998818</v>
      </c>
      <c r="F150" s="218">
        <f t="shared" si="22"/>
        <v>-1031861.4000000001</v>
      </c>
      <c r="G150" s="218">
        <f t="shared" si="22"/>
        <v>32361.100000000137</v>
      </c>
    </row>
    <row r="151" spans="1:7">
      <c r="A151" s="215" t="s">
        <v>323</v>
      </c>
      <c r="B151" s="484"/>
      <c r="C151" s="484" t="s">
        <v>324</v>
      </c>
      <c r="D151" s="221">
        <f t="shared" ref="D151:G151" si="23">IF(D177=0,0,D150/D177)</f>
        <v>-2.9137087628036594E-2</v>
      </c>
      <c r="E151" s="221">
        <f t="shared" si="23"/>
        <v>-4.8998895457907417E-3</v>
      </c>
      <c r="F151" s="221">
        <f t="shared" si="23"/>
        <v>-0.53184383998297879</v>
      </c>
      <c r="G151" s="221">
        <f t="shared" si="23"/>
        <v>1.6804861528960963E-2</v>
      </c>
    </row>
    <row r="152" spans="1:7" s="296" customFormat="1" ht="28">
      <c r="A152" s="229" t="s">
        <v>325</v>
      </c>
      <c r="B152" s="230"/>
      <c r="C152" s="230" t="s">
        <v>326</v>
      </c>
      <c r="D152" s="295">
        <f t="shared" ref="D152:G152" si="24">IF(D107=0,0,D150/D107)</f>
        <v>-0.60320216270163529</v>
      </c>
      <c r="E152" s="295">
        <f t="shared" si="24"/>
        <v>-6.8243691519296296E-2</v>
      </c>
      <c r="F152" s="295">
        <f t="shared" si="24"/>
        <v>-10.471264087873013</v>
      </c>
      <c r="G152" s="295">
        <f t="shared" si="24"/>
        <v>0.25472476334858907</v>
      </c>
    </row>
    <row r="153" spans="1:7" s="296" customFormat="1" ht="28">
      <c r="A153" s="222" t="s">
        <v>325</v>
      </c>
      <c r="B153" s="223"/>
      <c r="C153" s="223" t="s">
        <v>327</v>
      </c>
      <c r="D153" s="241">
        <f t="shared" ref="D153:G153" si="25">IF(0=D108,0,D150/D108)</f>
        <v>-0.65512007756563018</v>
      </c>
      <c r="E153" s="241">
        <f t="shared" si="25"/>
        <v>-7.115516421584514E-2</v>
      </c>
      <c r="F153" s="241">
        <f t="shared" si="25"/>
        <v>-11.116800258564965</v>
      </c>
      <c r="G153" s="241">
        <f t="shared" si="25"/>
        <v>0.25326073856335091</v>
      </c>
    </row>
    <row r="154" spans="1:7" ht="28">
      <c r="A154" s="226" t="s">
        <v>328</v>
      </c>
      <c r="B154" s="227"/>
      <c r="C154" s="227" t="s">
        <v>329</v>
      </c>
      <c r="D154" s="234">
        <f t="shared" ref="D154:G154" si="26">D150-D107</f>
        <v>-140075.29999999981</v>
      </c>
      <c r="E154" s="234">
        <f t="shared" si="26"/>
        <v>-140081.99999999988</v>
      </c>
      <c r="F154" s="234">
        <f t="shared" si="26"/>
        <v>-1130403.6000000001</v>
      </c>
      <c r="G154" s="234">
        <f t="shared" si="26"/>
        <v>-94682.299999999857</v>
      </c>
    </row>
    <row r="155" spans="1:7" ht="28">
      <c r="A155" s="222" t="s">
        <v>330</v>
      </c>
      <c r="B155" s="223"/>
      <c r="C155" s="223" t="s">
        <v>331</v>
      </c>
      <c r="D155" s="231">
        <f t="shared" ref="D155:G155" si="27">D150-D108</f>
        <v>-133151.0999999998</v>
      </c>
      <c r="E155" s="231">
        <f t="shared" si="27"/>
        <v>-134716.39999999988</v>
      </c>
      <c r="F155" s="231">
        <f t="shared" si="27"/>
        <v>-1124681.4000000001</v>
      </c>
      <c r="G155" s="231">
        <f t="shared" si="27"/>
        <v>-95416.699999999852</v>
      </c>
    </row>
    <row r="156" spans="1:7">
      <c r="A156" s="289" t="s">
        <v>332</v>
      </c>
      <c r="B156" s="483"/>
      <c r="C156" s="483" t="s">
        <v>333</v>
      </c>
      <c r="D156" s="235">
        <f t="shared" ref="D156:G156" si="28">D135+D136-D137+D141-D142</f>
        <v>1101601</v>
      </c>
      <c r="E156" s="235">
        <f t="shared" si="28"/>
        <v>0</v>
      </c>
      <c r="F156" s="235">
        <f t="shared" si="28"/>
        <v>2148975.2000000002</v>
      </c>
      <c r="G156" s="235">
        <f t="shared" si="28"/>
        <v>0</v>
      </c>
    </row>
    <row r="157" spans="1:7">
      <c r="A157" s="301" t="s">
        <v>334</v>
      </c>
      <c r="B157" s="485"/>
      <c r="C157" s="485" t="s">
        <v>335</v>
      </c>
      <c r="D157" s="238">
        <f t="shared" ref="D157:G157" si="29">IF(D177=0,0,D156/D177)</f>
        <v>0.60902384998477987</v>
      </c>
      <c r="E157" s="238">
        <f t="shared" si="29"/>
        <v>0</v>
      </c>
      <c r="F157" s="238">
        <f t="shared" si="29"/>
        <v>1.1076286237630266</v>
      </c>
      <c r="G157" s="238">
        <f t="shared" si="29"/>
        <v>0</v>
      </c>
    </row>
    <row r="158" spans="1:7">
      <c r="A158" s="289" t="s">
        <v>336</v>
      </c>
      <c r="B158" s="483"/>
      <c r="C158" s="483" t="s">
        <v>337</v>
      </c>
      <c r="D158" s="235">
        <f t="shared" ref="D158:G158" si="30">D133-D142-D111</f>
        <v>854431.29</v>
      </c>
      <c r="E158" s="235">
        <f t="shared" si="30"/>
        <v>0</v>
      </c>
      <c r="F158" s="235">
        <f t="shared" si="30"/>
        <v>1495375.2000000002</v>
      </c>
      <c r="G158" s="235">
        <f t="shared" si="30"/>
        <v>0</v>
      </c>
    </row>
    <row r="159" spans="1:7">
      <c r="A159" s="215" t="s">
        <v>338</v>
      </c>
      <c r="B159" s="484"/>
      <c r="C159" s="484" t="s">
        <v>339</v>
      </c>
      <c r="D159" s="239">
        <f t="shared" ref="D159:G159" si="31">D121-D123-D124-D142-D145</f>
        <v>716862.09999999986</v>
      </c>
      <c r="E159" s="239">
        <f t="shared" si="31"/>
        <v>0</v>
      </c>
      <c r="F159" s="239">
        <f t="shared" si="31"/>
        <v>1355303.4000000001</v>
      </c>
      <c r="G159" s="239">
        <f t="shared" si="31"/>
        <v>0</v>
      </c>
    </row>
    <row r="160" spans="1:7">
      <c r="A160" s="215" t="s">
        <v>340</v>
      </c>
      <c r="B160" s="484"/>
      <c r="C160" s="484" t="s">
        <v>341</v>
      </c>
      <c r="D160" s="240">
        <f t="shared" ref="D160:G160" si="32">IF(D175=0,"-",1000*D158/D175)</f>
        <v>3222.4814536841827</v>
      </c>
      <c r="E160" s="240">
        <f t="shared" si="32"/>
        <v>0</v>
      </c>
      <c r="F160" s="240">
        <f t="shared" si="32"/>
        <v>5583.1747785958578</v>
      </c>
      <c r="G160" s="240">
        <f t="shared" si="32"/>
        <v>0</v>
      </c>
    </row>
    <row r="161" spans="1:7">
      <c r="A161" s="215" t="s">
        <v>340</v>
      </c>
      <c r="B161" s="484"/>
      <c r="C161" s="484" t="s">
        <v>342</v>
      </c>
      <c r="D161" s="239">
        <f t="shared" ref="D161:G161" si="33">IF(D175=0,0,1000*(D159/D175))</f>
        <v>2703.6402448453118</v>
      </c>
      <c r="E161" s="239">
        <f t="shared" si="33"/>
        <v>0</v>
      </c>
      <c r="F161" s="239">
        <f t="shared" si="33"/>
        <v>5060.1987783569057</v>
      </c>
      <c r="G161" s="239">
        <f t="shared" si="33"/>
        <v>0</v>
      </c>
    </row>
    <row r="162" spans="1:7">
      <c r="A162" s="301" t="s">
        <v>343</v>
      </c>
      <c r="B162" s="485"/>
      <c r="C162" s="485" t="s">
        <v>344</v>
      </c>
      <c r="D162" s="238">
        <f t="shared" ref="D162:G162" si="34">IF((D22+D23+D65+D66)=0,0,D158/(D22+D23+D65+D66))</f>
        <v>0.94510483709152882</v>
      </c>
      <c r="E162" s="238">
        <f t="shared" si="34"/>
        <v>0</v>
      </c>
      <c r="F162" s="238">
        <f t="shared" si="34"/>
        <v>1.5815955659591501</v>
      </c>
      <c r="G162" s="238">
        <f t="shared" si="34"/>
        <v>0</v>
      </c>
    </row>
    <row r="163" spans="1:7">
      <c r="A163" s="215" t="s">
        <v>345</v>
      </c>
      <c r="B163" s="484"/>
      <c r="C163" s="484" t="s">
        <v>316</v>
      </c>
      <c r="D163" s="218">
        <f t="shared" ref="D163:G163" si="35">D145</f>
        <v>687767.3</v>
      </c>
      <c r="E163" s="218">
        <f t="shared" si="35"/>
        <v>0</v>
      </c>
      <c r="F163" s="218">
        <f t="shared" si="35"/>
        <v>74536.5</v>
      </c>
      <c r="G163" s="218">
        <f t="shared" si="35"/>
        <v>0</v>
      </c>
    </row>
    <row r="164" spans="1:7" ht="28">
      <c r="A164" s="222" t="s">
        <v>346</v>
      </c>
      <c r="B164" s="237"/>
      <c r="C164" s="237" t="s">
        <v>347</v>
      </c>
      <c r="D164" s="241">
        <f t="shared" ref="D164:G164" si="36">IF(D178=0,0,D146/D178)</f>
        <v>0</v>
      </c>
      <c r="E164" s="241">
        <f t="shared" si="36"/>
        <v>0</v>
      </c>
      <c r="F164" s="241">
        <f t="shared" si="36"/>
        <v>6.9419032200750694E-3</v>
      </c>
      <c r="G164" s="241">
        <f t="shared" si="36"/>
        <v>0</v>
      </c>
    </row>
    <row r="165" spans="1:7">
      <c r="A165" s="306" t="s">
        <v>348</v>
      </c>
      <c r="B165" s="486"/>
      <c r="C165" s="486" t="s">
        <v>349</v>
      </c>
      <c r="D165" s="244">
        <f t="shared" ref="D165:G165" si="37">IF(D177=0,0,D180/D177)</f>
        <v>3.8922869101233971E-2</v>
      </c>
      <c r="E165" s="244">
        <f t="shared" si="37"/>
        <v>4.5801510834866381E-2</v>
      </c>
      <c r="F165" s="244">
        <f t="shared" si="37"/>
        <v>4.967124852576485E-2</v>
      </c>
      <c r="G165" s="244">
        <f t="shared" si="37"/>
        <v>4.8088519766877343E-2</v>
      </c>
    </row>
    <row r="166" spans="1:7">
      <c r="A166" s="215" t="s">
        <v>350</v>
      </c>
      <c r="B166" s="484"/>
      <c r="C166" s="484" t="s">
        <v>218</v>
      </c>
      <c r="D166" s="218">
        <f t="shared" ref="D166:G166" si="38">D55</f>
        <v>-9100.0000000000073</v>
      </c>
      <c r="E166" s="218">
        <f t="shared" si="38"/>
        <v>15685.699999999997</v>
      </c>
      <c r="F166" s="218">
        <f t="shared" si="38"/>
        <v>-1084835.9000000001</v>
      </c>
      <c r="G166" s="218">
        <f t="shared" si="38"/>
        <v>30317.1</v>
      </c>
    </row>
    <row r="167" spans="1:7">
      <c r="A167" s="301" t="s">
        <v>351</v>
      </c>
      <c r="B167" s="485"/>
      <c r="C167" s="485" t="s">
        <v>352</v>
      </c>
      <c r="D167" s="238">
        <f t="shared" ref="D167:G167" si="39">IF(0=D111,0,(D44+D45+D46+D47+D48)/D111)</f>
        <v>1.3242039857585042E-2</v>
      </c>
      <c r="E167" s="238">
        <f t="shared" si="39"/>
        <v>0</v>
      </c>
      <c r="F167" s="238">
        <f t="shared" si="39"/>
        <v>1.0999989449619092E-2</v>
      </c>
      <c r="G167" s="238">
        <f t="shared" si="39"/>
        <v>0</v>
      </c>
    </row>
    <row r="168" spans="1:7">
      <c r="A168" s="215" t="s">
        <v>353</v>
      </c>
      <c r="B168" s="483"/>
      <c r="C168" s="483" t="s">
        <v>354</v>
      </c>
      <c r="D168" s="218">
        <f t="shared" ref="D168:G168" si="40">D38-D44</f>
        <v>236.10000000000036</v>
      </c>
      <c r="E168" s="218">
        <f t="shared" si="40"/>
        <v>17232</v>
      </c>
      <c r="F168" s="218">
        <f t="shared" si="40"/>
        <v>25522.5</v>
      </c>
      <c r="G168" s="218">
        <f t="shared" si="40"/>
        <v>19326</v>
      </c>
    </row>
    <row r="169" spans="1:7">
      <c r="A169" s="301" t="s">
        <v>355</v>
      </c>
      <c r="B169" s="485"/>
      <c r="C169" s="485" t="s">
        <v>356</v>
      </c>
      <c r="D169" s="221">
        <f t="shared" ref="D169:G169" si="41">IF(D177=0,0,D168/D177)</f>
        <v>1.3052868595925997E-4</v>
      </c>
      <c r="E169" s="221">
        <f t="shared" si="41"/>
        <v>9.4351208685961759E-3</v>
      </c>
      <c r="F169" s="221">
        <f t="shared" si="41"/>
        <v>1.3154852391964246E-2</v>
      </c>
      <c r="G169" s="221">
        <f t="shared" si="41"/>
        <v>1.0035837901329009E-2</v>
      </c>
    </row>
    <row r="170" spans="1:7">
      <c r="A170" s="215" t="s">
        <v>357</v>
      </c>
      <c r="B170" s="484"/>
      <c r="C170" s="484" t="s">
        <v>358</v>
      </c>
      <c r="D170" s="218">
        <f t="shared" ref="D170:G170" si="42">SUM(D82:D87)+SUM(D89:D94)</f>
        <v>126297.2</v>
      </c>
      <c r="E170" s="218">
        <f t="shared" si="42"/>
        <v>165632</v>
      </c>
      <c r="F170" s="218">
        <f t="shared" si="42"/>
        <v>128998.2</v>
      </c>
      <c r="G170" s="218">
        <f t="shared" si="42"/>
        <v>157120</v>
      </c>
    </row>
    <row r="171" spans="1:7">
      <c r="A171" s="215" t="s">
        <v>359</v>
      </c>
      <c r="B171" s="484"/>
      <c r="C171" s="484" t="s">
        <v>360</v>
      </c>
      <c r="D171" s="239">
        <f t="shared" ref="D171:G171" si="43">SUM(D96:D102)+SUM(D104:D105)</f>
        <v>38925</v>
      </c>
      <c r="E171" s="239">
        <f t="shared" si="43"/>
        <v>34499</v>
      </c>
      <c r="F171" s="239">
        <f t="shared" si="43"/>
        <v>30456</v>
      </c>
      <c r="G171" s="239">
        <f t="shared" si="43"/>
        <v>30076.600000000002</v>
      </c>
    </row>
    <row r="172" spans="1:7">
      <c r="A172" s="306" t="s">
        <v>361</v>
      </c>
      <c r="B172" s="486"/>
      <c r="C172" s="486" t="s">
        <v>362</v>
      </c>
      <c r="D172" s="244">
        <f t="shared" ref="D172:G172" si="44">IF(D184=0,0,D170/D184)</f>
        <v>6.4846392024384428E-2</v>
      </c>
      <c r="E172" s="244">
        <f t="shared" si="44"/>
        <v>8.2873514218867891E-2</v>
      </c>
      <c r="F172" s="244">
        <f t="shared" si="44"/>
        <v>4.1720296052645406E-2</v>
      </c>
      <c r="G172" s="244">
        <f t="shared" si="44"/>
        <v>7.6777420245451242E-2</v>
      </c>
    </row>
    <row r="173" spans="1:7">
      <c r="A173" s="389"/>
    </row>
    <row r="174" spans="1:7">
      <c r="A174" s="310" t="s">
        <v>363</v>
      </c>
      <c r="B174" s="248"/>
      <c r="C174" s="247"/>
      <c r="D174" s="161"/>
      <c r="E174" s="161"/>
      <c r="F174" s="161"/>
      <c r="G174" s="161"/>
    </row>
    <row r="175" spans="1:7" s="91" customFormat="1">
      <c r="A175" s="312" t="s">
        <v>364</v>
      </c>
      <c r="B175" s="248"/>
      <c r="C175" s="248" t="s">
        <v>387</v>
      </c>
      <c r="D175" s="246">
        <v>265147</v>
      </c>
      <c r="E175" s="246">
        <v>265946</v>
      </c>
      <c r="F175" s="246">
        <v>267836</v>
      </c>
      <c r="G175" s="246">
        <v>267614</v>
      </c>
    </row>
    <row r="176" spans="1:7">
      <c r="A176" s="310" t="s">
        <v>366</v>
      </c>
      <c r="B176" s="248"/>
      <c r="C176" s="248"/>
      <c r="D176" s="248"/>
      <c r="E176" s="248"/>
      <c r="F176" s="248"/>
      <c r="G176" s="248"/>
    </row>
    <row r="177" spans="1:7">
      <c r="A177" s="312" t="s">
        <v>367</v>
      </c>
      <c r="B177" s="248"/>
      <c r="C177" s="248" t="s">
        <v>368</v>
      </c>
      <c r="D177" s="249">
        <f t="shared" ref="D177:G177" si="45">SUM(D22:D32)+SUM(D44:D53)+SUM(D65:D72)+D75</f>
        <v>1808797.8000000003</v>
      </c>
      <c r="E177" s="249">
        <f t="shared" si="45"/>
        <v>1826367.7</v>
      </c>
      <c r="F177" s="249">
        <f t="shared" si="45"/>
        <v>1940158.5999999999</v>
      </c>
      <c r="G177" s="249">
        <f t="shared" si="45"/>
        <v>1925698.7</v>
      </c>
    </row>
    <row r="178" spans="1:7">
      <c r="A178" s="312" t="s">
        <v>369</v>
      </c>
      <c r="B178" s="248"/>
      <c r="C178" s="248" t="s">
        <v>370</v>
      </c>
      <c r="D178" s="249">
        <f t="shared" ref="D178:G178" si="46">D78-D17-D20-D59-D63-D64</f>
        <v>1943652.1</v>
      </c>
      <c r="E178" s="249">
        <f t="shared" si="46"/>
        <v>1900028.3699999999</v>
      </c>
      <c r="F178" s="249">
        <f t="shared" si="46"/>
        <v>3040419.8000000003</v>
      </c>
      <c r="G178" s="249">
        <f t="shared" si="46"/>
        <v>1963626.7</v>
      </c>
    </row>
    <row r="179" spans="1:7">
      <c r="A179" s="312"/>
      <c r="B179" s="248"/>
      <c r="C179" s="248" t="s">
        <v>371</v>
      </c>
      <c r="D179" s="249">
        <f t="shared" ref="D179:G179" si="47">D178+D170</f>
        <v>2069949.3</v>
      </c>
      <c r="E179" s="249">
        <f t="shared" si="47"/>
        <v>2065660.3699999999</v>
      </c>
      <c r="F179" s="249">
        <f t="shared" si="47"/>
        <v>3169418.0000000005</v>
      </c>
      <c r="G179" s="249">
        <f t="shared" si="47"/>
        <v>2120746.7000000002</v>
      </c>
    </row>
    <row r="180" spans="1:7">
      <c r="A180" s="312" t="s">
        <v>372</v>
      </c>
      <c r="B180" s="248"/>
      <c r="C180" s="248" t="s">
        <v>373</v>
      </c>
      <c r="D180" s="249">
        <f t="shared" ref="D180:G180" si="48">D38-D44+D8+D9+D10+D16-D33</f>
        <v>70403.599999999991</v>
      </c>
      <c r="E180" s="249">
        <f t="shared" si="48"/>
        <v>83650.399999999994</v>
      </c>
      <c r="F180" s="249">
        <f t="shared" si="48"/>
        <v>96370.099999999991</v>
      </c>
      <c r="G180" s="249">
        <f t="shared" si="48"/>
        <v>92604</v>
      </c>
    </row>
    <row r="181" spans="1:7" ht="27.5" customHeight="1">
      <c r="A181" s="315" t="s">
        <v>374</v>
      </c>
      <c r="B181" s="251"/>
      <c r="C181" s="251" t="s">
        <v>375</v>
      </c>
      <c r="D181" s="487">
        <f t="shared" ref="D181:G181" si="49">D22+D23+D24+D25+D26+D29+SUM(D44:D47)+SUM(D49:D53)-D54+D32-D33+SUM(D65:D70)+D72</f>
        <v>1806982.1</v>
      </c>
      <c r="E181" s="252">
        <f t="shared" si="49"/>
        <v>1824031</v>
      </c>
      <c r="F181" s="252">
        <f t="shared" si="49"/>
        <v>1935576.9</v>
      </c>
      <c r="G181" s="252">
        <f t="shared" si="49"/>
        <v>1921676.1</v>
      </c>
    </row>
    <row r="182" spans="1:7">
      <c r="A182" s="317" t="s">
        <v>376</v>
      </c>
      <c r="B182" s="251"/>
      <c r="C182" s="251" t="s">
        <v>377</v>
      </c>
      <c r="D182" s="487">
        <f t="shared" ref="D182:G182" si="50">D181+D171</f>
        <v>1845907.1</v>
      </c>
      <c r="E182" s="252">
        <f t="shared" si="50"/>
        <v>1858530</v>
      </c>
      <c r="F182" s="252">
        <f t="shared" si="50"/>
        <v>1966032.9</v>
      </c>
      <c r="G182" s="252">
        <f t="shared" si="50"/>
        <v>1951752.7000000002</v>
      </c>
    </row>
    <row r="183" spans="1:7">
      <c r="A183" s="317" t="s">
        <v>378</v>
      </c>
      <c r="B183" s="251"/>
      <c r="C183" s="251" t="s">
        <v>379</v>
      </c>
      <c r="D183" s="252">
        <f t="shared" ref="D183" si="51">D4+D5-D7+D38+D39+D40+D41+D43+D13-D16+D57+D58+D60+D62</f>
        <v>1821339.3</v>
      </c>
      <c r="E183" s="252">
        <f>E4+E5-E7+E38+E39+E40+E41+E43+E13-E16+E57+E58+E60+E62</f>
        <v>1832980</v>
      </c>
      <c r="F183" s="252">
        <f>F4+F5-F7+F38+F39+F40+F41+F43+F13-F16+F57+F58+F60+F62</f>
        <v>2962978.9</v>
      </c>
      <c r="G183" s="252">
        <f>G4+G5-G7+G38+G39+G40+G41+G43+G13-G16+G57+G58+G60+G62</f>
        <v>1889315</v>
      </c>
    </row>
    <row r="184" spans="1:7">
      <c r="A184" s="317" t="s">
        <v>380</v>
      </c>
      <c r="B184" s="251"/>
      <c r="C184" s="251" t="s">
        <v>381</v>
      </c>
      <c r="D184" s="487">
        <f t="shared" ref="D184:G184" si="52">D183+D170</f>
        <v>1947636.5</v>
      </c>
      <c r="E184" s="252">
        <f t="shared" si="52"/>
        <v>1998612</v>
      </c>
      <c r="F184" s="252">
        <f t="shared" si="52"/>
        <v>3091977.1</v>
      </c>
      <c r="G184" s="252">
        <f t="shared" si="52"/>
        <v>2046435</v>
      </c>
    </row>
    <row r="185" spans="1:7">
      <c r="A185" s="317"/>
      <c r="B185" s="251"/>
      <c r="C185" s="251" t="s">
        <v>382</v>
      </c>
      <c r="D185" s="487">
        <f t="shared" ref="D185:G186" si="53">D181-D183</f>
        <v>-14357.199999999953</v>
      </c>
      <c r="E185" s="252">
        <f t="shared" si="53"/>
        <v>-8949</v>
      </c>
      <c r="F185" s="252">
        <f t="shared" si="53"/>
        <v>-1027402</v>
      </c>
      <c r="G185" s="252">
        <f t="shared" si="53"/>
        <v>32361.100000000093</v>
      </c>
    </row>
    <row r="186" spans="1:7">
      <c r="A186" s="317"/>
      <c r="B186" s="251"/>
      <c r="C186" s="251" t="s">
        <v>383</v>
      </c>
      <c r="D186" s="487">
        <f t="shared" si="53"/>
        <v>-101729.39999999991</v>
      </c>
      <c r="E186" s="252">
        <f t="shared" si="53"/>
        <v>-140082</v>
      </c>
      <c r="F186" s="252">
        <f t="shared" si="53"/>
        <v>-1125944.2000000002</v>
      </c>
      <c r="G186" s="252">
        <f t="shared" si="53"/>
        <v>-94682.299999999814</v>
      </c>
    </row>
  </sheetData>
  <sheetProtection selectLockedCells="1" sort="0" autoFilter="0" pivotTables="0"/>
  <autoFilter ref="A1:G79" xr:uid="{00000000-0009-0000-0000-00000B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16383" man="1"/>
    <brk id="147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AM189"/>
  <sheetViews>
    <sheetView tabSelected="1" zoomScale="115" zoomScaleNormal="115" workbookViewId="0">
      <pane xSplit="3" ySplit="2" topLeftCell="D3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11.5" defaultRowHeight="13"/>
  <cols>
    <col min="1" max="1" width="15.1640625" style="84" customWidth="1"/>
    <col min="2" max="2" width="3.6640625" style="84" customWidth="1"/>
    <col min="3" max="3" width="44.6640625" style="84" customWidth="1"/>
    <col min="4" max="5" width="11.5" style="84"/>
    <col min="6" max="7" width="11.5" style="84" customWidth="1"/>
    <col min="8" max="16384" width="11.5" style="84"/>
  </cols>
  <sheetData>
    <row r="1" spans="1:39" s="77" customFormat="1" ht="18" customHeight="1">
      <c r="A1" s="319" t="s">
        <v>156</v>
      </c>
      <c r="B1" s="319" t="s">
        <v>392</v>
      </c>
      <c r="C1" s="319" t="s">
        <v>393</v>
      </c>
      <c r="D1" s="74" t="s">
        <v>7</v>
      </c>
      <c r="E1" s="75" t="s">
        <v>9</v>
      </c>
      <c r="F1" s="74" t="s">
        <v>7</v>
      </c>
      <c r="G1" s="75" t="s">
        <v>9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</row>
    <row r="2" spans="1:39" s="83" customFormat="1" ht="15" customHeight="1">
      <c r="A2" s="78"/>
      <c r="B2" s="79"/>
      <c r="C2" s="80" t="s">
        <v>158</v>
      </c>
      <c r="D2" s="81">
        <v>2014</v>
      </c>
      <c r="E2" s="82">
        <v>2015</v>
      </c>
      <c r="F2" s="81">
        <v>2015</v>
      </c>
      <c r="G2" s="82">
        <v>2016</v>
      </c>
    </row>
    <row r="3" spans="1:39" ht="15" customHeight="1">
      <c r="A3" s="678" t="s">
        <v>159</v>
      </c>
      <c r="B3" s="679"/>
      <c r="C3" s="679"/>
      <c r="E3" s="394" t="s">
        <v>389</v>
      </c>
      <c r="F3" s="85"/>
      <c r="G3" s="85"/>
    </row>
    <row r="4" spans="1:39" s="91" customFormat="1" ht="12.75" customHeight="1">
      <c r="A4" s="86">
        <v>30</v>
      </c>
      <c r="B4" s="87"/>
      <c r="C4" s="88" t="s">
        <v>14</v>
      </c>
      <c r="D4" s="89">
        <v>1154962.2379999999</v>
      </c>
      <c r="E4" s="90">
        <v>1213678.2549999999</v>
      </c>
      <c r="F4" s="90">
        <v>1214695.1100000001</v>
      </c>
      <c r="G4" s="90">
        <v>1611373.1780000001</v>
      </c>
    </row>
    <row r="5" spans="1:39" s="91" customFormat="1" ht="12.75" customHeight="1">
      <c r="A5" s="92">
        <v>31</v>
      </c>
      <c r="B5" s="93"/>
      <c r="C5" s="94" t="s">
        <v>160</v>
      </c>
      <c r="D5" s="95">
        <v>475120.31300000002</v>
      </c>
      <c r="E5" s="96">
        <v>429979.89899999998</v>
      </c>
      <c r="F5" s="96">
        <v>448928.07299999997</v>
      </c>
      <c r="G5" s="96">
        <v>436730.61800000002</v>
      </c>
    </row>
    <row r="6" spans="1:39" s="91" customFormat="1" ht="12.75" customHeight="1">
      <c r="A6" s="97" t="s">
        <v>17</v>
      </c>
      <c r="B6" s="98"/>
      <c r="C6" s="99" t="s">
        <v>161</v>
      </c>
      <c r="D6" s="100">
        <v>53957.743000000002</v>
      </c>
      <c r="E6" s="96">
        <v>39091.983999999997</v>
      </c>
      <c r="F6" s="96">
        <v>42911.752999999997</v>
      </c>
      <c r="G6" s="96">
        <v>39008.663</v>
      </c>
    </row>
    <row r="7" spans="1:39" s="91" customFormat="1" ht="12.75" customHeight="1">
      <c r="A7" s="97" t="s">
        <v>162</v>
      </c>
      <c r="B7" s="98"/>
      <c r="C7" s="99" t="s">
        <v>163</v>
      </c>
      <c r="D7" s="100">
        <v>-350.858</v>
      </c>
      <c r="E7" s="96">
        <v>81.099999999999994</v>
      </c>
      <c r="F7" s="96">
        <v>195.803</v>
      </c>
      <c r="G7" s="96">
        <v>76.165000000000006</v>
      </c>
    </row>
    <row r="8" spans="1:39" s="91" customFormat="1" ht="12.75" customHeight="1">
      <c r="A8" s="101">
        <v>330</v>
      </c>
      <c r="B8" s="93"/>
      <c r="C8" s="94" t="s">
        <v>164</v>
      </c>
      <c r="D8" s="95">
        <f>3711.665+1184.002+162141.398</f>
        <v>167037.06499999997</v>
      </c>
      <c r="E8" s="96">
        <f>4103.521+1502.683+164465.582</f>
        <v>170071.78599999999</v>
      </c>
      <c r="F8" s="96">
        <v>175216.51500000001</v>
      </c>
      <c r="G8" s="96">
        <v>177892.20699999999</v>
      </c>
    </row>
    <row r="9" spans="1:39" s="91" customFormat="1" ht="12.75" customHeight="1">
      <c r="A9" s="101">
        <v>332</v>
      </c>
      <c r="B9" s="93"/>
      <c r="C9" s="94" t="s">
        <v>165</v>
      </c>
      <c r="D9" s="95">
        <f>670.686+4.139+6105.772</f>
        <v>6780.5969999999998</v>
      </c>
      <c r="E9" s="96">
        <f>434.783+20+6866.829</f>
        <v>7321.6120000000001</v>
      </c>
      <c r="F9" s="96">
        <v>7348.3550000000005</v>
      </c>
      <c r="G9" s="96">
        <v>8852.5529999999999</v>
      </c>
    </row>
    <row r="10" spans="1:39" s="91" customFormat="1" ht="12.75" customHeight="1">
      <c r="A10" s="101">
        <v>339</v>
      </c>
      <c r="B10" s="93"/>
      <c r="C10" s="94" t="s">
        <v>166</v>
      </c>
      <c r="D10" s="95">
        <v>0</v>
      </c>
      <c r="E10" s="96">
        <v>0</v>
      </c>
      <c r="F10" s="96">
        <v>0</v>
      </c>
      <c r="G10" s="96">
        <v>0</v>
      </c>
    </row>
    <row r="11" spans="1:39" s="91" customFormat="1" ht="12.75" customHeight="1">
      <c r="A11" s="92">
        <v>350</v>
      </c>
      <c r="B11" s="93"/>
      <c r="C11" s="94" t="s">
        <v>167</v>
      </c>
      <c r="D11" s="95">
        <v>0</v>
      </c>
      <c r="E11" s="96">
        <v>0</v>
      </c>
      <c r="F11" s="96">
        <v>0</v>
      </c>
      <c r="G11" s="96">
        <v>0</v>
      </c>
    </row>
    <row r="12" spans="1:39" s="106" customFormat="1" ht="14">
      <c r="A12" s="102">
        <v>351</v>
      </c>
      <c r="B12" s="103"/>
      <c r="C12" s="104" t="s">
        <v>168</v>
      </c>
      <c r="D12" s="130">
        <v>0</v>
      </c>
      <c r="E12" s="96">
        <v>0</v>
      </c>
      <c r="F12" s="96">
        <v>0</v>
      </c>
      <c r="G12" s="96">
        <v>0</v>
      </c>
    </row>
    <row r="13" spans="1:39" s="91" customFormat="1" ht="12.75" customHeight="1">
      <c r="A13" s="92">
        <v>36</v>
      </c>
      <c r="B13" s="93"/>
      <c r="C13" s="94" t="s">
        <v>169</v>
      </c>
      <c r="D13" s="130">
        <f>1919139.408+15396.578</f>
        <v>1934535.986</v>
      </c>
      <c r="E13" s="130">
        <f>1946322.794</f>
        <v>1946322.794</v>
      </c>
      <c r="F13" s="96">
        <v>1864334.4850000001</v>
      </c>
      <c r="G13" s="96">
        <v>2507932.1830000002</v>
      </c>
    </row>
    <row r="14" spans="1:39" s="91" customFormat="1" ht="12.75" customHeight="1">
      <c r="A14" s="107" t="s">
        <v>170</v>
      </c>
      <c r="B14" s="93"/>
      <c r="C14" s="108" t="s">
        <v>171</v>
      </c>
      <c r="D14" s="130">
        <f>86497.286+163290.618+45860</f>
        <v>295647.90399999998</v>
      </c>
      <c r="E14" s="96">
        <f>80920+165671.5+43780</f>
        <v>290371.5</v>
      </c>
      <c r="F14" s="96">
        <v>290850.35199999996</v>
      </c>
      <c r="G14" s="96">
        <v>267382.5</v>
      </c>
    </row>
    <row r="15" spans="1:39" s="91" customFormat="1" ht="12.75" customHeight="1">
      <c r="A15" s="107" t="s">
        <v>172</v>
      </c>
      <c r="B15" s="93"/>
      <c r="C15" s="108" t="s">
        <v>173</v>
      </c>
      <c r="D15" s="130">
        <f>3198.527+6504.122</f>
        <v>9702.6490000000013</v>
      </c>
      <c r="E15" s="96">
        <f>2782.5+7450</f>
        <v>10232.5</v>
      </c>
      <c r="F15" s="96">
        <v>9555.1710000000003</v>
      </c>
      <c r="G15" s="96">
        <v>10432.5</v>
      </c>
    </row>
    <row r="16" spans="1:39" s="111" customFormat="1" ht="26.25" customHeight="1">
      <c r="A16" s="107" t="s">
        <v>174</v>
      </c>
      <c r="B16" s="109"/>
      <c r="C16" s="108" t="s">
        <v>175</v>
      </c>
      <c r="D16" s="395">
        <v>15396.578</v>
      </c>
      <c r="E16" s="395">
        <f>2500+8741.819</f>
        <v>11241.819</v>
      </c>
      <c r="F16" s="96">
        <v>10855.297</v>
      </c>
      <c r="G16" s="96">
        <v>616891.33700000006</v>
      </c>
    </row>
    <row r="17" spans="1:7" s="113" customFormat="1">
      <c r="A17" s="92">
        <v>37</v>
      </c>
      <c r="B17" s="93"/>
      <c r="C17" s="94" t="s">
        <v>176</v>
      </c>
      <c r="D17" s="130">
        <v>0</v>
      </c>
      <c r="E17" s="96">
        <v>0</v>
      </c>
      <c r="F17" s="96">
        <v>0</v>
      </c>
      <c r="G17" s="96">
        <v>0</v>
      </c>
    </row>
    <row r="18" spans="1:7" s="113" customFormat="1">
      <c r="A18" s="114" t="s">
        <v>177</v>
      </c>
      <c r="B18" s="98"/>
      <c r="C18" s="99" t="s">
        <v>178</v>
      </c>
      <c r="D18" s="130">
        <v>0</v>
      </c>
      <c r="E18" s="96">
        <v>0</v>
      </c>
      <c r="F18" s="96">
        <v>0</v>
      </c>
      <c r="G18" s="96">
        <v>0</v>
      </c>
    </row>
    <row r="19" spans="1:7" s="113" customFormat="1">
      <c r="A19" s="114" t="s">
        <v>179</v>
      </c>
      <c r="B19" s="98"/>
      <c r="C19" s="99" t="s">
        <v>180</v>
      </c>
      <c r="D19" s="130">
        <v>0</v>
      </c>
      <c r="E19" s="96">
        <v>0</v>
      </c>
      <c r="F19" s="96">
        <v>0</v>
      </c>
      <c r="G19" s="96">
        <v>0</v>
      </c>
    </row>
    <row r="20" spans="1:7" s="91" customFormat="1" ht="12.75" customHeight="1">
      <c r="A20" s="116">
        <v>39</v>
      </c>
      <c r="B20" s="117"/>
      <c r="C20" s="118" t="s">
        <v>181</v>
      </c>
      <c r="D20" s="177">
        <v>255383.51800000001</v>
      </c>
      <c r="E20" s="120">
        <v>263506.45299999998</v>
      </c>
      <c r="F20" s="120">
        <v>256219.864</v>
      </c>
      <c r="G20" s="120">
        <v>269050.44500000001</v>
      </c>
    </row>
    <row r="21" spans="1:7" ht="12.75" customHeight="1">
      <c r="A21" s="121"/>
      <c r="B21" s="121"/>
      <c r="C21" s="122" t="s">
        <v>182</v>
      </c>
      <c r="D21" s="123">
        <f t="shared" ref="D21:G21" si="0">D4+D5+SUM(D8:D13)+D17</f>
        <v>3738436.199</v>
      </c>
      <c r="E21" s="123">
        <f t="shared" si="0"/>
        <v>3767374.3459999999</v>
      </c>
      <c r="F21" s="123">
        <f t="shared" si="0"/>
        <v>3710522.5380000006</v>
      </c>
      <c r="G21" s="123">
        <f t="shared" si="0"/>
        <v>4742780.7390000001</v>
      </c>
    </row>
    <row r="22" spans="1:7" s="91" customFormat="1" ht="12.75" customHeight="1">
      <c r="A22" s="101" t="s">
        <v>183</v>
      </c>
      <c r="B22" s="93"/>
      <c r="C22" s="94" t="s">
        <v>184</v>
      </c>
      <c r="D22" s="95">
        <f>1739117.244+698094.639</f>
        <v>2437211.8829999999</v>
      </c>
      <c r="E22" s="124">
        <f>1704200+697000</f>
        <v>2401200</v>
      </c>
      <c r="F22" s="124">
        <v>2619680.3679999998</v>
      </c>
      <c r="G22" s="124">
        <v>2508000</v>
      </c>
    </row>
    <row r="23" spans="1:7" s="91" customFormat="1" ht="12.75" customHeight="1">
      <c r="A23" s="101" t="s">
        <v>185</v>
      </c>
      <c r="B23" s="93"/>
      <c r="C23" s="94" t="s">
        <v>186</v>
      </c>
      <c r="D23" s="95">
        <f>148898.936+33097.529</f>
        <v>181996.465</v>
      </c>
      <c r="E23" s="124">
        <f>114300+33135</f>
        <v>147435</v>
      </c>
      <c r="F23" s="124">
        <v>165644.47399999999</v>
      </c>
      <c r="G23" s="124">
        <v>142230</v>
      </c>
    </row>
    <row r="24" spans="1:7" s="125" customFormat="1" ht="12.75" customHeight="1">
      <c r="A24" s="92">
        <v>41</v>
      </c>
      <c r="B24" s="93"/>
      <c r="C24" s="94" t="s">
        <v>187</v>
      </c>
      <c r="D24" s="95">
        <v>17122.737000000001</v>
      </c>
      <c r="E24" s="124">
        <v>33715.599999999999</v>
      </c>
      <c r="F24" s="124">
        <v>49366.699000000001</v>
      </c>
      <c r="G24" s="124">
        <v>17965.599999999999</v>
      </c>
    </row>
    <row r="25" spans="1:7" s="91" customFormat="1" ht="12.75" customHeight="1">
      <c r="A25" s="126">
        <v>42</v>
      </c>
      <c r="B25" s="127"/>
      <c r="C25" s="94" t="s">
        <v>188</v>
      </c>
      <c r="D25" s="95">
        <v>502169.712</v>
      </c>
      <c r="E25" s="124">
        <v>460943.92700000003</v>
      </c>
      <c r="F25" s="124">
        <v>401446.13650000002</v>
      </c>
      <c r="G25" s="124">
        <v>382154.924</v>
      </c>
    </row>
    <row r="26" spans="1:7" s="129" customFormat="1" ht="12.75" customHeight="1">
      <c r="A26" s="102">
        <v>430</v>
      </c>
      <c r="B26" s="93"/>
      <c r="C26" s="94" t="s">
        <v>189</v>
      </c>
      <c r="D26" s="112">
        <v>7302.4949999999999</v>
      </c>
      <c r="E26" s="128">
        <v>4290.7759999999998</v>
      </c>
      <c r="F26" s="128">
        <v>9408.5939999999991</v>
      </c>
      <c r="G26" s="128">
        <v>8752.4</v>
      </c>
    </row>
    <row r="27" spans="1:7" s="129" customFormat="1" ht="12.75" customHeight="1">
      <c r="A27" s="102">
        <v>431</v>
      </c>
      <c r="B27" s="93"/>
      <c r="C27" s="94" t="s">
        <v>190</v>
      </c>
      <c r="D27" s="112">
        <v>0</v>
      </c>
      <c r="E27" s="128">
        <v>0</v>
      </c>
      <c r="F27" s="128">
        <v>730.62099999999998</v>
      </c>
      <c r="G27" s="128">
        <v>0</v>
      </c>
    </row>
    <row r="28" spans="1:7" s="129" customFormat="1" ht="12.75" customHeight="1">
      <c r="A28" s="102">
        <v>432</v>
      </c>
      <c r="B28" s="93"/>
      <c r="C28" s="94" t="s">
        <v>191</v>
      </c>
      <c r="D28" s="112">
        <v>0</v>
      </c>
      <c r="E28" s="128">
        <v>0</v>
      </c>
      <c r="F28" s="128">
        <v>0</v>
      </c>
      <c r="G28" s="128">
        <v>0</v>
      </c>
    </row>
    <row r="29" spans="1:7" s="129" customFormat="1" ht="12.75" customHeight="1">
      <c r="A29" s="102">
        <v>439</v>
      </c>
      <c r="B29" s="93"/>
      <c r="C29" s="94" t="s">
        <v>192</v>
      </c>
      <c r="D29" s="112">
        <v>15139.592000000001</v>
      </c>
      <c r="E29" s="128">
        <v>289.60700000000003</v>
      </c>
      <c r="F29" s="128">
        <v>16913.253000000001</v>
      </c>
      <c r="G29" s="128">
        <v>2503.8530000000001</v>
      </c>
    </row>
    <row r="30" spans="1:7" s="91" customFormat="1" ht="14">
      <c r="A30" s="102">
        <v>450</v>
      </c>
      <c r="B30" s="103"/>
      <c r="C30" s="104" t="s">
        <v>193</v>
      </c>
      <c r="D30" s="130">
        <v>0</v>
      </c>
      <c r="E30" s="96">
        <v>0</v>
      </c>
      <c r="F30" s="96">
        <v>0</v>
      </c>
      <c r="G30" s="96">
        <v>0</v>
      </c>
    </row>
    <row r="31" spans="1:7" s="106" customFormat="1" ht="14">
      <c r="A31" s="102">
        <v>451</v>
      </c>
      <c r="B31" s="103"/>
      <c r="C31" s="104" t="s">
        <v>194</v>
      </c>
      <c r="D31" s="131">
        <v>0</v>
      </c>
      <c r="E31" s="194">
        <v>0</v>
      </c>
      <c r="F31" s="194">
        <v>0</v>
      </c>
      <c r="G31" s="194">
        <v>0</v>
      </c>
    </row>
    <row r="32" spans="1:7" s="91" customFormat="1" ht="12.75" customHeight="1">
      <c r="A32" s="92">
        <v>46</v>
      </c>
      <c r="B32" s="93"/>
      <c r="C32" s="94" t="s">
        <v>195</v>
      </c>
      <c r="D32" s="95">
        <f>549066.794+12070.21</f>
        <v>561137.00399999996</v>
      </c>
      <c r="E32" s="124">
        <f>546177.243+7825.82</f>
        <v>554003.06299999997</v>
      </c>
      <c r="F32" s="124">
        <v>599469.79</v>
      </c>
      <c r="G32" s="124">
        <v>572550.73600000003</v>
      </c>
    </row>
    <row r="33" spans="1:7" s="106" customFormat="1" ht="12.75" customHeight="1">
      <c r="A33" s="114" t="s">
        <v>196</v>
      </c>
      <c r="B33" s="98"/>
      <c r="C33" s="99" t="s">
        <v>197</v>
      </c>
      <c r="D33" s="95">
        <v>12070.21</v>
      </c>
      <c r="E33" s="132">
        <v>7825.82</v>
      </c>
      <c r="F33" s="132">
        <v>12777.919</v>
      </c>
      <c r="G33" s="132">
        <v>7994.9949999999999</v>
      </c>
    </row>
    <row r="34" spans="1:7" s="91" customFormat="1" ht="15" customHeight="1">
      <c r="A34" s="92">
        <v>47</v>
      </c>
      <c r="B34" s="93"/>
      <c r="C34" s="94" t="s">
        <v>176</v>
      </c>
      <c r="D34" s="95">
        <v>0</v>
      </c>
      <c r="E34" s="124">
        <v>0</v>
      </c>
      <c r="F34" s="124">
        <v>0</v>
      </c>
      <c r="G34" s="124">
        <v>0</v>
      </c>
    </row>
    <row r="35" spans="1:7" s="91" customFormat="1" ht="15" customHeight="1">
      <c r="A35" s="116">
        <v>49</v>
      </c>
      <c r="B35" s="117"/>
      <c r="C35" s="118" t="s">
        <v>198</v>
      </c>
      <c r="D35" s="177">
        <v>255383.51800000001</v>
      </c>
      <c r="E35" s="133">
        <v>263506.45299999998</v>
      </c>
      <c r="F35" s="133">
        <v>256219.864</v>
      </c>
      <c r="G35" s="133">
        <v>269050.44500000001</v>
      </c>
    </row>
    <row r="36" spans="1:7" ht="13.5" customHeight="1">
      <c r="A36" s="121"/>
      <c r="B36" s="134"/>
      <c r="C36" s="122" t="s">
        <v>199</v>
      </c>
      <c r="D36" s="123">
        <f t="shared" ref="D36:G36" si="1">D22+D23+D24+D25+D26+D27+D28+D29+D30+D31+D32+D34</f>
        <v>3722079.8880000003</v>
      </c>
      <c r="E36" s="123">
        <f t="shared" si="1"/>
        <v>3601877.9730000002</v>
      </c>
      <c r="F36" s="123">
        <f t="shared" si="1"/>
        <v>3862659.9354999997</v>
      </c>
      <c r="G36" s="123">
        <f t="shared" si="1"/>
        <v>3634157.5130000003</v>
      </c>
    </row>
    <row r="37" spans="1:7" s="135" customFormat="1" ht="15" customHeight="1">
      <c r="A37" s="121"/>
      <c r="B37" s="134"/>
      <c r="C37" s="122" t="s">
        <v>200</v>
      </c>
      <c r="D37" s="123">
        <f t="shared" ref="D37:G37" si="2">D36-D21</f>
        <v>-16356.310999999754</v>
      </c>
      <c r="E37" s="123">
        <f t="shared" si="2"/>
        <v>-165496.37299999967</v>
      </c>
      <c r="F37" s="123">
        <f t="shared" si="2"/>
        <v>152137.39749999903</v>
      </c>
      <c r="G37" s="123">
        <f t="shared" si="2"/>
        <v>-1108623.2259999998</v>
      </c>
    </row>
    <row r="38" spans="1:7" s="106" customFormat="1" ht="15" customHeight="1">
      <c r="A38" s="101">
        <v>340</v>
      </c>
      <c r="B38" s="93"/>
      <c r="C38" s="94" t="s">
        <v>201</v>
      </c>
      <c r="D38" s="130">
        <v>51095.394</v>
      </c>
      <c r="E38" s="124">
        <v>46517.508999999998</v>
      </c>
      <c r="F38" s="124">
        <v>38362.387000000002</v>
      </c>
      <c r="G38" s="124">
        <v>38465.993999999999</v>
      </c>
    </row>
    <row r="39" spans="1:7" s="106" customFormat="1" ht="15" customHeight="1">
      <c r="A39" s="101">
        <v>341</v>
      </c>
      <c r="B39" s="93"/>
      <c r="C39" s="94" t="s">
        <v>202</v>
      </c>
      <c r="D39" s="95">
        <v>655.14200000000005</v>
      </c>
      <c r="E39" s="124">
        <v>21.8</v>
      </c>
      <c r="F39" s="124">
        <v>275.89800000000002</v>
      </c>
      <c r="G39" s="124">
        <v>22.6</v>
      </c>
    </row>
    <row r="40" spans="1:7" s="106" customFormat="1" ht="15" customHeight="1">
      <c r="A40" s="101">
        <v>342</v>
      </c>
      <c r="B40" s="93"/>
      <c r="C40" s="94" t="s">
        <v>203</v>
      </c>
      <c r="D40" s="95">
        <v>3196.7950000000001</v>
      </c>
      <c r="E40" s="124">
        <v>4351.0739999999996</v>
      </c>
      <c r="F40" s="124">
        <v>3418.886</v>
      </c>
      <c r="G40" s="124">
        <v>4541.84</v>
      </c>
    </row>
    <row r="41" spans="1:7" s="106" customFormat="1" ht="15" customHeight="1">
      <c r="A41" s="101">
        <v>343</v>
      </c>
      <c r="B41" s="93"/>
      <c r="C41" s="94" t="s">
        <v>204</v>
      </c>
      <c r="D41" s="95">
        <v>63657.85</v>
      </c>
      <c r="E41" s="124">
        <v>41777.949000000001</v>
      </c>
      <c r="F41" s="124">
        <v>48044.652000000002</v>
      </c>
      <c r="G41" s="124">
        <v>44873.033000000003</v>
      </c>
    </row>
    <row r="42" spans="1:7" s="106" customFormat="1" ht="15" customHeight="1">
      <c r="A42" s="101">
        <v>344</v>
      </c>
      <c r="B42" s="93"/>
      <c r="C42" s="94" t="s">
        <v>205</v>
      </c>
      <c r="D42" s="95">
        <v>80924.145000000004</v>
      </c>
      <c r="E42" s="124">
        <v>136.9</v>
      </c>
      <c r="F42" s="124">
        <v>81734.157000000007</v>
      </c>
      <c r="G42" s="124">
        <v>0</v>
      </c>
    </row>
    <row r="43" spans="1:7" s="106" customFormat="1" ht="15" customHeight="1">
      <c r="A43" s="101">
        <v>349</v>
      </c>
      <c r="B43" s="93"/>
      <c r="C43" s="94" t="s">
        <v>206</v>
      </c>
      <c r="D43" s="95">
        <v>13.114000000000001</v>
      </c>
      <c r="E43" s="124">
        <v>1.3</v>
      </c>
      <c r="F43" s="124">
        <v>3.68</v>
      </c>
      <c r="G43" s="124">
        <v>1.1000000000000001</v>
      </c>
    </row>
    <row r="44" spans="1:7" s="91" customFormat="1" ht="15" customHeight="1">
      <c r="A44" s="92">
        <v>440</v>
      </c>
      <c r="B44" s="93"/>
      <c r="C44" s="94" t="s">
        <v>207</v>
      </c>
      <c r="D44" s="130">
        <v>23936.37</v>
      </c>
      <c r="E44" s="124">
        <v>19511.044000000002</v>
      </c>
      <c r="F44" s="124">
        <v>29010.735000000001</v>
      </c>
      <c r="G44" s="124">
        <v>24314.581999999999</v>
      </c>
    </row>
    <row r="45" spans="1:7" s="91" customFormat="1" ht="15" customHeight="1">
      <c r="A45" s="92">
        <v>441</v>
      </c>
      <c r="B45" s="93"/>
      <c r="C45" s="94" t="s">
        <v>208</v>
      </c>
      <c r="D45" s="130">
        <v>2422.7660000000001</v>
      </c>
      <c r="E45" s="124">
        <v>5.3</v>
      </c>
      <c r="F45" s="124">
        <v>1438.373</v>
      </c>
      <c r="G45" s="124">
        <v>4.2</v>
      </c>
    </row>
    <row r="46" spans="1:7" s="91" customFormat="1" ht="15" customHeight="1">
      <c r="A46" s="92">
        <v>442</v>
      </c>
      <c r="B46" s="93"/>
      <c r="C46" s="94" t="s">
        <v>209</v>
      </c>
      <c r="D46" s="95">
        <v>1565.0509999999999</v>
      </c>
      <c r="E46" s="96">
        <v>3868.8440000000001</v>
      </c>
      <c r="F46" s="96">
        <v>21350.358</v>
      </c>
      <c r="G46" s="96">
        <v>6</v>
      </c>
    </row>
    <row r="47" spans="1:7" s="91" customFormat="1" ht="15" customHeight="1">
      <c r="A47" s="92">
        <v>443</v>
      </c>
      <c r="B47" s="93"/>
      <c r="C47" s="94" t="s">
        <v>210</v>
      </c>
      <c r="D47" s="130">
        <v>140121.712</v>
      </c>
      <c r="E47" s="124">
        <v>137618.541</v>
      </c>
      <c r="F47" s="124">
        <v>148921.50899999999</v>
      </c>
      <c r="G47" s="124">
        <v>143289.93700000001</v>
      </c>
    </row>
    <row r="48" spans="1:7" s="91" customFormat="1" ht="15" customHeight="1">
      <c r="A48" s="92">
        <v>444</v>
      </c>
      <c r="B48" s="93"/>
      <c r="C48" s="94" t="s">
        <v>205</v>
      </c>
      <c r="D48" s="130">
        <v>120675.819</v>
      </c>
      <c r="E48" s="124">
        <v>0</v>
      </c>
      <c r="F48" s="124">
        <v>92900.743000000002</v>
      </c>
      <c r="G48" s="124">
        <v>0</v>
      </c>
    </row>
    <row r="49" spans="1:7" s="91" customFormat="1" ht="15" customHeight="1">
      <c r="A49" s="92">
        <v>445</v>
      </c>
      <c r="B49" s="93"/>
      <c r="C49" s="94" t="s">
        <v>211</v>
      </c>
      <c r="D49" s="130">
        <v>25731.244999999999</v>
      </c>
      <c r="E49" s="124">
        <v>22152.095000000001</v>
      </c>
      <c r="F49" s="124">
        <v>43836.858</v>
      </c>
      <c r="G49" s="124">
        <v>5071.6620000000003</v>
      </c>
    </row>
    <row r="50" spans="1:7" s="91" customFormat="1" ht="15" customHeight="1">
      <c r="A50" s="92">
        <v>446</v>
      </c>
      <c r="B50" s="93"/>
      <c r="C50" s="94" t="s">
        <v>212</v>
      </c>
      <c r="D50" s="130">
        <v>75552.221999999994</v>
      </c>
      <c r="E50" s="124">
        <v>105858.27</v>
      </c>
      <c r="F50" s="124">
        <v>108802.41099999999</v>
      </c>
      <c r="G50" s="124">
        <v>65461</v>
      </c>
    </row>
    <row r="51" spans="1:7" s="91" customFormat="1" ht="15" customHeight="1">
      <c r="A51" s="92">
        <v>447</v>
      </c>
      <c r="B51" s="93"/>
      <c r="C51" s="94" t="s">
        <v>213</v>
      </c>
      <c r="D51" s="130">
        <v>5152.1629999999996</v>
      </c>
      <c r="E51" s="124">
        <v>5190.6390000000001</v>
      </c>
      <c r="F51" s="124">
        <v>5431.2730000000001</v>
      </c>
      <c r="G51" s="124">
        <v>6249.4840000000004</v>
      </c>
    </row>
    <row r="52" spans="1:7" s="91" customFormat="1" ht="15" customHeight="1">
      <c r="A52" s="92">
        <v>448</v>
      </c>
      <c r="B52" s="93"/>
      <c r="C52" s="94" t="s">
        <v>214</v>
      </c>
      <c r="D52" s="130">
        <v>0</v>
      </c>
      <c r="E52" s="124">
        <v>0</v>
      </c>
      <c r="F52" s="124">
        <v>0</v>
      </c>
      <c r="G52" s="124">
        <v>0</v>
      </c>
    </row>
    <row r="53" spans="1:7" s="91" customFormat="1" ht="15" customHeight="1">
      <c r="A53" s="92">
        <v>449</v>
      </c>
      <c r="B53" s="93"/>
      <c r="C53" s="94" t="s">
        <v>215</v>
      </c>
      <c r="D53" s="130">
        <v>50.186999999999998</v>
      </c>
      <c r="E53" s="124">
        <v>5.3</v>
      </c>
      <c r="F53" s="124">
        <v>457.03399999999999</v>
      </c>
      <c r="G53" s="124">
        <v>5</v>
      </c>
    </row>
    <row r="54" spans="1:7" s="106" customFormat="1" ht="13.5" customHeight="1">
      <c r="A54" s="136" t="s">
        <v>216</v>
      </c>
      <c r="B54" s="137"/>
      <c r="C54" s="137" t="s">
        <v>217</v>
      </c>
      <c r="D54" s="264">
        <v>0</v>
      </c>
      <c r="E54" s="139">
        <v>0</v>
      </c>
      <c r="F54" s="139">
        <v>0</v>
      </c>
      <c r="G54" s="139">
        <v>0</v>
      </c>
    </row>
    <row r="55" spans="1:7" ht="15" customHeight="1">
      <c r="A55" s="134"/>
      <c r="B55" s="134"/>
      <c r="C55" s="122" t="s">
        <v>218</v>
      </c>
      <c r="D55" s="123">
        <f t="shared" ref="D55:G55" si="3">SUM(D44:D53)-SUM(D38:D43)</f>
        <v>195665.09499999997</v>
      </c>
      <c r="E55" s="123">
        <f t="shared" si="3"/>
        <v>201403.50099999999</v>
      </c>
      <c r="F55" s="123">
        <f t="shared" si="3"/>
        <v>280309.63399999996</v>
      </c>
      <c r="G55" s="123">
        <f t="shared" si="3"/>
        <v>156497.29800000001</v>
      </c>
    </row>
    <row r="56" spans="1:7" ht="14.25" customHeight="1">
      <c r="A56" s="134"/>
      <c r="B56" s="134"/>
      <c r="C56" s="122" t="s">
        <v>219</v>
      </c>
      <c r="D56" s="123">
        <f t="shared" ref="D56:G56" si="4">D55+D37</f>
        <v>179308.78400000022</v>
      </c>
      <c r="E56" s="123">
        <f t="shared" si="4"/>
        <v>35907.128000000317</v>
      </c>
      <c r="F56" s="123">
        <f t="shared" si="4"/>
        <v>432447.03149999899</v>
      </c>
      <c r="G56" s="123">
        <f t="shared" si="4"/>
        <v>-952125.92799999984</v>
      </c>
    </row>
    <row r="57" spans="1:7" s="91" customFormat="1" ht="15.75" customHeight="1">
      <c r="A57" s="396">
        <v>380</v>
      </c>
      <c r="B57" s="397"/>
      <c r="C57" s="88" t="s">
        <v>220</v>
      </c>
      <c r="D57" s="89">
        <v>0</v>
      </c>
      <c r="E57" s="272">
        <v>0</v>
      </c>
      <c r="F57" s="272">
        <v>0</v>
      </c>
      <c r="G57" s="272">
        <v>0</v>
      </c>
    </row>
    <row r="58" spans="1:7" s="91" customFormat="1" ht="15.75" customHeight="1">
      <c r="A58" s="140">
        <v>381</v>
      </c>
      <c r="B58" s="141"/>
      <c r="C58" s="142" t="s">
        <v>221</v>
      </c>
      <c r="D58" s="265">
        <v>0</v>
      </c>
      <c r="E58" s="266"/>
      <c r="F58" s="266"/>
      <c r="G58" s="266"/>
    </row>
    <row r="59" spans="1:7" s="91" customFormat="1" ht="15.75" customHeight="1">
      <c r="A59" s="140">
        <v>383</v>
      </c>
      <c r="B59" s="141"/>
      <c r="C59" s="104" t="s">
        <v>222</v>
      </c>
      <c r="D59" s="265">
        <v>0</v>
      </c>
      <c r="E59" s="266"/>
      <c r="F59" s="266"/>
      <c r="G59" s="266"/>
    </row>
    <row r="60" spans="1:7" s="106" customFormat="1" ht="14">
      <c r="A60" s="102">
        <v>3840</v>
      </c>
      <c r="B60" s="103"/>
      <c r="C60" s="104" t="s">
        <v>223</v>
      </c>
      <c r="D60" s="267">
        <v>0</v>
      </c>
      <c r="E60" s="144">
        <v>0</v>
      </c>
      <c r="F60" s="144">
        <v>0</v>
      </c>
      <c r="G60" s="144">
        <v>0</v>
      </c>
    </row>
    <row r="61" spans="1:7" s="106" customFormat="1" ht="14">
      <c r="A61" s="102">
        <v>3841</v>
      </c>
      <c r="B61" s="103"/>
      <c r="C61" s="104" t="s">
        <v>224</v>
      </c>
      <c r="D61" s="145">
        <v>0</v>
      </c>
      <c r="E61" s="146"/>
      <c r="F61" s="146"/>
      <c r="G61" s="146"/>
    </row>
    <row r="62" spans="1:7" s="106" customFormat="1" ht="14">
      <c r="A62" s="102">
        <v>386</v>
      </c>
      <c r="B62" s="103"/>
      <c r="C62" s="149" t="s">
        <v>225</v>
      </c>
      <c r="D62" s="145">
        <v>0</v>
      </c>
      <c r="E62" s="146"/>
      <c r="F62" s="146"/>
      <c r="G62" s="146"/>
    </row>
    <row r="63" spans="1:7" s="106" customFormat="1" ht="28">
      <c r="A63" s="147">
        <v>387</v>
      </c>
      <c r="B63" s="148"/>
      <c r="C63" s="104" t="s">
        <v>226</v>
      </c>
      <c r="D63" s="145">
        <v>0</v>
      </c>
      <c r="E63" s="146"/>
      <c r="F63" s="146"/>
      <c r="G63" s="146"/>
    </row>
    <row r="64" spans="1:7" s="106" customFormat="1">
      <c r="A64" s="102">
        <v>389</v>
      </c>
      <c r="B64" s="103"/>
      <c r="C64" s="94" t="s">
        <v>42</v>
      </c>
      <c r="D64" s="145">
        <v>0</v>
      </c>
      <c r="E64" s="146">
        <v>0</v>
      </c>
      <c r="F64" s="146">
        <v>0</v>
      </c>
      <c r="G64" s="146">
        <v>0</v>
      </c>
    </row>
    <row r="65" spans="1:7" s="91" customFormat="1">
      <c r="A65" s="101" t="s">
        <v>227</v>
      </c>
      <c r="B65" s="93"/>
      <c r="C65" s="94" t="s">
        <v>228</v>
      </c>
      <c r="D65" s="95">
        <v>0</v>
      </c>
      <c r="E65" s="124"/>
      <c r="F65" s="124"/>
      <c r="G65" s="124"/>
    </row>
    <row r="66" spans="1:7" s="153" customFormat="1" ht="14">
      <c r="A66" s="151" t="s">
        <v>229</v>
      </c>
      <c r="B66" s="152"/>
      <c r="C66" s="104" t="s">
        <v>230</v>
      </c>
      <c r="D66" s="143">
        <v>0</v>
      </c>
      <c r="E66" s="144"/>
      <c r="F66" s="144"/>
      <c r="G66" s="144"/>
    </row>
    <row r="67" spans="1:7" s="91" customFormat="1">
      <c r="A67" s="154">
        <v>481</v>
      </c>
      <c r="B67" s="93"/>
      <c r="C67" s="94" t="s">
        <v>231</v>
      </c>
      <c r="D67" s="95">
        <v>0</v>
      </c>
      <c r="E67" s="124"/>
      <c r="F67" s="124"/>
      <c r="G67" s="124"/>
    </row>
    <row r="68" spans="1:7" s="91" customFormat="1">
      <c r="A68" s="154">
        <v>482</v>
      </c>
      <c r="B68" s="93"/>
      <c r="C68" s="94" t="s">
        <v>232</v>
      </c>
      <c r="D68" s="95">
        <v>0</v>
      </c>
      <c r="E68" s="124"/>
      <c r="F68" s="124"/>
      <c r="G68" s="124"/>
    </row>
    <row r="69" spans="1:7" s="91" customFormat="1">
      <c r="A69" s="154">
        <v>483</v>
      </c>
      <c r="B69" s="93"/>
      <c r="C69" s="94" t="s">
        <v>233</v>
      </c>
      <c r="D69" s="95">
        <v>0</v>
      </c>
      <c r="E69" s="124"/>
      <c r="F69" s="124"/>
      <c r="G69" s="124"/>
    </row>
    <row r="70" spans="1:7" s="91" customFormat="1">
      <c r="A70" s="154">
        <v>484</v>
      </c>
      <c r="B70" s="93"/>
      <c r="C70" s="94" t="s">
        <v>234</v>
      </c>
      <c r="D70" s="95">
        <v>0</v>
      </c>
      <c r="E70" s="124"/>
      <c r="F70" s="124"/>
      <c r="G70" s="124"/>
    </row>
    <row r="71" spans="1:7" s="91" customFormat="1">
      <c r="A71" s="154">
        <v>485</v>
      </c>
      <c r="B71" s="93"/>
      <c r="C71" s="94" t="s">
        <v>235</v>
      </c>
      <c r="D71" s="95">
        <v>0</v>
      </c>
      <c r="E71" s="124"/>
      <c r="F71" s="124"/>
      <c r="G71" s="124"/>
    </row>
    <row r="72" spans="1:7" s="91" customFormat="1">
      <c r="A72" s="154">
        <v>486</v>
      </c>
      <c r="B72" s="93"/>
      <c r="C72" s="94" t="s">
        <v>236</v>
      </c>
      <c r="D72" s="95">
        <v>0</v>
      </c>
      <c r="E72" s="124"/>
      <c r="F72" s="124"/>
      <c r="G72" s="124"/>
    </row>
    <row r="73" spans="1:7" s="106" customFormat="1">
      <c r="A73" s="154">
        <v>487</v>
      </c>
      <c r="B73" s="98"/>
      <c r="C73" s="94" t="s">
        <v>237</v>
      </c>
      <c r="D73" s="130">
        <v>0</v>
      </c>
      <c r="E73" s="124">
        <v>0</v>
      </c>
      <c r="F73" s="124">
        <v>0</v>
      </c>
      <c r="G73" s="124">
        <v>0</v>
      </c>
    </row>
    <row r="74" spans="1:7" s="106" customFormat="1">
      <c r="A74" s="154">
        <v>489</v>
      </c>
      <c r="B74" s="155"/>
      <c r="C74" s="118" t="s">
        <v>59</v>
      </c>
      <c r="D74" s="130">
        <v>0</v>
      </c>
      <c r="E74" s="124">
        <v>0</v>
      </c>
      <c r="F74" s="124">
        <v>0</v>
      </c>
      <c r="G74" s="124">
        <v>0</v>
      </c>
    </row>
    <row r="75" spans="1:7" s="106" customFormat="1">
      <c r="A75" s="156" t="s">
        <v>238</v>
      </c>
      <c r="B75" s="155"/>
      <c r="C75" s="137" t="s">
        <v>239</v>
      </c>
      <c r="D75" s="95">
        <v>0</v>
      </c>
      <c r="E75" s="124"/>
      <c r="F75" s="124"/>
      <c r="G75" s="124"/>
    </row>
    <row r="76" spans="1:7">
      <c r="A76" s="121"/>
      <c r="B76" s="121"/>
      <c r="C76" s="122" t="s">
        <v>240</v>
      </c>
      <c r="D76" s="123">
        <f t="shared" ref="D76:G76" si="5">SUM(D65:D74)-SUM(D57:D64)</f>
        <v>0</v>
      </c>
      <c r="E76" s="123">
        <f t="shared" si="5"/>
        <v>0</v>
      </c>
      <c r="F76" s="123">
        <f t="shared" si="5"/>
        <v>0</v>
      </c>
      <c r="G76" s="123">
        <f t="shared" si="5"/>
        <v>0</v>
      </c>
    </row>
    <row r="77" spans="1:7">
      <c r="A77" s="157"/>
      <c r="B77" s="157"/>
      <c r="C77" s="122" t="s">
        <v>241</v>
      </c>
      <c r="D77" s="123">
        <f t="shared" ref="D77:G77" si="6">D56+D76</f>
        <v>179308.78400000022</v>
      </c>
      <c r="E77" s="123">
        <f t="shared" si="6"/>
        <v>35907.128000000317</v>
      </c>
      <c r="F77" s="123">
        <f t="shared" si="6"/>
        <v>432447.03149999899</v>
      </c>
      <c r="G77" s="123">
        <f t="shared" si="6"/>
        <v>-952125.92799999984</v>
      </c>
    </row>
    <row r="78" spans="1:7">
      <c r="A78" s="158">
        <v>3</v>
      </c>
      <c r="B78" s="158"/>
      <c r="C78" s="159" t="s">
        <v>242</v>
      </c>
      <c r="D78" s="160">
        <f t="shared" ref="D78:G78" si="7">D20+D21+SUM(D38:D43)+SUM(D57:D64)</f>
        <v>4193362.1570000001</v>
      </c>
      <c r="E78" s="160">
        <f t="shared" si="7"/>
        <v>4123687.3309999998</v>
      </c>
      <c r="F78" s="160">
        <f t="shared" si="7"/>
        <v>4138582.0620000008</v>
      </c>
      <c r="G78" s="160">
        <f t="shared" si="7"/>
        <v>5099735.7510000002</v>
      </c>
    </row>
    <row r="79" spans="1:7">
      <c r="A79" s="158">
        <v>4</v>
      </c>
      <c r="B79" s="158"/>
      <c r="C79" s="159" t="s">
        <v>243</v>
      </c>
      <c r="D79" s="160">
        <f t="shared" ref="D79:G79" si="8">D35+D36+SUM(D44:D53)+SUM(D65:D74)</f>
        <v>4372670.9410000006</v>
      </c>
      <c r="E79" s="160">
        <f t="shared" si="8"/>
        <v>4159594.4589999998</v>
      </c>
      <c r="F79" s="160">
        <f t="shared" si="8"/>
        <v>4571029.0934999995</v>
      </c>
      <c r="G79" s="160">
        <f t="shared" si="8"/>
        <v>4147609.8230000003</v>
      </c>
    </row>
    <row r="80" spans="1:7">
      <c r="C80" s="135"/>
      <c r="D80" s="161"/>
      <c r="E80" s="161"/>
      <c r="F80" s="161"/>
      <c r="G80" s="161"/>
    </row>
    <row r="81" spans="1:7">
      <c r="A81" s="680" t="s">
        <v>244</v>
      </c>
      <c r="B81" s="681"/>
      <c r="C81" s="681"/>
      <c r="D81" s="162"/>
      <c r="E81" s="163"/>
      <c r="F81" s="163"/>
      <c r="G81" s="163"/>
    </row>
    <row r="82" spans="1:7" s="91" customFormat="1">
      <c r="A82" s="164">
        <v>50</v>
      </c>
      <c r="B82" s="165"/>
      <c r="C82" s="165" t="s">
        <v>245</v>
      </c>
      <c r="D82" s="95">
        <v>325094.99599999998</v>
      </c>
      <c r="E82" s="124">
        <v>472377.76</v>
      </c>
      <c r="F82" s="124">
        <v>404388.36200000002</v>
      </c>
      <c r="G82" s="124">
        <v>445782.62599999999</v>
      </c>
    </row>
    <row r="83" spans="1:7" s="91" customFormat="1">
      <c r="A83" s="164">
        <v>51</v>
      </c>
      <c r="B83" s="165"/>
      <c r="C83" s="165" t="s">
        <v>246</v>
      </c>
      <c r="D83" s="95">
        <v>0</v>
      </c>
      <c r="E83" s="124">
        <v>0</v>
      </c>
      <c r="F83" s="124">
        <v>628.38099999999997</v>
      </c>
      <c r="G83" s="124">
        <v>0</v>
      </c>
    </row>
    <row r="84" spans="1:7" s="91" customFormat="1">
      <c r="A84" s="164">
        <v>52</v>
      </c>
      <c r="B84" s="165"/>
      <c r="C84" s="165" t="s">
        <v>247</v>
      </c>
      <c r="D84" s="95">
        <v>5056.6270000000004</v>
      </c>
      <c r="E84" s="124">
        <v>100</v>
      </c>
      <c r="F84" s="124">
        <v>6325.3329999999996</v>
      </c>
      <c r="G84" s="124">
        <v>195</v>
      </c>
    </row>
    <row r="85" spans="1:7" s="91" customFormat="1">
      <c r="A85" s="166">
        <v>54</v>
      </c>
      <c r="B85" s="167"/>
      <c r="C85" s="167" t="s">
        <v>248</v>
      </c>
      <c r="D85" s="95">
        <v>13408.117</v>
      </c>
      <c r="E85" s="124">
        <v>88000</v>
      </c>
      <c r="F85" s="124">
        <v>64996.671999999999</v>
      </c>
      <c r="G85" s="124">
        <v>78778.259999999995</v>
      </c>
    </row>
    <row r="86" spans="1:7" s="91" customFormat="1">
      <c r="A86" s="166">
        <v>55</v>
      </c>
      <c r="B86" s="167"/>
      <c r="C86" s="167" t="s">
        <v>249</v>
      </c>
      <c r="D86" s="95">
        <v>0</v>
      </c>
      <c r="E86" s="124">
        <v>0</v>
      </c>
      <c r="F86" s="124">
        <v>100000</v>
      </c>
      <c r="G86" s="124">
        <v>20760</v>
      </c>
    </row>
    <row r="87" spans="1:7" s="91" customFormat="1">
      <c r="A87" s="166">
        <v>56</v>
      </c>
      <c r="B87" s="167"/>
      <c r="C87" s="167" t="s">
        <v>250</v>
      </c>
      <c r="D87" s="95">
        <v>23932.339</v>
      </c>
      <c r="E87" s="124">
        <v>0</v>
      </c>
      <c r="F87" s="124">
        <v>21274.958999999999</v>
      </c>
      <c r="G87" s="124">
        <v>0</v>
      </c>
    </row>
    <row r="88" spans="1:7" s="91" customFormat="1">
      <c r="A88" s="164">
        <v>57</v>
      </c>
      <c r="B88" s="165"/>
      <c r="C88" s="165" t="s">
        <v>251</v>
      </c>
      <c r="D88" s="95">
        <v>0</v>
      </c>
      <c r="E88" s="124">
        <v>0</v>
      </c>
      <c r="F88" s="124">
        <v>0</v>
      </c>
      <c r="G88" s="124">
        <v>0</v>
      </c>
    </row>
    <row r="89" spans="1:7" s="91" customFormat="1">
      <c r="A89" s="164">
        <v>580</v>
      </c>
      <c r="B89" s="165"/>
      <c r="C89" s="165" t="s">
        <v>252</v>
      </c>
      <c r="D89" s="95">
        <v>0</v>
      </c>
      <c r="E89" s="124">
        <v>0</v>
      </c>
      <c r="F89" s="124">
        <v>0</v>
      </c>
      <c r="G89" s="124">
        <v>0</v>
      </c>
    </row>
    <row r="90" spans="1:7" s="91" customFormat="1">
      <c r="A90" s="164">
        <v>582</v>
      </c>
      <c r="B90" s="165"/>
      <c r="C90" s="165" t="s">
        <v>253</v>
      </c>
      <c r="D90" s="95">
        <v>0</v>
      </c>
      <c r="E90" s="124">
        <v>0</v>
      </c>
      <c r="F90" s="124">
        <v>0</v>
      </c>
      <c r="G90" s="124">
        <v>0</v>
      </c>
    </row>
    <row r="91" spans="1:7" s="91" customFormat="1">
      <c r="A91" s="164">
        <v>584</v>
      </c>
      <c r="B91" s="165"/>
      <c r="C91" s="165" t="s">
        <v>254</v>
      </c>
      <c r="D91" s="95">
        <v>0</v>
      </c>
      <c r="E91" s="124">
        <v>0</v>
      </c>
      <c r="F91" s="124">
        <v>0</v>
      </c>
      <c r="G91" s="124">
        <v>0</v>
      </c>
    </row>
    <row r="92" spans="1:7" s="91" customFormat="1">
      <c r="A92" s="164">
        <v>585</v>
      </c>
      <c r="B92" s="165"/>
      <c r="C92" s="165" t="s">
        <v>255</v>
      </c>
      <c r="D92" s="95">
        <v>0</v>
      </c>
      <c r="E92" s="124">
        <v>0</v>
      </c>
      <c r="F92" s="124">
        <v>0</v>
      </c>
      <c r="G92" s="124">
        <v>0</v>
      </c>
    </row>
    <row r="93" spans="1:7" s="91" customFormat="1">
      <c r="A93" s="164">
        <v>586</v>
      </c>
      <c r="B93" s="165"/>
      <c r="C93" s="165" t="s">
        <v>256</v>
      </c>
      <c r="D93" s="95">
        <v>0</v>
      </c>
      <c r="E93" s="124">
        <v>0</v>
      </c>
      <c r="F93" s="124">
        <v>0</v>
      </c>
      <c r="G93" s="124">
        <v>0</v>
      </c>
    </row>
    <row r="94" spans="1:7" s="91" customFormat="1">
      <c r="A94" s="168">
        <v>589</v>
      </c>
      <c r="B94" s="169"/>
      <c r="C94" s="169" t="s">
        <v>257</v>
      </c>
      <c r="D94" s="119">
        <v>0</v>
      </c>
      <c r="E94" s="133">
        <v>0</v>
      </c>
      <c r="F94" s="133">
        <v>0</v>
      </c>
      <c r="G94" s="133">
        <v>0</v>
      </c>
    </row>
    <row r="95" spans="1:7">
      <c r="A95" s="170">
        <v>5</v>
      </c>
      <c r="B95" s="171"/>
      <c r="C95" s="171" t="s">
        <v>258</v>
      </c>
      <c r="D95" s="172">
        <f t="shared" ref="D95:G95" si="9">SUM(D82:D94)</f>
        <v>367492.07899999997</v>
      </c>
      <c r="E95" s="172">
        <f t="shared" si="9"/>
        <v>560477.76</v>
      </c>
      <c r="F95" s="172">
        <f t="shared" si="9"/>
        <v>597613.70700000005</v>
      </c>
      <c r="G95" s="172">
        <f t="shared" si="9"/>
        <v>545515.88599999994</v>
      </c>
    </row>
    <row r="96" spans="1:7" s="91" customFormat="1">
      <c r="A96" s="164">
        <v>60</v>
      </c>
      <c r="B96" s="165"/>
      <c r="C96" s="165" t="s">
        <v>259</v>
      </c>
      <c r="D96" s="95">
        <v>1670.663</v>
      </c>
      <c r="E96" s="124">
        <v>6717.1930000000002</v>
      </c>
      <c r="F96" s="124">
        <v>9664.7469999999994</v>
      </c>
      <c r="G96" s="124">
        <v>4327.5619999999999</v>
      </c>
    </row>
    <row r="97" spans="1:7" s="91" customFormat="1">
      <c r="A97" s="164">
        <v>61</v>
      </c>
      <c r="B97" s="165"/>
      <c r="C97" s="165" t="s">
        <v>260</v>
      </c>
      <c r="D97" s="95">
        <v>0</v>
      </c>
      <c r="E97" s="124"/>
      <c r="F97" s="124">
        <v>628.38099999999997</v>
      </c>
      <c r="G97" s="124">
        <v>0</v>
      </c>
    </row>
    <row r="98" spans="1:7" s="91" customFormat="1">
      <c r="A98" s="164">
        <v>62</v>
      </c>
      <c r="B98" s="165"/>
      <c r="C98" s="165" t="s">
        <v>261</v>
      </c>
      <c r="D98" s="95">
        <v>0</v>
      </c>
      <c r="E98" s="124"/>
      <c r="F98" s="124">
        <v>0</v>
      </c>
      <c r="G98" s="124">
        <v>0</v>
      </c>
    </row>
    <row r="99" spans="1:7" s="91" customFormat="1">
      <c r="A99" s="164">
        <v>63</v>
      </c>
      <c r="B99" s="165"/>
      <c r="C99" s="165" t="s">
        <v>262</v>
      </c>
      <c r="D99" s="95">
        <v>36941.65</v>
      </c>
      <c r="E99" s="124">
        <v>20000</v>
      </c>
      <c r="F99" s="124">
        <v>28045.82</v>
      </c>
      <c r="G99" s="124">
        <v>10100</v>
      </c>
    </row>
    <row r="100" spans="1:7" s="91" customFormat="1">
      <c r="A100" s="166">
        <v>64</v>
      </c>
      <c r="B100" s="167"/>
      <c r="C100" s="167" t="s">
        <v>263</v>
      </c>
      <c r="D100" s="95">
        <v>58540.52</v>
      </c>
      <c r="E100" s="124">
        <v>57690</v>
      </c>
      <c r="F100" s="124">
        <v>61408.254000000001</v>
      </c>
      <c r="G100" s="124">
        <v>1500</v>
      </c>
    </row>
    <row r="101" spans="1:7" s="91" customFormat="1">
      <c r="A101" s="166">
        <v>65</v>
      </c>
      <c r="B101" s="167"/>
      <c r="C101" s="167" t="s">
        <v>264</v>
      </c>
      <c r="D101" s="95">
        <v>0</v>
      </c>
      <c r="E101" s="124"/>
      <c r="F101" s="124">
        <v>0</v>
      </c>
      <c r="G101" s="124">
        <v>0</v>
      </c>
    </row>
    <row r="102" spans="1:7" s="91" customFormat="1">
      <c r="A102" s="166">
        <v>66</v>
      </c>
      <c r="B102" s="167"/>
      <c r="C102" s="167" t="s">
        <v>265</v>
      </c>
      <c r="D102" s="95">
        <v>0</v>
      </c>
      <c r="E102" s="124"/>
      <c r="F102" s="124">
        <v>0</v>
      </c>
      <c r="G102" s="124">
        <v>0</v>
      </c>
    </row>
    <row r="103" spans="1:7" s="91" customFormat="1">
      <c r="A103" s="164">
        <v>67</v>
      </c>
      <c r="B103" s="165"/>
      <c r="C103" s="165" t="s">
        <v>251</v>
      </c>
      <c r="D103" s="130">
        <v>0</v>
      </c>
      <c r="E103" s="96"/>
      <c r="F103" s="96">
        <v>0</v>
      </c>
      <c r="G103" s="96">
        <v>0</v>
      </c>
    </row>
    <row r="104" spans="1:7" s="91" customFormat="1" ht="28">
      <c r="A104" s="173" t="s">
        <v>266</v>
      </c>
      <c r="B104" s="165"/>
      <c r="C104" s="174" t="s">
        <v>267</v>
      </c>
      <c r="D104" s="130">
        <v>0</v>
      </c>
      <c r="E104" s="96"/>
      <c r="F104" s="96">
        <v>0</v>
      </c>
      <c r="G104" s="96">
        <v>0</v>
      </c>
    </row>
    <row r="105" spans="1:7" s="91" customFormat="1" ht="42">
      <c r="A105" s="175" t="s">
        <v>268</v>
      </c>
      <c r="B105" s="169"/>
      <c r="C105" s="176" t="s">
        <v>269</v>
      </c>
      <c r="D105" s="177">
        <v>0</v>
      </c>
      <c r="E105" s="120"/>
      <c r="F105" s="120">
        <v>0</v>
      </c>
      <c r="G105" s="120">
        <v>0</v>
      </c>
    </row>
    <row r="106" spans="1:7">
      <c r="A106" s="170">
        <v>6</v>
      </c>
      <c r="B106" s="171"/>
      <c r="C106" s="171" t="s">
        <v>270</v>
      </c>
      <c r="D106" s="172">
        <f t="shared" ref="D106:G106" si="10">SUM(D96:D105)</f>
        <v>97152.832999999999</v>
      </c>
      <c r="E106" s="172">
        <f t="shared" si="10"/>
        <v>84407.192999999999</v>
      </c>
      <c r="F106" s="172">
        <f t="shared" si="10"/>
        <v>99747.20199999999</v>
      </c>
      <c r="G106" s="172">
        <f t="shared" si="10"/>
        <v>15927.562</v>
      </c>
    </row>
    <row r="107" spans="1:7">
      <c r="A107" s="178" t="s">
        <v>271</v>
      </c>
      <c r="B107" s="178"/>
      <c r="C107" s="171" t="s">
        <v>1</v>
      </c>
      <c r="D107" s="172">
        <f t="shared" ref="D107:G107" si="11">(D95-D88)-(D106-D103)</f>
        <v>270339.24599999998</v>
      </c>
      <c r="E107" s="172">
        <f t="shared" si="11"/>
        <v>476070.56700000004</v>
      </c>
      <c r="F107" s="172">
        <f t="shared" si="11"/>
        <v>497866.50500000006</v>
      </c>
      <c r="G107" s="172">
        <f t="shared" si="11"/>
        <v>529588.32399999991</v>
      </c>
    </row>
    <row r="108" spans="1:7">
      <c r="A108" s="179" t="s">
        <v>272</v>
      </c>
      <c r="B108" s="179"/>
      <c r="C108" s="180" t="s">
        <v>273</v>
      </c>
      <c r="D108" s="280">
        <f t="shared" ref="D108:G108" si="12">D107-D85-D86+D100+D101</f>
        <v>315471.64899999998</v>
      </c>
      <c r="E108" s="280">
        <f t="shared" si="12"/>
        <v>445760.56700000004</v>
      </c>
      <c r="F108" s="280">
        <f t="shared" si="12"/>
        <v>394278.08700000006</v>
      </c>
      <c r="G108" s="280">
        <f t="shared" si="12"/>
        <v>431550.0639999999</v>
      </c>
    </row>
    <row r="109" spans="1:7">
      <c r="C109" s="135"/>
      <c r="D109" s="161"/>
      <c r="E109" s="161"/>
      <c r="F109" s="161"/>
      <c r="G109" s="161"/>
    </row>
    <row r="110" spans="1:7">
      <c r="A110" s="181" t="s">
        <v>274</v>
      </c>
      <c r="B110" s="182"/>
      <c r="C110" s="181"/>
      <c r="D110" s="161"/>
      <c r="E110" s="161"/>
      <c r="F110" s="161"/>
      <c r="G110" s="161"/>
    </row>
    <row r="111" spans="1:7" s="91" customFormat="1">
      <c r="A111" s="183">
        <v>10</v>
      </c>
      <c r="B111" s="184"/>
      <c r="C111" s="184" t="s">
        <v>275</v>
      </c>
      <c r="D111" s="185">
        <f t="shared" ref="D111:G111" si="13">D112+D117</f>
        <v>5104770.1430900004</v>
      </c>
      <c r="E111" s="186">
        <f t="shared" si="13"/>
        <v>0</v>
      </c>
      <c r="F111" s="186">
        <f t="shared" si="13"/>
        <v>5105935.4052200001</v>
      </c>
      <c r="G111" s="186">
        <f t="shared" si="13"/>
        <v>0</v>
      </c>
    </row>
    <row r="112" spans="1:7" s="91" customFormat="1">
      <c r="A112" s="187" t="s">
        <v>276</v>
      </c>
      <c r="B112" s="188"/>
      <c r="C112" s="188" t="s">
        <v>277</v>
      </c>
      <c r="D112" s="185">
        <f t="shared" ref="D112:G112" si="14">D113+D114+D115+D116</f>
        <v>3150807.0184800001</v>
      </c>
      <c r="E112" s="186">
        <f t="shared" si="14"/>
        <v>0</v>
      </c>
      <c r="F112" s="186">
        <f t="shared" si="14"/>
        <v>2696891.23808</v>
      </c>
      <c r="G112" s="186">
        <f t="shared" si="14"/>
        <v>0</v>
      </c>
    </row>
    <row r="113" spans="1:7" s="91" customFormat="1">
      <c r="A113" s="189" t="s">
        <v>278</v>
      </c>
      <c r="B113" s="190"/>
      <c r="C113" s="190" t="s">
        <v>279</v>
      </c>
      <c r="D113" s="95">
        <f>904929.19458+338790.54349</f>
        <v>1243719.73807</v>
      </c>
      <c r="E113" s="124"/>
      <c r="F113" s="124">
        <v>974102.69169999997</v>
      </c>
      <c r="G113" s="124"/>
    </row>
    <row r="114" spans="1:7" s="153" customFormat="1" ht="15" customHeight="1">
      <c r="A114" s="191">
        <v>102</v>
      </c>
      <c r="B114" s="192"/>
      <c r="C114" s="192" t="s">
        <v>280</v>
      </c>
      <c r="D114" s="143">
        <v>147412.22863999999</v>
      </c>
      <c r="E114" s="144"/>
      <c r="F114" s="144">
        <v>17336.75488</v>
      </c>
      <c r="G114" s="144"/>
    </row>
    <row r="115" spans="1:7" s="91" customFormat="1">
      <c r="A115" s="189">
        <v>104</v>
      </c>
      <c r="B115" s="190"/>
      <c r="C115" s="190" t="s">
        <v>281</v>
      </c>
      <c r="D115" s="95">
        <v>1753306.1221100001</v>
      </c>
      <c r="E115" s="124"/>
      <c r="F115" s="124">
        <v>1698756.22633</v>
      </c>
      <c r="G115" s="124"/>
    </row>
    <row r="116" spans="1:7" s="91" customFormat="1">
      <c r="A116" s="189">
        <v>106</v>
      </c>
      <c r="B116" s="190"/>
      <c r="C116" s="190" t="s">
        <v>282</v>
      </c>
      <c r="D116" s="95">
        <v>6368.9296599999998</v>
      </c>
      <c r="E116" s="124"/>
      <c r="F116" s="124">
        <v>6695.5651699999999</v>
      </c>
      <c r="G116" s="124"/>
    </row>
    <row r="117" spans="1:7" s="91" customFormat="1">
      <c r="A117" s="187" t="s">
        <v>283</v>
      </c>
      <c r="B117" s="188"/>
      <c r="C117" s="188" t="s">
        <v>284</v>
      </c>
      <c r="D117" s="185">
        <f t="shared" ref="D117:G117" si="15">D118+D119+D120</f>
        <v>1953963.1246100001</v>
      </c>
      <c r="E117" s="186">
        <f t="shared" si="15"/>
        <v>0</v>
      </c>
      <c r="F117" s="186">
        <f t="shared" si="15"/>
        <v>2409044.16714</v>
      </c>
      <c r="G117" s="186">
        <f t="shared" si="15"/>
        <v>0</v>
      </c>
    </row>
    <row r="118" spans="1:7" s="91" customFormat="1">
      <c r="A118" s="189">
        <v>107</v>
      </c>
      <c r="B118" s="190"/>
      <c r="C118" s="190" t="s">
        <v>285</v>
      </c>
      <c r="D118" s="95">
        <v>203194.23175000001</v>
      </c>
      <c r="E118" s="124"/>
      <c r="F118" s="124">
        <v>542213.07764999999</v>
      </c>
      <c r="G118" s="124"/>
    </row>
    <row r="119" spans="1:7" s="91" customFormat="1">
      <c r="A119" s="189">
        <v>108</v>
      </c>
      <c r="B119" s="190"/>
      <c r="C119" s="190" t="s">
        <v>286</v>
      </c>
      <c r="D119" s="95">
        <v>1750768.89286</v>
      </c>
      <c r="E119" s="124"/>
      <c r="F119" s="124">
        <v>1866831.0894899999</v>
      </c>
      <c r="G119" s="124"/>
    </row>
    <row r="120" spans="1:7" s="195" customFormat="1" ht="14">
      <c r="A120" s="191">
        <v>109</v>
      </c>
      <c r="B120" s="193"/>
      <c r="C120" s="193" t="s">
        <v>287</v>
      </c>
      <c r="D120" s="131">
        <v>0</v>
      </c>
      <c r="E120" s="194"/>
      <c r="F120" s="194">
        <v>0</v>
      </c>
      <c r="G120" s="194"/>
    </row>
    <row r="121" spans="1:7" s="91" customFormat="1">
      <c r="A121" s="187">
        <v>14</v>
      </c>
      <c r="B121" s="188"/>
      <c r="C121" s="188" t="s">
        <v>288</v>
      </c>
      <c r="D121" s="185">
        <f t="shared" ref="D121:G121" si="16">SUM(D122:D130)</f>
        <v>5843011.9665199993</v>
      </c>
      <c r="E121" s="185">
        <f t="shared" si="16"/>
        <v>0</v>
      </c>
      <c r="F121" s="185">
        <f t="shared" si="16"/>
        <v>6160261.6631500004</v>
      </c>
      <c r="G121" s="185">
        <f t="shared" si="16"/>
        <v>0</v>
      </c>
    </row>
    <row r="122" spans="1:7" s="91" customFormat="1">
      <c r="A122" s="189" t="s">
        <v>289</v>
      </c>
      <c r="B122" s="190"/>
      <c r="C122" s="190" t="s">
        <v>290</v>
      </c>
      <c r="D122" s="95">
        <f>2867193.6191+13579.26986</f>
        <v>2880772.8889599997</v>
      </c>
      <c r="E122" s="124"/>
      <c r="F122" s="124">
        <v>3078079.0677200002</v>
      </c>
      <c r="G122" s="124"/>
    </row>
    <row r="123" spans="1:7" s="91" customFormat="1">
      <c r="A123" s="189">
        <v>144</v>
      </c>
      <c r="B123" s="190"/>
      <c r="C123" s="190" t="s">
        <v>248</v>
      </c>
      <c r="D123" s="95">
        <v>892565.52888</v>
      </c>
      <c r="E123" s="124"/>
      <c r="F123" s="124">
        <v>923614.05966000003</v>
      </c>
      <c r="G123" s="124"/>
    </row>
    <row r="124" spans="1:7" s="91" customFormat="1">
      <c r="A124" s="189">
        <v>145</v>
      </c>
      <c r="B124" s="190"/>
      <c r="C124" s="190" t="s">
        <v>291</v>
      </c>
      <c r="D124" s="95">
        <v>1927637.74397</v>
      </c>
      <c r="E124" s="196"/>
      <c r="F124" s="196">
        <v>2003545.0811300001</v>
      </c>
      <c r="G124" s="196"/>
    </row>
    <row r="125" spans="1:7" s="91" customFormat="1">
      <c r="A125" s="189">
        <v>146</v>
      </c>
      <c r="B125" s="190"/>
      <c r="C125" s="190" t="s">
        <v>292</v>
      </c>
      <c r="D125" s="95">
        <v>142035.80471</v>
      </c>
      <c r="E125" s="196"/>
      <c r="F125" s="196">
        <v>155023.45464000001</v>
      </c>
      <c r="G125" s="196"/>
    </row>
    <row r="126" spans="1:7" s="195" customFormat="1" ht="29.5" customHeight="1">
      <c r="A126" s="191" t="s">
        <v>293</v>
      </c>
      <c r="B126" s="193"/>
      <c r="C126" s="193" t="s">
        <v>294</v>
      </c>
      <c r="D126" s="131">
        <v>0</v>
      </c>
      <c r="E126" s="197"/>
      <c r="F126" s="197">
        <v>0</v>
      </c>
      <c r="G126" s="197"/>
    </row>
    <row r="127" spans="1:7" s="91" customFormat="1">
      <c r="A127" s="189">
        <v>1484</v>
      </c>
      <c r="B127" s="190"/>
      <c r="C127" s="190" t="s">
        <v>295</v>
      </c>
      <c r="D127" s="95">
        <v>0</v>
      </c>
      <c r="E127" s="196"/>
      <c r="F127" s="196">
        <v>0</v>
      </c>
      <c r="G127" s="196"/>
    </row>
    <row r="128" spans="1:7" s="91" customFormat="1">
      <c r="A128" s="189">
        <v>1485</v>
      </c>
      <c r="B128" s="190"/>
      <c r="C128" s="190" t="s">
        <v>296</v>
      </c>
      <c r="D128" s="95">
        <v>0</v>
      </c>
      <c r="E128" s="196"/>
      <c r="F128" s="196">
        <v>0</v>
      </c>
      <c r="G128" s="196"/>
    </row>
    <row r="129" spans="1:7" s="91" customFormat="1">
      <c r="A129" s="189">
        <v>1486</v>
      </c>
      <c r="B129" s="190"/>
      <c r="C129" s="190" t="s">
        <v>297</v>
      </c>
      <c r="D129" s="95">
        <v>0</v>
      </c>
      <c r="E129" s="196"/>
      <c r="F129" s="196">
        <v>0</v>
      </c>
      <c r="G129" s="196"/>
    </row>
    <row r="130" spans="1:7" s="91" customFormat="1">
      <c r="A130" s="198">
        <v>1489</v>
      </c>
      <c r="B130" s="199"/>
      <c r="C130" s="199" t="s">
        <v>298</v>
      </c>
      <c r="D130" s="119">
        <v>0</v>
      </c>
      <c r="E130" s="200"/>
      <c r="F130" s="200">
        <v>0</v>
      </c>
      <c r="G130" s="200"/>
    </row>
    <row r="131" spans="1:7">
      <c r="A131" s="201">
        <v>1</v>
      </c>
      <c r="B131" s="202"/>
      <c r="C131" s="201" t="s">
        <v>299</v>
      </c>
      <c r="D131" s="203">
        <f t="shared" ref="D131:G131" si="17">D111+D121</f>
        <v>10947782.109609999</v>
      </c>
      <c r="E131" s="203">
        <f t="shared" si="17"/>
        <v>0</v>
      </c>
      <c r="F131" s="203">
        <f t="shared" si="17"/>
        <v>11266197.06837</v>
      </c>
      <c r="G131" s="203">
        <f t="shared" si="17"/>
        <v>0</v>
      </c>
    </row>
    <row r="132" spans="1:7">
      <c r="C132" s="135"/>
      <c r="D132" s="161"/>
      <c r="E132" s="161"/>
      <c r="F132" s="161"/>
      <c r="G132" s="161"/>
    </row>
    <row r="133" spans="1:7" s="91" customFormat="1">
      <c r="A133" s="183">
        <v>20</v>
      </c>
      <c r="B133" s="184"/>
      <c r="C133" s="184" t="s">
        <v>300</v>
      </c>
      <c r="D133" s="204">
        <f t="shared" ref="D133:G133" si="18">D134+D140</f>
        <v>7054691.4689499997</v>
      </c>
      <c r="E133" s="318">
        <f t="shared" si="18"/>
        <v>0</v>
      </c>
      <c r="F133" s="318">
        <f t="shared" si="18"/>
        <v>6940659.3975099996</v>
      </c>
      <c r="G133" s="318">
        <f t="shared" si="18"/>
        <v>0</v>
      </c>
    </row>
    <row r="134" spans="1:7" s="91" customFormat="1">
      <c r="A134" s="205" t="s">
        <v>301</v>
      </c>
      <c r="B134" s="188"/>
      <c r="C134" s="188" t="s">
        <v>302</v>
      </c>
      <c r="D134" s="185">
        <f t="shared" ref="D134:G134" si="19">D135+D136+D138+D139</f>
        <v>4461642.6378300004</v>
      </c>
      <c r="E134" s="186">
        <f t="shared" si="19"/>
        <v>0</v>
      </c>
      <c r="F134" s="186">
        <f t="shared" si="19"/>
        <v>4146545.5740699996</v>
      </c>
      <c r="G134" s="186">
        <f t="shared" si="19"/>
        <v>0</v>
      </c>
    </row>
    <row r="135" spans="1:7" s="106" customFormat="1">
      <c r="A135" s="206">
        <v>200</v>
      </c>
      <c r="B135" s="190"/>
      <c r="C135" s="190" t="s">
        <v>303</v>
      </c>
      <c r="D135" s="95">
        <v>2743226.9495999999</v>
      </c>
      <c r="E135" s="124"/>
      <c r="F135" s="124">
        <v>3104492.2521899999</v>
      </c>
      <c r="G135" s="124"/>
    </row>
    <row r="136" spans="1:7" s="106" customFormat="1">
      <c r="A136" s="206">
        <v>201</v>
      </c>
      <c r="B136" s="190"/>
      <c r="C136" s="190" t="s">
        <v>304</v>
      </c>
      <c r="D136" s="95">
        <v>1408000.0060000001</v>
      </c>
      <c r="E136" s="124"/>
      <c r="F136" s="124">
        <v>685000</v>
      </c>
      <c r="G136" s="124"/>
    </row>
    <row r="137" spans="1:7" s="106" customFormat="1">
      <c r="A137" s="207" t="s">
        <v>305</v>
      </c>
      <c r="B137" s="208"/>
      <c r="C137" s="208" t="s">
        <v>306</v>
      </c>
      <c r="D137" s="100">
        <v>0</v>
      </c>
      <c r="E137" s="209"/>
      <c r="F137" s="209">
        <v>0</v>
      </c>
      <c r="G137" s="209"/>
    </row>
    <row r="138" spans="1:7" s="106" customFormat="1">
      <c r="A138" s="206">
        <v>204</v>
      </c>
      <c r="B138" s="190"/>
      <c r="C138" s="190" t="s">
        <v>307</v>
      </c>
      <c r="D138" s="95">
        <v>200599.99661999999</v>
      </c>
      <c r="E138" s="196"/>
      <c r="F138" s="196">
        <v>244371.13133</v>
      </c>
      <c r="G138" s="196"/>
    </row>
    <row r="139" spans="1:7" s="106" customFormat="1">
      <c r="A139" s="206">
        <v>205</v>
      </c>
      <c r="B139" s="190"/>
      <c r="C139" s="190" t="s">
        <v>308</v>
      </c>
      <c r="D139" s="95">
        <v>109815.68561</v>
      </c>
      <c r="E139" s="196"/>
      <c r="F139" s="196">
        <v>112682.19055</v>
      </c>
      <c r="G139" s="196"/>
    </row>
    <row r="140" spans="1:7" s="106" customFormat="1">
      <c r="A140" s="205" t="s">
        <v>309</v>
      </c>
      <c r="B140" s="188"/>
      <c r="C140" s="188" t="s">
        <v>310</v>
      </c>
      <c r="D140" s="185">
        <f t="shared" ref="D140:G140" si="20">D141+D143+D144</f>
        <v>2593048.8311199998</v>
      </c>
      <c r="E140" s="186">
        <f t="shared" si="20"/>
        <v>0</v>
      </c>
      <c r="F140" s="186">
        <f t="shared" si="20"/>
        <v>2794113.8234399999</v>
      </c>
      <c r="G140" s="186">
        <f t="shared" si="20"/>
        <v>0</v>
      </c>
    </row>
    <row r="141" spans="1:7" s="106" customFormat="1">
      <c r="A141" s="206">
        <v>206</v>
      </c>
      <c r="B141" s="190"/>
      <c r="C141" s="190" t="s">
        <v>311</v>
      </c>
      <c r="D141" s="95">
        <v>2388585.2879300001</v>
      </c>
      <c r="E141" s="196"/>
      <c r="F141" s="196">
        <v>2583166.17368</v>
      </c>
      <c r="G141" s="196"/>
    </row>
    <row r="142" spans="1:7" s="106" customFormat="1">
      <c r="A142" s="207" t="s">
        <v>312</v>
      </c>
      <c r="B142" s="208"/>
      <c r="C142" s="208" t="s">
        <v>313</v>
      </c>
      <c r="D142" s="100">
        <v>0</v>
      </c>
      <c r="E142" s="209"/>
      <c r="F142" s="209">
        <v>0</v>
      </c>
      <c r="G142" s="209"/>
    </row>
    <row r="143" spans="1:7" s="106" customFormat="1">
      <c r="A143" s="206">
        <v>208</v>
      </c>
      <c r="B143" s="190"/>
      <c r="C143" s="190" t="s">
        <v>314</v>
      </c>
      <c r="D143" s="95">
        <v>90101.683499999999</v>
      </c>
      <c r="E143" s="196"/>
      <c r="F143" s="196">
        <v>100038.645</v>
      </c>
      <c r="G143" s="196"/>
    </row>
    <row r="144" spans="1:7" s="111" customFormat="1" ht="28">
      <c r="A144" s="191">
        <v>209</v>
      </c>
      <c r="B144" s="193"/>
      <c r="C144" s="193" t="s">
        <v>315</v>
      </c>
      <c r="D144" s="131">
        <v>114361.85969</v>
      </c>
      <c r="E144" s="197"/>
      <c r="F144" s="197">
        <v>110909.00476</v>
      </c>
      <c r="G144" s="197"/>
    </row>
    <row r="145" spans="1:7" s="91" customFormat="1">
      <c r="A145" s="205">
        <v>29</v>
      </c>
      <c r="B145" s="188"/>
      <c r="C145" s="188" t="s">
        <v>316</v>
      </c>
      <c r="D145" s="210">
        <v>3893090.64066</v>
      </c>
      <c r="E145" s="196"/>
      <c r="F145" s="196">
        <v>4325537.67086</v>
      </c>
      <c r="G145" s="196"/>
    </row>
    <row r="146" spans="1:7" s="91" customFormat="1">
      <c r="A146" s="211" t="s">
        <v>317</v>
      </c>
      <c r="B146" s="212"/>
      <c r="C146" s="212" t="s">
        <v>318</v>
      </c>
      <c r="D146" s="138">
        <v>2375316.2250199998</v>
      </c>
      <c r="E146" s="139"/>
      <c r="F146" s="139">
        <v>2808265.2379700001</v>
      </c>
      <c r="G146" s="139"/>
    </row>
    <row r="147" spans="1:7">
      <c r="A147" s="201">
        <v>2</v>
      </c>
      <c r="B147" s="202"/>
      <c r="C147" s="201" t="s">
        <v>319</v>
      </c>
      <c r="D147" s="203">
        <f t="shared" ref="D147:G147" si="21">D133+D145</f>
        <v>10947782.109609999</v>
      </c>
      <c r="E147" s="203">
        <f t="shared" si="21"/>
        <v>0</v>
      </c>
      <c r="F147" s="203">
        <f t="shared" si="21"/>
        <v>11266197.06837</v>
      </c>
      <c r="G147" s="203">
        <f t="shared" si="21"/>
        <v>0</v>
      </c>
    </row>
    <row r="148" spans="1:7" ht="7.5" customHeight="1"/>
    <row r="149" spans="1:7" ht="13.5" customHeight="1">
      <c r="A149" s="213" t="s">
        <v>320</v>
      </c>
      <c r="B149" s="214"/>
      <c r="C149" s="215" t="s">
        <v>321</v>
      </c>
      <c r="D149" s="214"/>
      <c r="E149" s="214"/>
      <c r="F149" s="214"/>
      <c r="G149" s="214"/>
    </row>
    <row r="150" spans="1:7">
      <c r="A150" s="216" t="s">
        <v>322</v>
      </c>
      <c r="B150" s="290"/>
      <c r="C150" s="290" t="s">
        <v>82</v>
      </c>
      <c r="D150" s="218">
        <f t="shared" ref="D150:G150" si="22">D77+SUM(D8:D12)-D30-D31+D16-D33+D59+D63-D73+D64-D74-D54+D20-D35</f>
        <v>356452.81400000013</v>
      </c>
      <c r="E150" s="218">
        <f t="shared" si="22"/>
        <v>216716.52500000026</v>
      </c>
      <c r="F150" s="218">
        <f t="shared" si="22"/>
        <v>613089.27949999901</v>
      </c>
      <c r="G150" s="218">
        <f t="shared" si="22"/>
        <v>-156484.82599999977</v>
      </c>
    </row>
    <row r="151" spans="1:7">
      <c r="A151" s="219" t="s">
        <v>323</v>
      </c>
      <c r="B151" s="214"/>
      <c r="C151" s="214" t="s">
        <v>324</v>
      </c>
      <c r="D151" s="221">
        <f t="shared" ref="D151:G151" si="23">IF(D177=0,0,D150/D177)</f>
        <v>8.6574673414535647E-2</v>
      </c>
      <c r="E151" s="221">
        <f t="shared" si="23"/>
        <v>5.5624134944142804E-2</v>
      </c>
      <c r="F151" s="221">
        <f t="shared" si="23"/>
        <v>0.14208954484206568</v>
      </c>
      <c r="G151" s="221">
        <f t="shared" si="23"/>
        <v>-4.0346121007612881E-2</v>
      </c>
    </row>
    <row r="152" spans="1:7" s="296" customFormat="1" ht="28">
      <c r="A152" s="229" t="s">
        <v>325</v>
      </c>
      <c r="B152" s="293"/>
      <c r="C152" s="293" t="s">
        <v>326</v>
      </c>
      <c r="D152" s="295">
        <f t="shared" ref="D152:G152" si="24">IF(D107=0,0,D150/D107)</f>
        <v>1.3185389072217808</v>
      </c>
      <c r="E152" s="295">
        <f t="shared" si="24"/>
        <v>0.45521933096107625</v>
      </c>
      <c r="F152" s="295">
        <f t="shared" si="24"/>
        <v>1.2314330716021937</v>
      </c>
      <c r="G152" s="295">
        <f t="shared" si="24"/>
        <v>-0.29548390496615218</v>
      </c>
    </row>
    <row r="153" spans="1:7" s="296" customFormat="1" ht="28">
      <c r="A153" s="222" t="s">
        <v>325</v>
      </c>
      <c r="B153" s="297"/>
      <c r="C153" s="297" t="s">
        <v>327</v>
      </c>
      <c r="D153" s="241">
        <f t="shared" ref="D153:G153" si="25">IF(0=D108,0,D150/D108)</f>
        <v>1.1299044308098829</v>
      </c>
      <c r="E153" s="241">
        <f t="shared" si="25"/>
        <v>0.4861724904437324</v>
      </c>
      <c r="F153" s="241">
        <f t="shared" si="25"/>
        <v>1.5549666585959643</v>
      </c>
      <c r="G153" s="241">
        <f t="shared" si="25"/>
        <v>-0.36261105965216545</v>
      </c>
    </row>
    <row r="154" spans="1:7" ht="28">
      <c r="A154" s="226" t="s">
        <v>328</v>
      </c>
      <c r="B154" s="299"/>
      <c r="C154" s="299" t="s">
        <v>329</v>
      </c>
      <c r="D154" s="234">
        <f t="shared" ref="D154:G154" si="26">D150-D107</f>
        <v>86113.568000000145</v>
      </c>
      <c r="E154" s="234">
        <f t="shared" si="26"/>
        <v>-259354.04199999978</v>
      </c>
      <c r="F154" s="234">
        <f t="shared" si="26"/>
        <v>115222.77449999895</v>
      </c>
      <c r="G154" s="234">
        <f t="shared" si="26"/>
        <v>-686073.14999999967</v>
      </c>
    </row>
    <row r="155" spans="1:7" ht="28">
      <c r="A155" s="222" t="s">
        <v>330</v>
      </c>
      <c r="B155" s="297"/>
      <c r="C155" s="297" t="s">
        <v>331</v>
      </c>
      <c r="D155" s="231">
        <f t="shared" ref="D155:G155" si="27">D150-D108</f>
        <v>40981.165000000154</v>
      </c>
      <c r="E155" s="231">
        <f t="shared" si="27"/>
        <v>-229044.04199999978</v>
      </c>
      <c r="F155" s="231">
        <f t="shared" si="27"/>
        <v>218811.19249999896</v>
      </c>
      <c r="G155" s="231">
        <f t="shared" si="27"/>
        <v>-588034.88999999966</v>
      </c>
    </row>
    <row r="156" spans="1:7">
      <c r="A156" s="289" t="s">
        <v>332</v>
      </c>
      <c r="B156" s="290"/>
      <c r="C156" s="290" t="s">
        <v>333</v>
      </c>
      <c r="D156" s="235">
        <f t="shared" ref="D156:G156" si="28">D135+D136-D137+D141-D142</f>
        <v>6539812.2435299996</v>
      </c>
      <c r="E156" s="235">
        <f t="shared" si="28"/>
        <v>0</v>
      </c>
      <c r="F156" s="235">
        <f t="shared" si="28"/>
        <v>6372658.4258699995</v>
      </c>
      <c r="G156" s="235">
        <f t="shared" si="28"/>
        <v>0</v>
      </c>
    </row>
    <row r="157" spans="1:7">
      <c r="A157" s="301" t="s">
        <v>334</v>
      </c>
      <c r="B157" s="302"/>
      <c r="C157" s="302" t="s">
        <v>335</v>
      </c>
      <c r="D157" s="238">
        <f t="shared" ref="D157:G157" si="29">IF(D177=0,0,D156/D177)</f>
        <v>1.5883788454984429</v>
      </c>
      <c r="E157" s="238">
        <f t="shared" si="29"/>
        <v>0</v>
      </c>
      <c r="F157" s="238">
        <f t="shared" si="29"/>
        <v>1.476927040551562</v>
      </c>
      <c r="G157" s="238">
        <f t="shared" si="29"/>
        <v>0</v>
      </c>
    </row>
    <row r="158" spans="1:7">
      <c r="A158" s="289" t="s">
        <v>336</v>
      </c>
      <c r="B158" s="290"/>
      <c r="C158" s="290" t="s">
        <v>337</v>
      </c>
      <c r="D158" s="235">
        <f t="shared" ref="D158:G158" si="30">D133-D142-D111</f>
        <v>1949921.3258599993</v>
      </c>
      <c r="E158" s="235">
        <f t="shared" si="30"/>
        <v>0</v>
      </c>
      <c r="F158" s="235">
        <f t="shared" si="30"/>
        <v>1834723.9922899995</v>
      </c>
      <c r="G158" s="235">
        <f t="shared" si="30"/>
        <v>0</v>
      </c>
    </row>
    <row r="159" spans="1:7">
      <c r="A159" s="215" t="s">
        <v>338</v>
      </c>
      <c r="B159" s="214"/>
      <c r="C159" s="214" t="s">
        <v>339</v>
      </c>
      <c r="D159" s="239">
        <f t="shared" ref="D159:G159" si="31">D121-D123-D124-D142-D145</f>
        <v>-870281.94699000102</v>
      </c>
      <c r="E159" s="239">
        <f t="shared" si="31"/>
        <v>0</v>
      </c>
      <c r="F159" s="239">
        <f t="shared" si="31"/>
        <v>-1092435.1484999992</v>
      </c>
      <c r="G159" s="239">
        <f t="shared" si="31"/>
        <v>0</v>
      </c>
    </row>
    <row r="160" spans="1:7">
      <c r="A160" s="215" t="s">
        <v>340</v>
      </c>
      <c r="B160" s="214"/>
      <c r="C160" s="214" t="s">
        <v>341</v>
      </c>
      <c r="D160" s="240">
        <f t="shared" ref="D160:G160" si="32">IF(D175=0,"-",1000*D158/D175)</f>
        <v>9944.2149151902686</v>
      </c>
      <c r="E160" s="240">
        <f t="shared" si="32"/>
        <v>0</v>
      </c>
      <c r="F160" s="240">
        <f t="shared" si="32"/>
        <v>9313.0833851425068</v>
      </c>
      <c r="G160" s="240">
        <f t="shared" si="32"/>
        <v>0</v>
      </c>
    </row>
    <row r="161" spans="1:7">
      <c r="A161" s="215" t="s">
        <v>340</v>
      </c>
      <c r="B161" s="214"/>
      <c r="C161" s="214" t="s">
        <v>342</v>
      </c>
      <c r="D161" s="239">
        <f t="shared" ref="D161:G161" si="33">IF(D175=0,0,1000*(D159/D175))</f>
        <v>-4438.2666125577607</v>
      </c>
      <c r="E161" s="239">
        <f t="shared" si="33"/>
        <v>0</v>
      </c>
      <c r="F161" s="239">
        <f t="shared" si="33"/>
        <v>-5545.2153422501924</v>
      </c>
      <c r="G161" s="239">
        <f t="shared" si="33"/>
        <v>0</v>
      </c>
    </row>
    <row r="162" spans="1:7">
      <c r="A162" s="301" t="s">
        <v>343</v>
      </c>
      <c r="B162" s="302"/>
      <c r="C162" s="302" t="s">
        <v>344</v>
      </c>
      <c r="D162" s="238">
        <f t="shared" ref="D162:G162" si="34">IF((D22+D23+D65+D66)=0,0,D158/(D22+D23+D65+D66))</f>
        <v>0.74446972778967313</v>
      </c>
      <c r="E162" s="238">
        <f t="shared" si="34"/>
        <v>0</v>
      </c>
      <c r="F162" s="238">
        <f t="shared" si="34"/>
        <v>0.65871095702165128</v>
      </c>
      <c r="G162" s="238">
        <f t="shared" si="34"/>
        <v>0</v>
      </c>
    </row>
    <row r="163" spans="1:7">
      <c r="A163" s="215" t="s">
        <v>345</v>
      </c>
      <c r="B163" s="214"/>
      <c r="C163" s="214" t="s">
        <v>316</v>
      </c>
      <c r="D163" s="218">
        <f t="shared" ref="D163:G163" si="35">D145</f>
        <v>3893090.64066</v>
      </c>
      <c r="E163" s="218">
        <f t="shared" si="35"/>
        <v>0</v>
      </c>
      <c r="F163" s="218">
        <f t="shared" si="35"/>
        <v>4325537.67086</v>
      </c>
      <c r="G163" s="218">
        <f t="shared" si="35"/>
        <v>0</v>
      </c>
    </row>
    <row r="164" spans="1:7" ht="28">
      <c r="A164" s="222" t="s">
        <v>346</v>
      </c>
      <c r="B164" s="304"/>
      <c r="C164" s="304" t="s">
        <v>347</v>
      </c>
      <c r="D164" s="241">
        <f t="shared" ref="D164:G164" si="36">IF(D178=0,0,D146/D178)</f>
        <v>0.60318159207262267</v>
      </c>
      <c r="E164" s="241">
        <f t="shared" si="36"/>
        <v>0</v>
      </c>
      <c r="F164" s="241">
        <f t="shared" si="36"/>
        <v>0.7233393214617323</v>
      </c>
      <c r="G164" s="241">
        <f t="shared" si="36"/>
        <v>0</v>
      </c>
    </row>
    <row r="165" spans="1:7">
      <c r="A165" s="306" t="s">
        <v>348</v>
      </c>
      <c r="B165" s="307"/>
      <c r="C165" s="307" t="s">
        <v>349</v>
      </c>
      <c r="D165" s="244">
        <f t="shared" ref="D165:G165" si="37">IF(D177=0,0,D180/D177)</f>
        <v>4.9620789857594542E-2</v>
      </c>
      <c r="E165" s="244">
        <f t="shared" si="37"/>
        <v>5.3339622123515236E-2</v>
      </c>
      <c r="F165" s="244">
        <f t="shared" si="37"/>
        <v>4.4032978028559683E-2</v>
      </c>
      <c r="G165" s="244">
        <f t="shared" si="37"/>
        <v>0.2087869322288354</v>
      </c>
    </row>
    <row r="166" spans="1:7">
      <c r="A166" s="215" t="s">
        <v>350</v>
      </c>
      <c r="B166" s="214"/>
      <c r="C166" s="214" t="s">
        <v>218</v>
      </c>
      <c r="D166" s="218">
        <f t="shared" ref="D166:G166" si="38">D55</f>
        <v>195665.09499999997</v>
      </c>
      <c r="E166" s="218">
        <f t="shared" si="38"/>
        <v>201403.50099999999</v>
      </c>
      <c r="F166" s="218">
        <f t="shared" si="38"/>
        <v>280309.63399999996</v>
      </c>
      <c r="G166" s="218">
        <f t="shared" si="38"/>
        <v>156497.29800000001</v>
      </c>
    </row>
    <row r="167" spans="1:7">
      <c r="A167" s="301" t="s">
        <v>351</v>
      </c>
      <c r="B167" s="302"/>
      <c r="C167" s="302" t="s">
        <v>352</v>
      </c>
      <c r="D167" s="238">
        <f t="shared" ref="D167:G167" si="39">IF(0=D111,0,(D44+D45+D46+D47+D48)/D111)</f>
        <v>5.6559200494232645E-2</v>
      </c>
      <c r="E167" s="238">
        <f t="shared" si="39"/>
        <v>0</v>
      </c>
      <c r="F167" s="238">
        <f t="shared" si="39"/>
        <v>5.7505960161544321E-2</v>
      </c>
      <c r="G167" s="238">
        <f t="shared" si="39"/>
        <v>0</v>
      </c>
    </row>
    <row r="168" spans="1:7">
      <c r="A168" s="215" t="s">
        <v>353</v>
      </c>
      <c r="B168" s="290"/>
      <c r="C168" s="290" t="s">
        <v>354</v>
      </c>
      <c r="D168" s="218">
        <f t="shared" ref="D168:G168" si="40">D38-D44</f>
        <v>27159.024000000001</v>
      </c>
      <c r="E168" s="218">
        <f t="shared" si="40"/>
        <v>27006.464999999997</v>
      </c>
      <c r="F168" s="218">
        <f t="shared" si="40"/>
        <v>9351.6520000000019</v>
      </c>
      <c r="G168" s="218">
        <f t="shared" si="40"/>
        <v>14151.412</v>
      </c>
    </row>
    <row r="169" spans="1:7">
      <c r="A169" s="301" t="s">
        <v>355</v>
      </c>
      <c r="B169" s="302"/>
      <c r="C169" s="302" t="s">
        <v>356</v>
      </c>
      <c r="D169" s="221">
        <f t="shared" ref="D169:G169" si="41">IF(D177=0,0,D168/D177)</f>
        <v>6.5963390965333634E-3</v>
      </c>
      <c r="E169" s="221">
        <f t="shared" si="41"/>
        <v>6.9316876206106919E-3</v>
      </c>
      <c r="F169" s="221">
        <f t="shared" si="41"/>
        <v>2.1673384621650289E-3</v>
      </c>
      <c r="G169" s="221">
        <f t="shared" si="41"/>
        <v>3.6486258481099368E-3</v>
      </c>
    </row>
    <row r="170" spans="1:7">
      <c r="A170" s="215" t="s">
        <v>357</v>
      </c>
      <c r="B170" s="214"/>
      <c r="C170" s="214" t="s">
        <v>358</v>
      </c>
      <c r="D170" s="218">
        <f t="shared" ref="D170:G170" si="42">SUM(D82:D87)+SUM(D89:D94)</f>
        <v>367492.07899999997</v>
      </c>
      <c r="E170" s="218">
        <f t="shared" si="42"/>
        <v>560477.76</v>
      </c>
      <c r="F170" s="218">
        <f t="shared" si="42"/>
        <v>597613.70700000005</v>
      </c>
      <c r="G170" s="218">
        <f t="shared" si="42"/>
        <v>545515.88599999994</v>
      </c>
    </row>
    <row r="171" spans="1:7">
      <c r="A171" s="215" t="s">
        <v>359</v>
      </c>
      <c r="B171" s="214"/>
      <c r="C171" s="214" t="s">
        <v>360</v>
      </c>
      <c r="D171" s="239">
        <f t="shared" ref="D171:G171" si="43">SUM(D96:D102)+SUM(D104:D105)</f>
        <v>97152.832999999999</v>
      </c>
      <c r="E171" s="239">
        <f t="shared" si="43"/>
        <v>84407.192999999999</v>
      </c>
      <c r="F171" s="239">
        <f t="shared" si="43"/>
        <v>99747.20199999999</v>
      </c>
      <c r="G171" s="239">
        <f t="shared" si="43"/>
        <v>15927.562</v>
      </c>
    </row>
    <row r="172" spans="1:7">
      <c r="A172" s="306" t="s">
        <v>361</v>
      </c>
      <c r="B172" s="307"/>
      <c r="C172" s="307" t="s">
        <v>362</v>
      </c>
      <c r="D172" s="244">
        <f t="shared" ref="D172:G172" si="44">IF(D184=0,0,D170/D184)</f>
        <v>9.1060685789099136E-2</v>
      </c>
      <c r="E172" s="244">
        <f t="shared" si="44"/>
        <v>0.13244412354563218</v>
      </c>
      <c r="F172" s="244">
        <f t="shared" si="44"/>
        <v>0.14213243664321176</v>
      </c>
      <c r="G172" s="244">
        <f t="shared" si="44"/>
        <v>0.11930392710650037</v>
      </c>
    </row>
    <row r="173" spans="1:7">
      <c r="A173" s="389"/>
    </row>
    <row r="174" spans="1:7">
      <c r="A174" s="310" t="s">
        <v>363</v>
      </c>
      <c r="B174" s="248"/>
      <c r="C174" s="247"/>
      <c r="D174" s="161"/>
      <c r="E174" s="161"/>
      <c r="F174" s="161"/>
      <c r="G174" s="161"/>
    </row>
    <row r="175" spans="1:7" s="91" customFormat="1">
      <c r="A175" s="312" t="s">
        <v>364</v>
      </c>
      <c r="B175" s="248"/>
      <c r="C175" s="248" t="s">
        <v>387</v>
      </c>
      <c r="D175" s="246">
        <v>196086</v>
      </c>
      <c r="E175" s="246">
        <v>196086</v>
      </c>
      <c r="F175" s="398">
        <v>197005</v>
      </c>
      <c r="G175" s="398">
        <v>198110</v>
      </c>
    </row>
    <row r="176" spans="1:7">
      <c r="A176" s="310" t="s">
        <v>366</v>
      </c>
      <c r="B176" s="248"/>
      <c r="C176" s="248"/>
      <c r="D176" s="248"/>
      <c r="E176" s="248"/>
      <c r="F176" s="248"/>
      <c r="G176" s="248"/>
    </row>
    <row r="177" spans="1:7">
      <c r="A177" s="312" t="s">
        <v>367</v>
      </c>
      <c r="B177" s="248"/>
      <c r="C177" s="248" t="s">
        <v>368</v>
      </c>
      <c r="D177" s="249">
        <f t="shared" ref="D177:G177" si="45">SUM(D22:D32)+SUM(D44:D53)+SUM(D65:D72)+D75</f>
        <v>4117287.4230000004</v>
      </c>
      <c r="E177" s="249">
        <f t="shared" si="45"/>
        <v>3896088.0060000001</v>
      </c>
      <c r="F177" s="249">
        <f t="shared" si="45"/>
        <v>4314809.2294999994</v>
      </c>
      <c r="G177" s="249">
        <f t="shared" si="45"/>
        <v>3878559.3780000005</v>
      </c>
    </row>
    <row r="178" spans="1:7">
      <c r="A178" s="312" t="s">
        <v>369</v>
      </c>
      <c r="B178" s="248"/>
      <c r="C178" s="248" t="s">
        <v>370</v>
      </c>
      <c r="D178" s="249">
        <f t="shared" ref="D178:G178" si="46">D78-D17-D20-D59-D63-D64</f>
        <v>3937978.639</v>
      </c>
      <c r="E178" s="249">
        <f t="shared" si="46"/>
        <v>3860180.8779999996</v>
      </c>
      <c r="F178" s="249">
        <f t="shared" si="46"/>
        <v>3882362.1980000008</v>
      </c>
      <c r="G178" s="249">
        <f t="shared" si="46"/>
        <v>4830685.3059999999</v>
      </c>
    </row>
    <row r="179" spans="1:7">
      <c r="A179" s="312"/>
      <c r="B179" s="248"/>
      <c r="C179" s="248" t="s">
        <v>371</v>
      </c>
      <c r="D179" s="249">
        <f t="shared" ref="D179:G179" si="47">D178+D170</f>
        <v>4305470.7180000003</v>
      </c>
      <c r="E179" s="249">
        <f t="shared" si="47"/>
        <v>4420658.6379999993</v>
      </c>
      <c r="F179" s="249">
        <f t="shared" si="47"/>
        <v>4479975.9050000012</v>
      </c>
      <c r="G179" s="249">
        <f t="shared" si="47"/>
        <v>5376201.1919999998</v>
      </c>
    </row>
    <row r="180" spans="1:7">
      <c r="A180" s="312" t="s">
        <v>372</v>
      </c>
      <c r="B180" s="248"/>
      <c r="C180" s="248" t="s">
        <v>373</v>
      </c>
      <c r="D180" s="249">
        <f t="shared" ref="D180:G180" si="48">D38-D44+D8+D9+D10+D16-D33</f>
        <v>204303.054</v>
      </c>
      <c r="E180" s="249">
        <f t="shared" si="48"/>
        <v>207815.86199999996</v>
      </c>
      <c r="F180" s="249">
        <f t="shared" si="48"/>
        <v>189993.90000000002</v>
      </c>
      <c r="G180" s="249">
        <f t="shared" si="48"/>
        <v>809792.51400000008</v>
      </c>
    </row>
    <row r="181" spans="1:7" ht="27.5" customHeight="1">
      <c r="A181" s="315" t="s">
        <v>374</v>
      </c>
      <c r="B181" s="251"/>
      <c r="C181" s="251" t="s">
        <v>375</v>
      </c>
      <c r="D181" s="252">
        <f t="shared" ref="D181:G181" si="49">D22+D23+D24+D25+D26+D29+SUM(D44:D47)+SUM(D49:D53)-D54+D32-D33+SUM(D65:D70)+D72</f>
        <v>3984541.3940000003</v>
      </c>
      <c r="E181" s="252">
        <f t="shared" si="49"/>
        <v>3888262.1860000002</v>
      </c>
      <c r="F181" s="252">
        <f t="shared" si="49"/>
        <v>4208399.9464999996</v>
      </c>
      <c r="G181" s="252">
        <f t="shared" si="49"/>
        <v>3870564.3830000004</v>
      </c>
    </row>
    <row r="182" spans="1:7">
      <c r="A182" s="317" t="s">
        <v>376</v>
      </c>
      <c r="B182" s="251"/>
      <c r="C182" s="251" t="s">
        <v>377</v>
      </c>
      <c r="D182" s="252">
        <f t="shared" ref="D182:G182" si="50">D181+D171</f>
        <v>4081694.2270000004</v>
      </c>
      <c r="E182" s="252">
        <f t="shared" si="50"/>
        <v>3972669.3790000002</v>
      </c>
      <c r="F182" s="252">
        <f t="shared" si="50"/>
        <v>4308147.1484999992</v>
      </c>
      <c r="G182" s="252">
        <f t="shared" si="50"/>
        <v>3886491.9450000003</v>
      </c>
    </row>
    <row r="183" spans="1:7">
      <c r="A183" s="317" t="s">
        <v>378</v>
      </c>
      <c r="B183" s="251"/>
      <c r="C183" s="251" t="s">
        <v>379</v>
      </c>
      <c r="D183" s="252">
        <f t="shared" ref="D183" si="51">D4+D5-D7+D38+D39+D40+D41+D43+D13-D16+D57+D58+D60+D62</f>
        <v>3668191.1120000002</v>
      </c>
      <c r="E183" s="252">
        <f>E4+E5-E7+E38+E39+E40+E41+E43+E13-E16+E57+E58+E60+E62</f>
        <v>3671327.6609999998</v>
      </c>
      <c r="F183" s="252">
        <f>F4+F5-F7+F38+F39+F40+F41+F43+F13-F16+F57+F58+F60+F62</f>
        <v>3607012.0710000005</v>
      </c>
      <c r="G183" s="252">
        <f>G4+G5-G7+G38+G39+G40+G41+G43+G13-G16+G57+G58+G60+G62</f>
        <v>4026973.0440000007</v>
      </c>
    </row>
    <row r="184" spans="1:7">
      <c r="A184" s="317" t="s">
        <v>380</v>
      </c>
      <c r="B184" s="251"/>
      <c r="C184" s="251" t="s">
        <v>381</v>
      </c>
      <c r="D184" s="252">
        <f t="shared" ref="D184:G184" si="52">D183+D170</f>
        <v>4035683.1910000001</v>
      </c>
      <c r="E184" s="252">
        <f t="shared" si="52"/>
        <v>4231805.4210000001</v>
      </c>
      <c r="F184" s="252">
        <f t="shared" si="52"/>
        <v>4204625.7780000009</v>
      </c>
      <c r="G184" s="252">
        <f t="shared" si="52"/>
        <v>4572488.9300000006</v>
      </c>
    </row>
    <row r="185" spans="1:7">
      <c r="A185" s="317"/>
      <c r="B185" s="251"/>
      <c r="C185" s="251" t="s">
        <v>382</v>
      </c>
      <c r="D185" s="252">
        <f t="shared" ref="D185:G186" si="53">D181-D183</f>
        <v>316350.28200000012</v>
      </c>
      <c r="E185" s="252">
        <f t="shared" si="53"/>
        <v>216934.52500000037</v>
      </c>
      <c r="F185" s="252">
        <f t="shared" si="53"/>
        <v>601387.87549999915</v>
      </c>
      <c r="G185" s="252">
        <f t="shared" si="53"/>
        <v>-156408.66100000031</v>
      </c>
    </row>
    <row r="186" spans="1:7">
      <c r="A186" s="317"/>
      <c r="B186" s="251"/>
      <c r="C186" s="251" t="s">
        <v>383</v>
      </c>
      <c r="D186" s="252">
        <f t="shared" si="53"/>
        <v>46011.036000000313</v>
      </c>
      <c r="E186" s="252">
        <f t="shared" si="53"/>
        <v>-259136.0419999999</v>
      </c>
      <c r="F186" s="252">
        <f t="shared" si="53"/>
        <v>103521.37049999833</v>
      </c>
      <c r="G186" s="252">
        <f t="shared" si="53"/>
        <v>-685996.98500000034</v>
      </c>
    </row>
    <row r="188" spans="1:7">
      <c r="A188" s="682" t="s">
        <v>394</v>
      </c>
      <c r="B188" s="683"/>
      <c r="C188" s="683"/>
    </row>
    <row r="189" spans="1:7">
      <c r="A189" s="225" t="s">
        <v>395</v>
      </c>
      <c r="B189" s="225"/>
      <c r="C189" s="225"/>
    </row>
  </sheetData>
  <sheetProtection selectLockedCells="1" sort="0" autoFilter="0" pivotTables="0"/>
  <mergeCells count="3">
    <mergeCell ref="A3:C3"/>
    <mergeCell ref="A81:C81"/>
    <mergeCell ref="A188:C188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8" man="1"/>
    <brk id="147" max="8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AN186"/>
  <sheetViews>
    <sheetView tabSelected="1" zoomScale="115" zoomScaleNormal="115" workbookViewId="0">
      <pane xSplit="3" ySplit="2" topLeftCell="D3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11.5" defaultRowHeight="13"/>
  <cols>
    <col min="1" max="1" width="15.1640625" style="84" customWidth="1"/>
    <col min="2" max="2" width="3.6640625" style="84" customWidth="1"/>
    <col min="3" max="3" width="44.6640625" style="84" customWidth="1"/>
    <col min="4" max="4" width="9.6640625" style="373" customWidth="1"/>
    <col min="5" max="5" width="11.5" style="373"/>
    <col min="6" max="7" width="11.5" style="84" customWidth="1"/>
    <col min="8" max="16384" width="11.5" style="84"/>
  </cols>
  <sheetData>
    <row r="1" spans="1:40" s="77" customFormat="1" ht="18" customHeight="1">
      <c r="A1" s="319" t="s">
        <v>156</v>
      </c>
      <c r="B1" s="319" t="s">
        <v>390</v>
      </c>
      <c r="C1" s="319" t="s">
        <v>391</v>
      </c>
      <c r="D1" s="320" t="s">
        <v>7</v>
      </c>
      <c r="E1" s="321" t="s">
        <v>9</v>
      </c>
      <c r="F1" s="320" t="s">
        <v>7</v>
      </c>
      <c r="G1" s="321" t="s">
        <v>9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</row>
    <row r="2" spans="1:40" s="83" customFormat="1" ht="15" customHeight="1">
      <c r="A2" s="78"/>
      <c r="B2" s="79"/>
      <c r="C2" s="80" t="s">
        <v>158</v>
      </c>
      <c r="D2" s="322">
        <v>2014</v>
      </c>
      <c r="E2" s="323">
        <v>2015</v>
      </c>
      <c r="F2" s="81">
        <v>2015</v>
      </c>
      <c r="G2" s="323">
        <v>2016</v>
      </c>
    </row>
    <row r="3" spans="1:40" ht="15" customHeight="1">
      <c r="A3" s="678" t="s">
        <v>159</v>
      </c>
      <c r="B3" s="679"/>
      <c r="C3" s="679"/>
      <c r="D3" s="324"/>
      <c r="E3" s="325" t="s">
        <v>389</v>
      </c>
      <c r="F3" s="85"/>
      <c r="G3" s="85"/>
    </row>
    <row r="4" spans="1:40" s="91" customFormat="1" ht="12.75" customHeight="1">
      <c r="A4" s="86">
        <v>30</v>
      </c>
      <c r="B4" s="87"/>
      <c r="C4" s="88" t="s">
        <v>14</v>
      </c>
      <c r="D4" s="326">
        <v>627557.4</v>
      </c>
      <c r="E4" s="326">
        <v>621857.69999999995</v>
      </c>
      <c r="F4" s="90">
        <v>612716.9</v>
      </c>
      <c r="G4" s="90">
        <v>596036.69999999995</v>
      </c>
    </row>
    <row r="5" spans="1:40" s="91" customFormat="1" ht="12.75" customHeight="1">
      <c r="A5" s="92">
        <v>31</v>
      </c>
      <c r="B5" s="93"/>
      <c r="C5" s="94" t="s">
        <v>160</v>
      </c>
      <c r="D5" s="327">
        <v>238648</v>
      </c>
      <c r="E5" s="328">
        <v>243901.5</v>
      </c>
      <c r="F5" s="96">
        <v>207169.6</v>
      </c>
      <c r="G5" s="96">
        <v>226779.9</v>
      </c>
    </row>
    <row r="6" spans="1:40" s="91" customFormat="1" ht="12.75" customHeight="1">
      <c r="A6" s="97" t="s">
        <v>17</v>
      </c>
      <c r="B6" s="98"/>
      <c r="C6" s="99" t="s">
        <v>161</v>
      </c>
      <c r="D6" s="329">
        <v>28923.9</v>
      </c>
      <c r="E6" s="328">
        <v>30571.9</v>
      </c>
      <c r="F6" s="96">
        <v>29599.200000000001</v>
      </c>
      <c r="G6" s="96">
        <v>27813.3</v>
      </c>
    </row>
    <row r="7" spans="1:40" s="91" customFormat="1" ht="12.75" customHeight="1">
      <c r="A7" s="97" t="s">
        <v>162</v>
      </c>
      <c r="B7" s="98"/>
      <c r="C7" s="99" t="s">
        <v>163</v>
      </c>
      <c r="D7" s="329">
        <v>20763</v>
      </c>
      <c r="E7" s="328">
        <v>24891.8</v>
      </c>
      <c r="F7" s="96">
        <v>2580.8000000000002</v>
      </c>
      <c r="G7" s="96">
        <v>25064.5</v>
      </c>
    </row>
    <row r="8" spans="1:40" s="91" customFormat="1" ht="12.75" customHeight="1">
      <c r="A8" s="101">
        <v>330</v>
      </c>
      <c r="B8" s="93"/>
      <c r="C8" s="94" t="s">
        <v>164</v>
      </c>
      <c r="D8" s="327">
        <v>75726.3</v>
      </c>
      <c r="E8" s="328">
        <v>68161.7</v>
      </c>
      <c r="F8" s="96">
        <v>67990.7</v>
      </c>
      <c r="G8" s="96">
        <v>63442.400000000001</v>
      </c>
    </row>
    <row r="9" spans="1:40" s="91" customFormat="1" ht="12.75" customHeight="1">
      <c r="A9" s="101">
        <v>332</v>
      </c>
      <c r="B9" s="93"/>
      <c r="C9" s="94" t="s">
        <v>165</v>
      </c>
      <c r="D9" s="327">
        <v>0</v>
      </c>
      <c r="E9" s="328">
        <v>0</v>
      </c>
      <c r="F9" s="96">
        <v>0</v>
      </c>
      <c r="G9" s="96">
        <v>0</v>
      </c>
    </row>
    <row r="10" spans="1:40" s="91" customFormat="1" ht="12.75" customHeight="1">
      <c r="A10" s="101">
        <v>339</v>
      </c>
      <c r="B10" s="93"/>
      <c r="C10" s="94" t="s">
        <v>166</v>
      </c>
      <c r="D10" s="327">
        <v>0</v>
      </c>
      <c r="E10" s="328">
        <v>0</v>
      </c>
      <c r="F10" s="96">
        <v>0</v>
      </c>
      <c r="G10" s="96">
        <v>0</v>
      </c>
    </row>
    <row r="11" spans="1:40" s="91" customFormat="1" ht="12.75" customHeight="1">
      <c r="A11" s="92">
        <v>350</v>
      </c>
      <c r="B11" s="93"/>
      <c r="C11" s="94" t="s">
        <v>167</v>
      </c>
      <c r="D11" s="327">
        <v>23404.5</v>
      </c>
      <c r="E11" s="328">
        <v>21650</v>
      </c>
      <c r="F11" s="96">
        <v>22093.599999999999</v>
      </c>
      <c r="G11" s="96">
        <v>22330</v>
      </c>
    </row>
    <row r="12" spans="1:40" s="106" customFormat="1" ht="14">
      <c r="A12" s="102">
        <v>351</v>
      </c>
      <c r="B12" s="103"/>
      <c r="C12" s="104" t="s">
        <v>168</v>
      </c>
      <c r="D12" s="330">
        <v>0</v>
      </c>
      <c r="E12" s="328">
        <v>0</v>
      </c>
      <c r="F12" s="96">
        <v>0</v>
      </c>
      <c r="G12" s="96">
        <v>0</v>
      </c>
    </row>
    <row r="13" spans="1:40" s="91" customFormat="1" ht="12.75" customHeight="1">
      <c r="A13" s="92">
        <v>36</v>
      </c>
      <c r="B13" s="93"/>
      <c r="C13" s="94" t="s">
        <v>169</v>
      </c>
      <c r="D13" s="329">
        <v>1459499.1</v>
      </c>
      <c r="E13" s="328">
        <v>1521046.8</v>
      </c>
      <c r="F13" s="96">
        <v>1523905.7</v>
      </c>
      <c r="G13" s="96">
        <v>1574555.6</v>
      </c>
    </row>
    <row r="14" spans="1:40" s="91" customFormat="1" ht="12.75" customHeight="1">
      <c r="A14" s="107" t="s">
        <v>170</v>
      </c>
      <c r="B14" s="93"/>
      <c r="C14" s="108" t="s">
        <v>171</v>
      </c>
      <c r="D14" s="329">
        <v>75099.8</v>
      </c>
      <c r="E14" s="328">
        <v>79013</v>
      </c>
      <c r="F14" s="96">
        <v>78186.2</v>
      </c>
      <c r="G14" s="96">
        <v>90476</v>
      </c>
    </row>
    <row r="15" spans="1:40" s="91" customFormat="1" ht="12.75" customHeight="1">
      <c r="A15" s="107" t="s">
        <v>172</v>
      </c>
      <c r="B15" s="93"/>
      <c r="C15" s="108" t="s">
        <v>173</v>
      </c>
      <c r="D15" s="329">
        <v>99074.4</v>
      </c>
      <c r="E15" s="328">
        <v>91801.3</v>
      </c>
      <c r="F15" s="96">
        <v>104696.5</v>
      </c>
      <c r="G15" s="96">
        <v>102604.6</v>
      </c>
    </row>
    <row r="16" spans="1:40" s="111" customFormat="1" ht="26.25" customHeight="1">
      <c r="A16" s="107" t="s">
        <v>174</v>
      </c>
      <c r="B16" s="109"/>
      <c r="C16" s="108" t="s">
        <v>175</v>
      </c>
      <c r="D16" s="331">
        <v>910.1</v>
      </c>
      <c r="E16" s="328">
        <v>2458.1999999999998</v>
      </c>
      <c r="F16" s="96">
        <v>1629.2</v>
      </c>
      <c r="G16" s="96">
        <v>8312.5</v>
      </c>
    </row>
    <row r="17" spans="1:7" s="113" customFormat="1">
      <c r="A17" s="92">
        <v>37</v>
      </c>
      <c r="B17" s="93"/>
      <c r="C17" s="94" t="s">
        <v>176</v>
      </c>
      <c r="D17" s="332">
        <v>97394.2</v>
      </c>
      <c r="E17" s="328">
        <v>100111.9</v>
      </c>
      <c r="F17" s="96">
        <v>90828.800000000003</v>
      </c>
      <c r="G17" s="96">
        <v>85253.1</v>
      </c>
    </row>
    <row r="18" spans="1:7" s="113" customFormat="1">
      <c r="A18" s="114" t="s">
        <v>177</v>
      </c>
      <c r="B18" s="98"/>
      <c r="C18" s="99" t="s">
        <v>178</v>
      </c>
      <c r="D18" s="333">
        <v>1251.8</v>
      </c>
      <c r="E18" s="328">
        <v>1075</v>
      </c>
      <c r="F18" s="96">
        <v>854.9</v>
      </c>
      <c r="G18" s="96">
        <v>1000</v>
      </c>
    </row>
    <row r="19" spans="1:7" s="113" customFormat="1">
      <c r="A19" s="114" t="s">
        <v>179</v>
      </c>
      <c r="B19" s="98"/>
      <c r="C19" s="99" t="s">
        <v>180</v>
      </c>
      <c r="D19" s="333">
        <v>55087</v>
      </c>
      <c r="E19" s="328">
        <v>60387.9</v>
      </c>
      <c r="F19" s="96">
        <v>44607.9</v>
      </c>
      <c r="G19" s="96">
        <v>46309.9</v>
      </c>
    </row>
    <row r="20" spans="1:7" s="91" customFormat="1" ht="12.75" customHeight="1">
      <c r="A20" s="116">
        <v>39</v>
      </c>
      <c r="B20" s="117"/>
      <c r="C20" s="118" t="s">
        <v>181</v>
      </c>
      <c r="D20" s="334">
        <v>177.4</v>
      </c>
      <c r="E20" s="335">
        <v>166.8</v>
      </c>
      <c r="F20" s="120">
        <v>196.5</v>
      </c>
      <c r="G20" s="120">
        <v>179.1</v>
      </c>
    </row>
    <row r="21" spans="1:7" ht="12.75" customHeight="1">
      <c r="A21" s="121"/>
      <c r="B21" s="121"/>
      <c r="C21" s="122" t="s">
        <v>182</v>
      </c>
      <c r="D21" s="336">
        <f t="shared" ref="D21:G21" si="0">D4+D5+SUM(D8:D13)+D17</f>
        <v>2522229.5000000005</v>
      </c>
      <c r="E21" s="336">
        <f t="shared" si="0"/>
        <v>2576729.6</v>
      </c>
      <c r="F21" s="123">
        <f t="shared" si="0"/>
        <v>2524705.2999999998</v>
      </c>
      <c r="G21" s="123">
        <f t="shared" si="0"/>
        <v>2568397.7000000002</v>
      </c>
    </row>
    <row r="22" spans="1:7" s="91" customFormat="1" ht="12.75" customHeight="1">
      <c r="A22" s="101" t="s">
        <v>183</v>
      </c>
      <c r="B22" s="93"/>
      <c r="C22" s="94" t="s">
        <v>184</v>
      </c>
      <c r="D22" s="327">
        <v>1415240.6</v>
      </c>
      <c r="E22" s="327">
        <v>1488455</v>
      </c>
      <c r="F22" s="95">
        <v>1416841.6</v>
      </c>
      <c r="G22" s="95">
        <v>1452750</v>
      </c>
    </row>
    <row r="23" spans="1:7" s="91" customFormat="1" ht="12.75" customHeight="1">
      <c r="A23" s="101" t="s">
        <v>185</v>
      </c>
      <c r="B23" s="93"/>
      <c r="C23" s="94" t="s">
        <v>186</v>
      </c>
      <c r="D23" s="327">
        <v>202380.1</v>
      </c>
      <c r="E23" s="327">
        <v>199300</v>
      </c>
      <c r="F23" s="95">
        <v>256560.5</v>
      </c>
      <c r="G23" s="95">
        <v>207200</v>
      </c>
    </row>
    <row r="24" spans="1:7" s="125" customFormat="1" ht="12.75" customHeight="1">
      <c r="A24" s="92">
        <v>41</v>
      </c>
      <c r="B24" s="93"/>
      <c r="C24" s="94" t="s">
        <v>187</v>
      </c>
      <c r="D24" s="327">
        <v>7649.1</v>
      </c>
      <c r="E24" s="327">
        <v>31059</v>
      </c>
      <c r="F24" s="95">
        <v>53523.199999999997</v>
      </c>
      <c r="G24" s="95">
        <v>19439</v>
      </c>
    </row>
    <row r="25" spans="1:7" s="91" customFormat="1" ht="12.75" customHeight="1">
      <c r="A25" s="126">
        <v>42</v>
      </c>
      <c r="B25" s="127"/>
      <c r="C25" s="94" t="s">
        <v>188</v>
      </c>
      <c r="D25" s="327">
        <v>134954.70000000001</v>
      </c>
      <c r="E25" s="327">
        <v>151975.29999999999</v>
      </c>
      <c r="F25" s="95">
        <v>139143.9</v>
      </c>
      <c r="G25" s="95">
        <v>145595.29999999999</v>
      </c>
    </row>
    <row r="26" spans="1:7" s="129" customFormat="1" ht="12.75" customHeight="1">
      <c r="A26" s="102">
        <v>430</v>
      </c>
      <c r="B26" s="93"/>
      <c r="C26" s="94" t="s">
        <v>189</v>
      </c>
      <c r="D26" s="332">
        <v>2222.1</v>
      </c>
      <c r="E26" s="332">
        <v>1522</v>
      </c>
      <c r="F26" s="112">
        <v>2977.1</v>
      </c>
      <c r="G26" s="112">
        <v>1899.3</v>
      </c>
    </row>
    <row r="27" spans="1:7" s="129" customFormat="1" ht="12.75" customHeight="1">
      <c r="A27" s="102">
        <v>431</v>
      </c>
      <c r="B27" s="93"/>
      <c r="C27" s="94" t="s">
        <v>190</v>
      </c>
      <c r="D27" s="332">
        <v>0</v>
      </c>
      <c r="E27" s="332">
        <v>0</v>
      </c>
      <c r="F27" s="112">
        <v>0</v>
      </c>
      <c r="G27" s="112">
        <v>0</v>
      </c>
    </row>
    <row r="28" spans="1:7" s="129" customFormat="1" ht="12.75" customHeight="1">
      <c r="A28" s="102">
        <v>432</v>
      </c>
      <c r="B28" s="93"/>
      <c r="C28" s="94" t="s">
        <v>191</v>
      </c>
      <c r="D28" s="332">
        <v>0</v>
      </c>
      <c r="E28" s="332">
        <v>0</v>
      </c>
      <c r="F28" s="112">
        <v>0</v>
      </c>
      <c r="G28" s="112">
        <v>0</v>
      </c>
    </row>
    <row r="29" spans="1:7" s="129" customFormat="1" ht="12.75" customHeight="1">
      <c r="A29" s="102">
        <v>439</v>
      </c>
      <c r="B29" s="93"/>
      <c r="C29" s="94" t="s">
        <v>192</v>
      </c>
      <c r="D29" s="332">
        <v>1219.8</v>
      </c>
      <c r="E29" s="332">
        <v>352</v>
      </c>
      <c r="F29" s="112">
        <v>1647.5</v>
      </c>
      <c r="G29" s="112">
        <v>386</v>
      </c>
    </row>
    <row r="30" spans="1:7" s="91" customFormat="1" ht="14">
      <c r="A30" s="102">
        <v>450</v>
      </c>
      <c r="B30" s="103"/>
      <c r="C30" s="104" t="s">
        <v>193</v>
      </c>
      <c r="D30" s="328">
        <v>2247.4</v>
      </c>
      <c r="E30" s="328">
        <v>1981.2</v>
      </c>
      <c r="F30" s="130">
        <v>2022.7</v>
      </c>
      <c r="G30" s="130">
        <v>2194.1999999999998</v>
      </c>
    </row>
    <row r="31" spans="1:7" s="106" customFormat="1" ht="14">
      <c r="A31" s="102">
        <v>451</v>
      </c>
      <c r="B31" s="103"/>
      <c r="C31" s="104" t="s">
        <v>194</v>
      </c>
      <c r="D31" s="337">
        <v>0.5</v>
      </c>
      <c r="E31" s="337">
        <v>0</v>
      </c>
      <c r="F31" s="131">
        <v>3000.5</v>
      </c>
      <c r="G31" s="131">
        <v>0</v>
      </c>
    </row>
    <row r="32" spans="1:7" s="91" customFormat="1" ht="12.75" customHeight="1">
      <c r="A32" s="92">
        <v>46</v>
      </c>
      <c r="B32" s="93"/>
      <c r="C32" s="94" t="s">
        <v>195</v>
      </c>
      <c r="D32" s="327">
        <v>452651.2</v>
      </c>
      <c r="E32" s="327">
        <v>505827.1</v>
      </c>
      <c r="F32" s="95">
        <v>472194.8</v>
      </c>
      <c r="G32" s="95">
        <v>524064.1</v>
      </c>
    </row>
    <row r="33" spans="1:7" s="106" customFormat="1" ht="12.75" customHeight="1">
      <c r="A33" s="114" t="s">
        <v>196</v>
      </c>
      <c r="B33" s="98"/>
      <c r="C33" s="99" t="s">
        <v>197</v>
      </c>
      <c r="D33" s="329">
        <v>0</v>
      </c>
      <c r="E33" s="329">
        <v>0</v>
      </c>
      <c r="F33" s="100">
        <v>0</v>
      </c>
      <c r="G33" s="100">
        <v>0</v>
      </c>
    </row>
    <row r="34" spans="1:7" s="91" customFormat="1" ht="15" customHeight="1">
      <c r="A34" s="92">
        <v>47</v>
      </c>
      <c r="B34" s="93"/>
      <c r="C34" s="94" t="s">
        <v>176</v>
      </c>
      <c r="D34" s="327">
        <v>97394.3</v>
      </c>
      <c r="E34" s="327">
        <v>100111.9</v>
      </c>
      <c r="F34" s="95">
        <v>90828.800000000003</v>
      </c>
      <c r="G34" s="95">
        <v>85253.1</v>
      </c>
    </row>
    <row r="35" spans="1:7" s="91" customFormat="1" ht="15" customHeight="1">
      <c r="A35" s="116">
        <v>49</v>
      </c>
      <c r="B35" s="117"/>
      <c r="C35" s="118" t="s">
        <v>198</v>
      </c>
      <c r="D35" s="334">
        <v>177.4</v>
      </c>
      <c r="E35" s="334">
        <v>166.8</v>
      </c>
      <c r="F35" s="119">
        <v>196.5</v>
      </c>
      <c r="G35" s="119">
        <v>179.1</v>
      </c>
    </row>
    <row r="36" spans="1:7" ht="13.5" customHeight="1">
      <c r="A36" s="121"/>
      <c r="B36" s="134"/>
      <c r="C36" s="122" t="s">
        <v>199</v>
      </c>
      <c r="D36" s="336">
        <f t="shared" ref="D36:G36" si="1">D22+D23+D24+D25+D26+D27+D28+D29+D30+D31+D32+D34</f>
        <v>2315959.8000000003</v>
      </c>
      <c r="E36" s="336">
        <f t="shared" si="1"/>
        <v>2480583.5</v>
      </c>
      <c r="F36" s="123">
        <f t="shared" si="1"/>
        <v>2438740.5999999996</v>
      </c>
      <c r="G36" s="123">
        <f t="shared" si="1"/>
        <v>2438781</v>
      </c>
    </row>
    <row r="37" spans="1:7" s="135" customFormat="1" ht="15" customHeight="1">
      <c r="A37" s="121"/>
      <c r="B37" s="134"/>
      <c r="C37" s="122" t="s">
        <v>200</v>
      </c>
      <c r="D37" s="336">
        <f t="shared" ref="D37:G37" si="2">D36-D21</f>
        <v>-206269.70000000019</v>
      </c>
      <c r="E37" s="336">
        <f t="shared" si="2"/>
        <v>-96146.100000000093</v>
      </c>
      <c r="F37" s="123">
        <f t="shared" si="2"/>
        <v>-85964.700000000186</v>
      </c>
      <c r="G37" s="123">
        <f t="shared" si="2"/>
        <v>-129616.70000000019</v>
      </c>
    </row>
    <row r="38" spans="1:7" s="106" customFormat="1" ht="15" customHeight="1">
      <c r="A38" s="101">
        <v>340</v>
      </c>
      <c r="B38" s="93"/>
      <c r="C38" s="94" t="s">
        <v>201</v>
      </c>
      <c r="D38" s="327">
        <v>29054.3</v>
      </c>
      <c r="E38" s="327">
        <v>54756.5</v>
      </c>
      <c r="F38" s="95">
        <v>47248.4</v>
      </c>
      <c r="G38" s="95">
        <v>42969</v>
      </c>
    </row>
    <row r="39" spans="1:7" s="106" customFormat="1" ht="15" customHeight="1">
      <c r="A39" s="101">
        <v>341</v>
      </c>
      <c r="B39" s="93"/>
      <c r="C39" s="94" t="s">
        <v>202</v>
      </c>
      <c r="D39" s="327">
        <v>827.3</v>
      </c>
      <c r="E39" s="327">
        <v>10.7</v>
      </c>
      <c r="F39" s="95">
        <v>1477.2</v>
      </c>
      <c r="G39" s="95">
        <v>10.1</v>
      </c>
    </row>
    <row r="40" spans="1:7" s="106" customFormat="1" ht="15" customHeight="1">
      <c r="A40" s="101">
        <v>342</v>
      </c>
      <c r="B40" s="93"/>
      <c r="C40" s="94" t="s">
        <v>203</v>
      </c>
      <c r="D40" s="327">
        <v>756.3</v>
      </c>
      <c r="E40" s="327">
        <v>728.6</v>
      </c>
      <c r="F40" s="95">
        <v>3645.3</v>
      </c>
      <c r="G40" s="95">
        <v>1003.4</v>
      </c>
    </row>
    <row r="41" spans="1:7" s="106" customFormat="1" ht="15" customHeight="1">
      <c r="A41" s="101">
        <v>343</v>
      </c>
      <c r="B41" s="93"/>
      <c r="C41" s="94" t="s">
        <v>204</v>
      </c>
      <c r="D41" s="327">
        <v>1053.3</v>
      </c>
      <c r="E41" s="327">
        <v>1226</v>
      </c>
      <c r="F41" s="95">
        <v>1512.3</v>
      </c>
      <c r="G41" s="95">
        <v>1163.4000000000001</v>
      </c>
    </row>
    <row r="42" spans="1:7" s="106" customFormat="1" ht="15" customHeight="1">
      <c r="A42" s="101">
        <v>344</v>
      </c>
      <c r="B42" s="93"/>
      <c r="C42" s="94" t="s">
        <v>205</v>
      </c>
      <c r="D42" s="327">
        <v>0</v>
      </c>
      <c r="E42" s="327">
        <v>0</v>
      </c>
      <c r="F42" s="95">
        <v>1444.5</v>
      </c>
      <c r="G42" s="95">
        <v>0</v>
      </c>
    </row>
    <row r="43" spans="1:7" s="106" customFormat="1" ht="15" customHeight="1">
      <c r="A43" s="101">
        <v>349</v>
      </c>
      <c r="B43" s="93"/>
      <c r="C43" s="94" t="s">
        <v>206</v>
      </c>
      <c r="D43" s="327">
        <v>-201.2</v>
      </c>
      <c r="E43" s="327">
        <v>800.1</v>
      </c>
      <c r="F43" s="95">
        <v>-1636.1</v>
      </c>
      <c r="G43" s="95">
        <v>900</v>
      </c>
    </row>
    <row r="44" spans="1:7" s="91" customFormat="1" ht="15" customHeight="1">
      <c r="A44" s="92">
        <v>440</v>
      </c>
      <c r="B44" s="93"/>
      <c r="C44" s="94" t="s">
        <v>207</v>
      </c>
      <c r="D44" s="327">
        <v>21058.1</v>
      </c>
      <c r="E44" s="327">
        <v>18876.900000000001</v>
      </c>
      <c r="F44" s="95">
        <v>28324.2</v>
      </c>
      <c r="G44" s="95">
        <v>19485.7</v>
      </c>
    </row>
    <row r="45" spans="1:7" s="91" customFormat="1" ht="15" customHeight="1">
      <c r="A45" s="92">
        <v>441</v>
      </c>
      <c r="B45" s="93"/>
      <c r="C45" s="94" t="s">
        <v>208</v>
      </c>
      <c r="D45" s="327">
        <v>2740.5</v>
      </c>
      <c r="E45" s="327">
        <v>1300</v>
      </c>
      <c r="F45" s="95">
        <v>5503.2</v>
      </c>
      <c r="G45" s="95">
        <v>22085</v>
      </c>
    </row>
    <row r="46" spans="1:7" s="91" customFormat="1" ht="15" customHeight="1">
      <c r="A46" s="92">
        <v>442</v>
      </c>
      <c r="B46" s="93"/>
      <c r="C46" s="94" t="s">
        <v>209</v>
      </c>
      <c r="D46" s="327">
        <v>4.3</v>
      </c>
      <c r="E46" s="327">
        <v>0</v>
      </c>
      <c r="F46" s="95">
        <v>0</v>
      </c>
      <c r="G46" s="95">
        <v>0</v>
      </c>
    </row>
    <row r="47" spans="1:7" s="91" customFormat="1" ht="15" customHeight="1">
      <c r="A47" s="92">
        <v>443</v>
      </c>
      <c r="B47" s="93"/>
      <c r="C47" s="94" t="s">
        <v>210</v>
      </c>
      <c r="D47" s="327">
        <v>12835.4</v>
      </c>
      <c r="E47" s="327">
        <v>10462</v>
      </c>
      <c r="F47" s="95">
        <v>10548.8</v>
      </c>
      <c r="G47" s="95">
        <v>10170</v>
      </c>
    </row>
    <row r="48" spans="1:7" s="91" customFormat="1" ht="15" customHeight="1">
      <c r="A48" s="92">
        <v>444</v>
      </c>
      <c r="B48" s="93"/>
      <c r="C48" s="94" t="s">
        <v>205</v>
      </c>
      <c r="D48" s="327">
        <v>50</v>
      </c>
      <c r="E48" s="327">
        <v>50</v>
      </c>
      <c r="F48" s="95">
        <v>31185.599999999999</v>
      </c>
      <c r="G48" s="95">
        <v>50</v>
      </c>
    </row>
    <row r="49" spans="1:7" s="91" customFormat="1" ht="15" customHeight="1">
      <c r="A49" s="92">
        <v>445</v>
      </c>
      <c r="B49" s="93"/>
      <c r="C49" s="94" t="s">
        <v>211</v>
      </c>
      <c r="D49" s="327">
        <v>4064.6</v>
      </c>
      <c r="E49" s="327">
        <v>3940</v>
      </c>
      <c r="F49" s="95">
        <v>4951.8999999999996</v>
      </c>
      <c r="G49" s="95">
        <v>4100</v>
      </c>
    </row>
    <row r="50" spans="1:7" s="91" customFormat="1" ht="15" customHeight="1">
      <c r="A50" s="92">
        <v>446</v>
      </c>
      <c r="B50" s="93"/>
      <c r="C50" s="94" t="s">
        <v>212</v>
      </c>
      <c r="D50" s="327">
        <v>53563.199999999997</v>
      </c>
      <c r="E50" s="327">
        <v>55140</v>
      </c>
      <c r="F50" s="95">
        <v>55519.5</v>
      </c>
      <c r="G50" s="95">
        <v>55135</v>
      </c>
    </row>
    <row r="51" spans="1:7" s="91" customFormat="1" ht="15" customHeight="1">
      <c r="A51" s="92">
        <v>447</v>
      </c>
      <c r="B51" s="93"/>
      <c r="C51" s="94" t="s">
        <v>213</v>
      </c>
      <c r="D51" s="327">
        <v>12337.8</v>
      </c>
      <c r="E51" s="327">
        <v>12806.1</v>
      </c>
      <c r="F51" s="95">
        <v>11211.1</v>
      </c>
      <c r="G51" s="95">
        <v>11904.1</v>
      </c>
    </row>
    <row r="52" spans="1:7" s="91" customFormat="1" ht="15" customHeight="1">
      <c r="A52" s="92">
        <v>448</v>
      </c>
      <c r="B52" s="93"/>
      <c r="C52" s="94" t="s">
        <v>214</v>
      </c>
      <c r="D52" s="327">
        <v>0</v>
      </c>
      <c r="E52" s="327">
        <v>0</v>
      </c>
      <c r="F52" s="95">
        <v>0</v>
      </c>
      <c r="G52" s="95">
        <v>0</v>
      </c>
    </row>
    <row r="53" spans="1:7" s="91" customFormat="1" ht="15" customHeight="1">
      <c r="A53" s="92">
        <v>449</v>
      </c>
      <c r="B53" s="93"/>
      <c r="C53" s="94" t="s">
        <v>215</v>
      </c>
      <c r="D53" s="327">
        <v>0</v>
      </c>
      <c r="E53" s="327">
        <v>0</v>
      </c>
      <c r="F53" s="95">
        <v>0</v>
      </c>
      <c r="G53" s="95">
        <v>0</v>
      </c>
    </row>
    <row r="54" spans="1:7" s="106" customFormat="1" ht="13.5" customHeight="1">
      <c r="A54" s="136" t="s">
        <v>216</v>
      </c>
      <c r="B54" s="137"/>
      <c r="C54" s="137" t="s">
        <v>217</v>
      </c>
      <c r="D54" s="338">
        <v>0</v>
      </c>
      <c r="E54" s="338">
        <v>0</v>
      </c>
      <c r="F54" s="138">
        <v>0</v>
      </c>
      <c r="G54" s="138">
        <v>0</v>
      </c>
    </row>
    <row r="55" spans="1:7" ht="15" customHeight="1">
      <c r="A55" s="134"/>
      <c r="B55" s="134"/>
      <c r="C55" s="122" t="s">
        <v>218</v>
      </c>
      <c r="D55" s="336">
        <f t="shared" ref="D55:G55" si="3">SUM(D44:D53)-SUM(D38:D43)</f>
        <v>75163.899999999994</v>
      </c>
      <c r="E55" s="336">
        <f t="shared" si="3"/>
        <v>45053.100000000006</v>
      </c>
      <c r="F55" s="123">
        <f t="shared" si="3"/>
        <v>93552.699999999983</v>
      </c>
      <c r="G55" s="123">
        <f t="shared" si="3"/>
        <v>76883.899999999994</v>
      </c>
    </row>
    <row r="56" spans="1:7" ht="14.25" customHeight="1">
      <c r="A56" s="134"/>
      <c r="B56" s="134"/>
      <c r="C56" s="122" t="s">
        <v>219</v>
      </c>
      <c r="D56" s="336">
        <f t="shared" ref="D56:G56" si="4">D55+D37</f>
        <v>-131105.80000000019</v>
      </c>
      <c r="E56" s="336">
        <f t="shared" si="4"/>
        <v>-51093.000000000087</v>
      </c>
      <c r="F56" s="123">
        <f t="shared" si="4"/>
        <v>7587.9999999997963</v>
      </c>
      <c r="G56" s="123">
        <f t="shared" si="4"/>
        <v>-52732.800000000192</v>
      </c>
    </row>
    <row r="57" spans="1:7" s="91" customFormat="1" ht="15.75" customHeight="1">
      <c r="A57" s="140">
        <v>380</v>
      </c>
      <c r="B57" s="141"/>
      <c r="C57" s="142" t="s">
        <v>220</v>
      </c>
      <c r="D57" s="339">
        <v>1512136.7</v>
      </c>
      <c r="E57" s="339">
        <v>0</v>
      </c>
      <c r="F57" s="340">
        <v>44779.6</v>
      </c>
      <c r="G57" s="340">
        <v>0</v>
      </c>
    </row>
    <row r="58" spans="1:7" s="91" customFormat="1" ht="15.75" customHeight="1">
      <c r="A58" s="140">
        <v>381</v>
      </c>
      <c r="B58" s="141"/>
      <c r="C58" s="142" t="s">
        <v>221</v>
      </c>
      <c r="D58" s="339">
        <v>0</v>
      </c>
      <c r="E58" s="339">
        <v>0</v>
      </c>
      <c r="F58" s="340">
        <v>0</v>
      </c>
      <c r="G58" s="340">
        <v>0</v>
      </c>
    </row>
    <row r="59" spans="1:7" s="106" customFormat="1" ht="14">
      <c r="A59" s="140">
        <v>383</v>
      </c>
      <c r="B59" s="103"/>
      <c r="C59" s="104" t="s">
        <v>222</v>
      </c>
      <c r="D59" s="341">
        <v>0</v>
      </c>
      <c r="E59" s="341">
        <v>0</v>
      </c>
      <c r="F59" s="143">
        <v>0</v>
      </c>
      <c r="G59" s="143">
        <v>0</v>
      </c>
    </row>
    <row r="60" spans="1:7" s="106" customFormat="1" ht="14">
      <c r="A60" s="102">
        <v>3840</v>
      </c>
      <c r="B60" s="103"/>
      <c r="C60" s="104" t="s">
        <v>223</v>
      </c>
      <c r="D60" s="342">
        <v>0</v>
      </c>
      <c r="E60" s="342">
        <v>0</v>
      </c>
      <c r="F60" s="145">
        <v>0</v>
      </c>
      <c r="G60" s="145">
        <v>0</v>
      </c>
    </row>
    <row r="61" spans="1:7" s="106" customFormat="1" ht="14">
      <c r="A61" s="102">
        <v>3841</v>
      </c>
      <c r="B61" s="103"/>
      <c r="C61" s="104" t="s">
        <v>224</v>
      </c>
      <c r="D61" s="342">
        <v>0</v>
      </c>
      <c r="E61" s="342">
        <v>0</v>
      </c>
      <c r="F61" s="145">
        <v>0</v>
      </c>
      <c r="G61" s="145">
        <v>0</v>
      </c>
    </row>
    <row r="62" spans="1:7" s="106" customFormat="1" ht="14">
      <c r="A62" s="102">
        <v>386</v>
      </c>
      <c r="B62" s="148"/>
      <c r="C62" s="149" t="s">
        <v>225</v>
      </c>
      <c r="D62" s="342">
        <v>0</v>
      </c>
      <c r="E62" s="342">
        <v>0</v>
      </c>
      <c r="F62" s="145">
        <v>0</v>
      </c>
      <c r="G62" s="145">
        <v>0</v>
      </c>
    </row>
    <row r="63" spans="1:7" s="106" customFormat="1" ht="28">
      <c r="A63" s="147">
        <v>387</v>
      </c>
      <c r="B63" s="103"/>
      <c r="C63" s="104" t="s">
        <v>226</v>
      </c>
      <c r="D63" s="342">
        <v>0</v>
      </c>
      <c r="E63" s="342">
        <v>0</v>
      </c>
      <c r="F63" s="145">
        <v>0</v>
      </c>
      <c r="G63" s="145">
        <v>0</v>
      </c>
    </row>
    <row r="64" spans="1:7" s="106" customFormat="1">
      <c r="A64" s="102">
        <v>389</v>
      </c>
      <c r="B64" s="343"/>
      <c r="C64" s="99" t="s">
        <v>42</v>
      </c>
      <c r="D64" s="329">
        <v>0</v>
      </c>
      <c r="E64" s="329">
        <v>0</v>
      </c>
      <c r="F64" s="100">
        <v>0</v>
      </c>
      <c r="G64" s="100">
        <v>0</v>
      </c>
    </row>
    <row r="65" spans="1:7" s="91" customFormat="1">
      <c r="A65" s="344" t="s">
        <v>227</v>
      </c>
      <c r="B65" s="93"/>
      <c r="C65" s="94" t="s">
        <v>228</v>
      </c>
      <c r="D65" s="327">
        <v>0</v>
      </c>
      <c r="E65" s="327">
        <v>0</v>
      </c>
      <c r="F65" s="95">
        <v>0</v>
      </c>
      <c r="G65" s="95">
        <v>0</v>
      </c>
    </row>
    <row r="66" spans="1:7" s="153" customFormat="1" ht="14">
      <c r="A66" s="344" t="s">
        <v>229</v>
      </c>
      <c r="B66" s="152"/>
      <c r="C66" s="104" t="s">
        <v>230</v>
      </c>
      <c r="D66" s="341">
        <v>0</v>
      </c>
      <c r="E66" s="341">
        <v>0</v>
      </c>
      <c r="F66" s="143">
        <v>0</v>
      </c>
      <c r="G66" s="143">
        <v>0</v>
      </c>
    </row>
    <row r="67" spans="1:7" s="91" customFormat="1">
      <c r="A67" s="154">
        <v>481</v>
      </c>
      <c r="B67" s="93"/>
      <c r="C67" s="94" t="s">
        <v>231</v>
      </c>
      <c r="D67" s="327">
        <v>0</v>
      </c>
      <c r="E67" s="327">
        <v>0</v>
      </c>
      <c r="F67" s="95">
        <v>0</v>
      </c>
      <c r="G67" s="95">
        <v>0</v>
      </c>
    </row>
    <row r="68" spans="1:7" s="91" customFormat="1">
      <c r="A68" s="154">
        <v>482</v>
      </c>
      <c r="B68" s="93"/>
      <c r="C68" s="94" t="s">
        <v>232</v>
      </c>
      <c r="D68" s="327">
        <v>0</v>
      </c>
      <c r="E68" s="327">
        <v>0</v>
      </c>
      <c r="F68" s="95">
        <v>0</v>
      </c>
      <c r="G68" s="95">
        <v>0</v>
      </c>
    </row>
    <row r="69" spans="1:7" s="91" customFormat="1">
      <c r="A69" s="154">
        <v>483</v>
      </c>
      <c r="B69" s="93"/>
      <c r="C69" s="94" t="s">
        <v>233</v>
      </c>
      <c r="D69" s="327">
        <v>459445.9</v>
      </c>
      <c r="E69" s="327">
        <v>5930</v>
      </c>
      <c r="F69" s="95">
        <v>0</v>
      </c>
      <c r="G69" s="95">
        <v>0</v>
      </c>
    </row>
    <row r="70" spans="1:7" s="91" customFormat="1">
      <c r="A70" s="154">
        <v>484</v>
      </c>
      <c r="B70" s="93"/>
      <c r="C70" s="94" t="s">
        <v>234</v>
      </c>
      <c r="D70" s="327">
        <v>0</v>
      </c>
      <c r="E70" s="327">
        <v>0</v>
      </c>
      <c r="F70" s="95">
        <v>0</v>
      </c>
      <c r="G70" s="95">
        <v>0</v>
      </c>
    </row>
    <row r="71" spans="1:7" s="91" customFormat="1">
      <c r="A71" s="154">
        <v>485</v>
      </c>
      <c r="B71" s="93"/>
      <c r="C71" s="94" t="s">
        <v>235</v>
      </c>
      <c r="D71" s="327">
        <v>0</v>
      </c>
      <c r="E71" s="327">
        <v>0</v>
      </c>
      <c r="F71" s="95">
        <v>0</v>
      </c>
      <c r="G71" s="95">
        <v>0</v>
      </c>
    </row>
    <row r="72" spans="1:7" s="91" customFormat="1">
      <c r="A72" s="154">
        <v>486</v>
      </c>
      <c r="B72" s="93"/>
      <c r="C72" s="94" t="s">
        <v>236</v>
      </c>
      <c r="D72" s="327">
        <v>0</v>
      </c>
      <c r="E72" s="327">
        <v>0</v>
      </c>
      <c r="F72" s="95">
        <v>0</v>
      </c>
      <c r="G72" s="95">
        <v>0</v>
      </c>
    </row>
    <row r="73" spans="1:7" s="106" customFormat="1">
      <c r="A73" s="154">
        <v>487</v>
      </c>
      <c r="B73" s="98"/>
      <c r="C73" s="94" t="s">
        <v>237</v>
      </c>
      <c r="D73" s="327">
        <v>0</v>
      </c>
      <c r="E73" s="327">
        <v>0</v>
      </c>
      <c r="F73" s="95">
        <v>0</v>
      </c>
      <c r="G73" s="95">
        <v>0</v>
      </c>
    </row>
    <row r="74" spans="1:7" s="106" customFormat="1">
      <c r="A74" s="154">
        <v>489</v>
      </c>
      <c r="B74" s="155"/>
      <c r="C74" s="118" t="s">
        <v>59</v>
      </c>
      <c r="D74" s="327">
        <v>13508.5</v>
      </c>
      <c r="E74" s="327">
        <v>10179.299999999999</v>
      </c>
      <c r="F74" s="95">
        <v>11217.1</v>
      </c>
      <c r="G74" s="95">
        <v>11682</v>
      </c>
    </row>
    <row r="75" spans="1:7" s="106" customFormat="1">
      <c r="A75" s="156" t="s">
        <v>238</v>
      </c>
      <c r="B75" s="155"/>
      <c r="C75" s="137" t="s">
        <v>239</v>
      </c>
      <c r="D75" s="327">
        <v>0</v>
      </c>
      <c r="E75" s="327">
        <v>0</v>
      </c>
      <c r="F75" s="95">
        <v>0</v>
      </c>
      <c r="G75" s="95">
        <v>0</v>
      </c>
    </row>
    <row r="76" spans="1:7">
      <c r="A76" s="121"/>
      <c r="B76" s="121"/>
      <c r="C76" s="122" t="s">
        <v>240</v>
      </c>
      <c r="D76" s="336">
        <f t="shared" ref="D76:G76" si="5">SUM(D65:D74)-SUM(D57:D64)</f>
        <v>-1039182.2999999999</v>
      </c>
      <c r="E76" s="336">
        <f t="shared" si="5"/>
        <v>16109.3</v>
      </c>
      <c r="F76" s="123">
        <f t="shared" si="5"/>
        <v>-33562.5</v>
      </c>
      <c r="G76" s="123">
        <f t="shared" si="5"/>
        <v>11682</v>
      </c>
    </row>
    <row r="77" spans="1:7">
      <c r="A77" s="157"/>
      <c r="B77" s="157"/>
      <c r="C77" s="122" t="s">
        <v>241</v>
      </c>
      <c r="D77" s="336">
        <f t="shared" ref="D77:G77" si="6">D56+D76</f>
        <v>-1170288.1000000001</v>
      </c>
      <c r="E77" s="336">
        <f t="shared" si="6"/>
        <v>-34983.700000000084</v>
      </c>
      <c r="F77" s="123">
        <f t="shared" si="6"/>
        <v>-25974.500000000204</v>
      </c>
      <c r="G77" s="123">
        <f t="shared" si="6"/>
        <v>-41050.800000000192</v>
      </c>
    </row>
    <row r="78" spans="1:7">
      <c r="A78" s="158">
        <v>3</v>
      </c>
      <c r="B78" s="158"/>
      <c r="C78" s="159" t="s">
        <v>242</v>
      </c>
      <c r="D78" s="345">
        <f t="shared" ref="D78:G78" si="7">D20+D21+SUM(D38:D43)+SUM(D57:D64)</f>
        <v>4066033.6000000006</v>
      </c>
      <c r="E78" s="345">
        <f t="shared" si="7"/>
        <v>2634418.2999999998</v>
      </c>
      <c r="F78" s="160">
        <f t="shared" si="7"/>
        <v>2623373</v>
      </c>
      <c r="G78" s="160">
        <f t="shared" si="7"/>
        <v>2614622.7000000002</v>
      </c>
    </row>
    <row r="79" spans="1:7">
      <c r="A79" s="158">
        <v>4</v>
      </c>
      <c r="B79" s="158"/>
      <c r="C79" s="159" t="s">
        <v>243</v>
      </c>
      <c r="D79" s="345">
        <f t="shared" ref="D79:G79" si="8">D35+D36+SUM(D44:D53)+SUM(D65:D74)</f>
        <v>2895745.5</v>
      </c>
      <c r="E79" s="345">
        <f t="shared" si="8"/>
        <v>2599434.5999999996</v>
      </c>
      <c r="F79" s="160">
        <f t="shared" si="8"/>
        <v>2597398.4999999995</v>
      </c>
      <c r="G79" s="160">
        <f t="shared" si="8"/>
        <v>2573571.9</v>
      </c>
    </row>
    <row r="80" spans="1:7">
      <c r="C80" s="135"/>
      <c r="D80" s="346"/>
      <c r="E80" s="346"/>
      <c r="F80" s="161"/>
      <c r="G80" s="161"/>
    </row>
    <row r="81" spans="1:7">
      <c r="A81" s="680" t="s">
        <v>244</v>
      </c>
      <c r="B81" s="681"/>
      <c r="C81" s="681"/>
      <c r="D81" s="347"/>
      <c r="E81" s="348"/>
      <c r="F81" s="163"/>
      <c r="G81" s="163"/>
    </row>
    <row r="82" spans="1:7" s="91" customFormat="1">
      <c r="A82" s="164">
        <v>50</v>
      </c>
      <c r="B82" s="165"/>
      <c r="C82" s="165" t="s">
        <v>245</v>
      </c>
      <c r="D82" s="327">
        <v>145759.4</v>
      </c>
      <c r="E82" s="349">
        <v>161426</v>
      </c>
      <c r="F82" s="124">
        <v>149513.4</v>
      </c>
      <c r="G82" s="124">
        <v>187043.8</v>
      </c>
    </row>
    <row r="83" spans="1:7" s="91" customFormat="1">
      <c r="A83" s="164">
        <v>51</v>
      </c>
      <c r="B83" s="165"/>
      <c r="C83" s="165" t="s">
        <v>246</v>
      </c>
      <c r="D83" s="327">
        <v>0</v>
      </c>
      <c r="E83" s="349">
        <v>0</v>
      </c>
      <c r="F83" s="124">
        <v>0</v>
      </c>
      <c r="G83" s="124">
        <v>0</v>
      </c>
    </row>
    <row r="84" spans="1:7" s="91" customFormat="1">
      <c r="A84" s="164">
        <v>52</v>
      </c>
      <c r="B84" s="165"/>
      <c r="C84" s="165" t="s">
        <v>247</v>
      </c>
      <c r="D84" s="327">
        <v>0</v>
      </c>
      <c r="E84" s="349">
        <v>0</v>
      </c>
      <c r="F84" s="124">
        <v>0</v>
      </c>
      <c r="G84" s="124">
        <v>0</v>
      </c>
    </row>
    <row r="85" spans="1:7" s="91" customFormat="1">
      <c r="A85" s="166">
        <v>54</v>
      </c>
      <c r="B85" s="167"/>
      <c r="C85" s="167" t="s">
        <v>248</v>
      </c>
      <c r="D85" s="329">
        <v>12001.9</v>
      </c>
      <c r="E85" s="349">
        <v>19940</v>
      </c>
      <c r="F85" s="124">
        <v>9580.9</v>
      </c>
      <c r="G85" s="124">
        <v>30940</v>
      </c>
    </row>
    <row r="86" spans="1:7" s="91" customFormat="1">
      <c r="A86" s="166">
        <v>55</v>
      </c>
      <c r="B86" s="167"/>
      <c r="C86" s="167" t="s">
        <v>249</v>
      </c>
      <c r="D86" s="329">
        <v>0</v>
      </c>
      <c r="E86" s="349">
        <v>0</v>
      </c>
      <c r="F86" s="124">
        <v>0</v>
      </c>
      <c r="G86" s="124">
        <v>0</v>
      </c>
    </row>
    <row r="87" spans="1:7" s="91" customFormat="1">
      <c r="A87" s="166">
        <v>56</v>
      </c>
      <c r="B87" s="167"/>
      <c r="C87" s="167" t="s">
        <v>250</v>
      </c>
      <c r="D87" s="329">
        <v>59458.3</v>
      </c>
      <c r="E87" s="349">
        <v>63700</v>
      </c>
      <c r="F87" s="124">
        <v>33923.699999999997</v>
      </c>
      <c r="G87" s="124">
        <v>14550</v>
      </c>
    </row>
    <row r="88" spans="1:7" s="91" customFormat="1">
      <c r="A88" s="164">
        <v>57</v>
      </c>
      <c r="B88" s="165"/>
      <c r="C88" s="165" t="s">
        <v>251</v>
      </c>
      <c r="D88" s="327">
        <v>0</v>
      </c>
      <c r="E88" s="349">
        <v>0</v>
      </c>
      <c r="F88" s="124">
        <v>0</v>
      </c>
      <c r="G88" s="124">
        <v>0</v>
      </c>
    </row>
    <row r="89" spans="1:7" s="91" customFormat="1">
      <c r="A89" s="164">
        <v>580</v>
      </c>
      <c r="B89" s="165"/>
      <c r="C89" s="165" t="s">
        <v>252</v>
      </c>
      <c r="D89" s="327">
        <v>0</v>
      </c>
      <c r="E89" s="349">
        <v>0</v>
      </c>
      <c r="F89" s="124">
        <v>0</v>
      </c>
      <c r="G89" s="124">
        <v>0</v>
      </c>
    </row>
    <row r="90" spans="1:7" s="91" customFormat="1">
      <c r="A90" s="164">
        <v>582</v>
      </c>
      <c r="B90" s="165"/>
      <c r="C90" s="165" t="s">
        <v>253</v>
      </c>
      <c r="D90" s="327">
        <v>0</v>
      </c>
      <c r="E90" s="349">
        <v>0</v>
      </c>
      <c r="F90" s="124">
        <v>0</v>
      </c>
      <c r="G90" s="124">
        <v>0</v>
      </c>
    </row>
    <row r="91" spans="1:7" s="91" customFormat="1">
      <c r="A91" s="164">
        <v>584</v>
      </c>
      <c r="B91" s="165"/>
      <c r="C91" s="165" t="s">
        <v>254</v>
      </c>
      <c r="D91" s="327">
        <v>0</v>
      </c>
      <c r="E91" s="349">
        <v>0</v>
      </c>
      <c r="F91" s="124">
        <v>0</v>
      </c>
      <c r="G91" s="124">
        <v>0</v>
      </c>
    </row>
    <row r="92" spans="1:7" s="91" customFormat="1">
      <c r="A92" s="164">
        <v>585</v>
      </c>
      <c r="B92" s="165"/>
      <c r="C92" s="165" t="s">
        <v>255</v>
      </c>
      <c r="D92" s="327">
        <v>0</v>
      </c>
      <c r="E92" s="349">
        <v>0</v>
      </c>
      <c r="F92" s="124">
        <v>0</v>
      </c>
      <c r="G92" s="124">
        <v>0</v>
      </c>
    </row>
    <row r="93" spans="1:7" s="91" customFormat="1">
      <c r="A93" s="164">
        <v>586</v>
      </c>
      <c r="B93" s="165"/>
      <c r="C93" s="165" t="s">
        <v>256</v>
      </c>
      <c r="D93" s="327">
        <v>0</v>
      </c>
      <c r="E93" s="349">
        <v>0</v>
      </c>
      <c r="F93" s="124">
        <v>0</v>
      </c>
      <c r="G93" s="124">
        <v>0</v>
      </c>
    </row>
    <row r="94" spans="1:7" s="91" customFormat="1">
      <c r="A94" s="168">
        <v>589</v>
      </c>
      <c r="B94" s="169"/>
      <c r="C94" s="169" t="s">
        <v>257</v>
      </c>
      <c r="D94" s="334">
        <v>0</v>
      </c>
      <c r="E94" s="350">
        <v>0</v>
      </c>
      <c r="F94" s="133">
        <v>0</v>
      </c>
      <c r="G94" s="133">
        <v>0</v>
      </c>
    </row>
    <row r="95" spans="1:7">
      <c r="A95" s="170">
        <v>5</v>
      </c>
      <c r="B95" s="171"/>
      <c r="C95" s="171" t="s">
        <v>258</v>
      </c>
      <c r="D95" s="351">
        <f t="shared" ref="D95:G95" si="9">SUM(D82:D94)</f>
        <v>217219.59999999998</v>
      </c>
      <c r="E95" s="351">
        <f t="shared" si="9"/>
        <v>245066</v>
      </c>
      <c r="F95" s="172">
        <f t="shared" si="9"/>
        <v>193018</v>
      </c>
      <c r="G95" s="172">
        <f t="shared" si="9"/>
        <v>232533.8</v>
      </c>
    </row>
    <row r="96" spans="1:7" s="91" customFormat="1">
      <c r="A96" s="164">
        <v>60</v>
      </c>
      <c r="B96" s="165"/>
      <c r="C96" s="165" t="s">
        <v>259</v>
      </c>
      <c r="D96" s="327">
        <v>0</v>
      </c>
      <c r="E96" s="349">
        <v>0</v>
      </c>
      <c r="F96" s="124">
        <v>24228.7</v>
      </c>
      <c r="G96" s="124">
        <v>0</v>
      </c>
    </row>
    <row r="97" spans="1:7" s="91" customFormat="1">
      <c r="A97" s="164">
        <v>61</v>
      </c>
      <c r="B97" s="165"/>
      <c r="C97" s="165" t="s">
        <v>260</v>
      </c>
      <c r="D97" s="327">
        <v>0</v>
      </c>
      <c r="E97" s="349">
        <v>0</v>
      </c>
      <c r="F97" s="124">
        <v>0</v>
      </c>
      <c r="G97" s="124">
        <v>0</v>
      </c>
    </row>
    <row r="98" spans="1:7" s="91" customFormat="1">
      <c r="A98" s="164">
        <v>62</v>
      </c>
      <c r="B98" s="165"/>
      <c r="C98" s="165" t="s">
        <v>261</v>
      </c>
      <c r="D98" s="327">
        <v>0</v>
      </c>
      <c r="E98" s="349">
        <v>0</v>
      </c>
      <c r="F98" s="124">
        <v>0</v>
      </c>
      <c r="G98" s="124">
        <v>0</v>
      </c>
    </row>
    <row r="99" spans="1:7" s="91" customFormat="1">
      <c r="A99" s="164">
        <v>63</v>
      </c>
      <c r="B99" s="165"/>
      <c r="C99" s="165" t="s">
        <v>262</v>
      </c>
      <c r="D99" s="327">
        <v>36651.699999999997</v>
      </c>
      <c r="E99" s="349">
        <v>41035</v>
      </c>
      <c r="F99" s="124">
        <v>19841.900000000001</v>
      </c>
      <c r="G99" s="124">
        <v>37390</v>
      </c>
    </row>
    <row r="100" spans="1:7" s="91" customFormat="1">
      <c r="A100" s="166">
        <v>64</v>
      </c>
      <c r="B100" s="167"/>
      <c r="C100" s="167" t="s">
        <v>263</v>
      </c>
      <c r="D100" s="329">
        <v>0</v>
      </c>
      <c r="E100" s="349">
        <v>0</v>
      </c>
      <c r="F100" s="124">
        <v>0</v>
      </c>
      <c r="G100" s="124">
        <v>0</v>
      </c>
    </row>
    <row r="101" spans="1:7" s="91" customFormat="1">
      <c r="A101" s="166">
        <v>65</v>
      </c>
      <c r="B101" s="167"/>
      <c r="C101" s="167" t="s">
        <v>264</v>
      </c>
      <c r="D101" s="329">
        <v>0</v>
      </c>
      <c r="E101" s="349">
        <v>0</v>
      </c>
      <c r="F101" s="124">
        <v>0</v>
      </c>
      <c r="G101" s="124">
        <v>0</v>
      </c>
    </row>
    <row r="102" spans="1:7" s="91" customFormat="1">
      <c r="A102" s="166">
        <v>66</v>
      </c>
      <c r="B102" s="167"/>
      <c r="C102" s="167" t="s">
        <v>265</v>
      </c>
      <c r="D102" s="329">
        <v>17.899999999999999</v>
      </c>
      <c r="E102" s="349">
        <v>0</v>
      </c>
      <c r="F102" s="124">
        <v>470.3</v>
      </c>
      <c r="G102" s="124">
        <v>0</v>
      </c>
    </row>
    <row r="103" spans="1:7" s="91" customFormat="1">
      <c r="A103" s="164">
        <v>67</v>
      </c>
      <c r="B103" s="165"/>
      <c r="C103" s="165" t="s">
        <v>251</v>
      </c>
      <c r="D103" s="327">
        <v>0</v>
      </c>
      <c r="E103" s="352">
        <v>0</v>
      </c>
      <c r="F103" s="96">
        <v>0</v>
      </c>
      <c r="G103" s="96">
        <v>0</v>
      </c>
    </row>
    <row r="104" spans="1:7" s="153" customFormat="1" ht="28">
      <c r="A104" s="173" t="s">
        <v>266</v>
      </c>
      <c r="B104" s="353"/>
      <c r="C104" s="174" t="s">
        <v>267</v>
      </c>
      <c r="D104" s="354">
        <v>0</v>
      </c>
      <c r="E104" s="355">
        <v>0</v>
      </c>
      <c r="F104" s="277">
        <v>0</v>
      </c>
      <c r="G104" s="277">
        <v>0</v>
      </c>
    </row>
    <row r="105" spans="1:7" s="153" customFormat="1" ht="42">
      <c r="A105" s="175" t="s">
        <v>268</v>
      </c>
      <c r="B105" s="356"/>
      <c r="C105" s="176" t="s">
        <v>269</v>
      </c>
      <c r="D105" s="357">
        <v>0</v>
      </c>
      <c r="E105" s="358">
        <v>0</v>
      </c>
      <c r="F105" s="279">
        <v>0</v>
      </c>
      <c r="G105" s="279">
        <v>0</v>
      </c>
    </row>
    <row r="106" spans="1:7">
      <c r="A106" s="170">
        <v>6</v>
      </c>
      <c r="B106" s="171"/>
      <c r="C106" s="171" t="s">
        <v>270</v>
      </c>
      <c r="D106" s="351">
        <f t="shared" ref="D106:G106" si="10">SUM(D96:D105)</f>
        <v>36669.599999999999</v>
      </c>
      <c r="E106" s="351">
        <f t="shared" si="10"/>
        <v>41035</v>
      </c>
      <c r="F106" s="172">
        <f t="shared" si="10"/>
        <v>44540.900000000009</v>
      </c>
      <c r="G106" s="172">
        <f t="shared" si="10"/>
        <v>37390</v>
      </c>
    </row>
    <row r="107" spans="1:7">
      <c r="A107" s="178" t="s">
        <v>271</v>
      </c>
      <c r="B107" s="178"/>
      <c r="C107" s="171" t="s">
        <v>1</v>
      </c>
      <c r="D107" s="351">
        <f t="shared" ref="D107:G107" si="11">(D95-D88)-(D106-D103)</f>
        <v>180549.99999999997</v>
      </c>
      <c r="E107" s="351">
        <f t="shared" si="11"/>
        <v>204031</v>
      </c>
      <c r="F107" s="172">
        <f t="shared" si="11"/>
        <v>148477.09999999998</v>
      </c>
      <c r="G107" s="172">
        <f t="shared" si="11"/>
        <v>195143.8</v>
      </c>
    </row>
    <row r="108" spans="1:7">
      <c r="A108" s="179" t="s">
        <v>272</v>
      </c>
      <c r="B108" s="179"/>
      <c r="C108" s="180" t="s">
        <v>273</v>
      </c>
      <c r="D108" s="359">
        <f t="shared" ref="D108:G108" si="12">D107-D85-D86+D100+D101</f>
        <v>168548.09999999998</v>
      </c>
      <c r="E108" s="359">
        <f t="shared" si="12"/>
        <v>184091</v>
      </c>
      <c r="F108" s="280">
        <f t="shared" si="12"/>
        <v>138896.19999999998</v>
      </c>
      <c r="G108" s="280">
        <f t="shared" si="12"/>
        <v>164203.79999999999</v>
      </c>
    </row>
    <row r="109" spans="1:7">
      <c r="C109" s="135"/>
      <c r="D109" s="346"/>
      <c r="E109" s="346"/>
      <c r="F109" s="161"/>
      <c r="G109" s="161"/>
    </row>
    <row r="110" spans="1:7">
      <c r="A110" s="181" t="s">
        <v>274</v>
      </c>
      <c r="B110" s="182"/>
      <c r="C110" s="181"/>
      <c r="D110" s="346"/>
      <c r="E110" s="346"/>
      <c r="F110" s="161"/>
      <c r="G110" s="161"/>
    </row>
    <row r="111" spans="1:7" s="91" customFormat="1">
      <c r="A111" s="183">
        <v>10</v>
      </c>
      <c r="B111" s="184"/>
      <c r="C111" s="184" t="s">
        <v>275</v>
      </c>
      <c r="D111" s="360">
        <f t="shared" ref="D111:G111" si="13">D112+D117</f>
        <v>1831418.7000000002</v>
      </c>
      <c r="E111" s="361">
        <f t="shared" si="13"/>
        <v>0</v>
      </c>
      <c r="F111" s="186">
        <f t="shared" si="13"/>
        <v>1821195.9</v>
      </c>
      <c r="G111" s="186">
        <f t="shared" si="13"/>
        <v>0</v>
      </c>
    </row>
    <row r="112" spans="1:7" s="91" customFormat="1">
      <c r="A112" s="187" t="s">
        <v>276</v>
      </c>
      <c r="B112" s="188"/>
      <c r="C112" s="188" t="s">
        <v>277</v>
      </c>
      <c r="D112" s="360">
        <f t="shared" ref="D112:G112" si="14">D113+D114+D115+D116</f>
        <v>1448256.1</v>
      </c>
      <c r="E112" s="361">
        <f t="shared" si="14"/>
        <v>0</v>
      </c>
      <c r="F112" s="186">
        <f t="shared" si="14"/>
        <v>1388337.7999999998</v>
      </c>
      <c r="G112" s="186">
        <f t="shared" si="14"/>
        <v>0</v>
      </c>
    </row>
    <row r="113" spans="1:7" s="91" customFormat="1">
      <c r="A113" s="189" t="s">
        <v>278</v>
      </c>
      <c r="B113" s="190"/>
      <c r="C113" s="190" t="s">
        <v>279</v>
      </c>
      <c r="D113" s="327">
        <v>905560.2</v>
      </c>
      <c r="E113" s="349">
        <v>0</v>
      </c>
      <c r="F113" s="124">
        <v>801491.7</v>
      </c>
      <c r="G113" s="124">
        <v>0</v>
      </c>
    </row>
    <row r="114" spans="1:7" s="153" customFormat="1" ht="15" customHeight="1">
      <c r="A114" s="191">
        <v>102</v>
      </c>
      <c r="B114" s="192"/>
      <c r="C114" s="192" t="s">
        <v>280</v>
      </c>
      <c r="D114" s="341">
        <v>21308.2</v>
      </c>
      <c r="E114" s="362">
        <v>0</v>
      </c>
      <c r="F114" s="144">
        <v>119054.6</v>
      </c>
      <c r="G114" s="144">
        <v>0</v>
      </c>
    </row>
    <row r="115" spans="1:7" s="91" customFormat="1">
      <c r="A115" s="189">
        <v>104</v>
      </c>
      <c r="B115" s="190"/>
      <c r="C115" s="190" t="s">
        <v>281</v>
      </c>
      <c r="D115" s="327">
        <v>514492.1</v>
      </c>
      <c r="E115" s="349">
        <v>0</v>
      </c>
      <c r="F115" s="124">
        <v>462877.3</v>
      </c>
      <c r="G115" s="124">
        <v>0</v>
      </c>
    </row>
    <row r="116" spans="1:7" s="91" customFormat="1">
      <c r="A116" s="189">
        <v>106</v>
      </c>
      <c r="B116" s="190"/>
      <c r="C116" s="190" t="s">
        <v>282</v>
      </c>
      <c r="D116" s="327">
        <v>6895.6</v>
      </c>
      <c r="E116" s="349">
        <v>0</v>
      </c>
      <c r="F116" s="124">
        <v>4914.2</v>
      </c>
      <c r="G116" s="124">
        <v>0</v>
      </c>
    </row>
    <row r="117" spans="1:7" s="91" customFormat="1">
      <c r="A117" s="187" t="s">
        <v>283</v>
      </c>
      <c r="B117" s="188"/>
      <c r="C117" s="188" t="s">
        <v>284</v>
      </c>
      <c r="D117" s="360">
        <f t="shared" ref="D117:G117" si="15">D118+D119+D120</f>
        <v>383162.60000000003</v>
      </c>
      <c r="E117" s="361">
        <f t="shared" si="15"/>
        <v>0</v>
      </c>
      <c r="F117" s="186">
        <f t="shared" si="15"/>
        <v>432858.1</v>
      </c>
      <c r="G117" s="186">
        <f t="shared" si="15"/>
        <v>0</v>
      </c>
    </row>
    <row r="118" spans="1:7" s="91" customFormat="1">
      <c r="A118" s="189">
        <v>107</v>
      </c>
      <c r="B118" s="190"/>
      <c r="C118" s="190" t="s">
        <v>285</v>
      </c>
      <c r="D118" s="327">
        <v>36272.9</v>
      </c>
      <c r="E118" s="349"/>
      <c r="F118" s="124">
        <v>37303.599999999999</v>
      </c>
      <c r="G118" s="124"/>
    </row>
    <row r="119" spans="1:7" s="91" customFormat="1">
      <c r="A119" s="189">
        <v>108</v>
      </c>
      <c r="B119" s="190"/>
      <c r="C119" s="190" t="s">
        <v>286</v>
      </c>
      <c r="D119" s="327">
        <v>346889.7</v>
      </c>
      <c r="E119" s="349"/>
      <c r="F119" s="124">
        <v>395554.5</v>
      </c>
      <c r="G119" s="124"/>
    </row>
    <row r="120" spans="1:7" s="195" customFormat="1" ht="14">
      <c r="A120" s="191">
        <v>109</v>
      </c>
      <c r="B120" s="193"/>
      <c r="C120" s="193" t="s">
        <v>287</v>
      </c>
      <c r="D120" s="337">
        <v>0</v>
      </c>
      <c r="E120" s="363"/>
      <c r="F120" s="194"/>
      <c r="G120" s="194"/>
    </row>
    <row r="121" spans="1:7" s="91" customFormat="1">
      <c r="A121" s="187">
        <v>14</v>
      </c>
      <c r="B121" s="188"/>
      <c r="C121" s="188" t="s">
        <v>288</v>
      </c>
      <c r="D121" s="360">
        <f t="shared" ref="D121:G121" si="16">SUM(D122:D130)</f>
        <v>2114245.8000000003</v>
      </c>
      <c r="E121" s="360">
        <f t="shared" si="16"/>
        <v>0</v>
      </c>
      <c r="F121" s="185">
        <f t="shared" si="16"/>
        <v>2209958.5</v>
      </c>
      <c r="G121" s="185">
        <f t="shared" si="16"/>
        <v>0</v>
      </c>
    </row>
    <row r="122" spans="1:7" s="91" customFormat="1">
      <c r="A122" s="189" t="s">
        <v>289</v>
      </c>
      <c r="B122" s="190"/>
      <c r="C122" s="190" t="s">
        <v>290</v>
      </c>
      <c r="D122" s="327">
        <v>1437268.5</v>
      </c>
      <c r="E122" s="349"/>
      <c r="F122" s="124">
        <v>1491338.4</v>
      </c>
      <c r="G122" s="124"/>
    </row>
    <row r="123" spans="1:7" s="91" customFormat="1">
      <c r="A123" s="189">
        <v>144</v>
      </c>
      <c r="B123" s="190"/>
      <c r="C123" s="190" t="s">
        <v>248</v>
      </c>
      <c r="D123" s="327">
        <v>213079.1</v>
      </c>
      <c r="E123" s="349"/>
      <c r="F123" s="124">
        <v>222660.1</v>
      </c>
      <c r="G123" s="124"/>
    </row>
    <row r="124" spans="1:7" s="91" customFormat="1">
      <c r="A124" s="189">
        <v>145</v>
      </c>
      <c r="B124" s="190"/>
      <c r="C124" s="190" t="s">
        <v>291</v>
      </c>
      <c r="D124" s="327">
        <v>359172</v>
      </c>
      <c r="E124" s="364"/>
      <c r="F124" s="196">
        <v>359172.1</v>
      </c>
      <c r="G124" s="196"/>
    </row>
    <row r="125" spans="1:7" s="91" customFormat="1">
      <c r="A125" s="189">
        <v>146</v>
      </c>
      <c r="B125" s="190"/>
      <c r="C125" s="190" t="s">
        <v>292</v>
      </c>
      <c r="D125" s="327">
        <v>104726.2</v>
      </c>
      <c r="E125" s="364"/>
      <c r="F125" s="196">
        <v>136787.9</v>
      </c>
      <c r="G125" s="196"/>
    </row>
    <row r="126" spans="1:7" s="195" customFormat="1" ht="29.5" customHeight="1">
      <c r="A126" s="191" t="s">
        <v>293</v>
      </c>
      <c r="B126" s="193"/>
      <c r="C126" s="193" t="s">
        <v>294</v>
      </c>
      <c r="D126" s="337">
        <v>0</v>
      </c>
      <c r="E126" s="365"/>
      <c r="F126" s="197">
        <v>0</v>
      </c>
      <c r="G126" s="197"/>
    </row>
    <row r="127" spans="1:7" s="91" customFormat="1">
      <c r="A127" s="189">
        <v>1484</v>
      </c>
      <c r="B127" s="190"/>
      <c r="C127" s="190" t="s">
        <v>295</v>
      </c>
      <c r="D127" s="327">
        <v>0</v>
      </c>
      <c r="E127" s="364"/>
      <c r="F127" s="196">
        <v>0</v>
      </c>
      <c r="G127" s="196"/>
    </row>
    <row r="128" spans="1:7" s="91" customFormat="1">
      <c r="A128" s="189">
        <v>1485</v>
      </c>
      <c r="B128" s="190"/>
      <c r="C128" s="190" t="s">
        <v>296</v>
      </c>
      <c r="D128" s="327">
        <v>0</v>
      </c>
      <c r="E128" s="364"/>
      <c r="F128" s="196">
        <v>0</v>
      </c>
      <c r="G128" s="196"/>
    </row>
    <row r="129" spans="1:7" s="91" customFormat="1">
      <c r="A129" s="189">
        <v>1486</v>
      </c>
      <c r="B129" s="190"/>
      <c r="C129" s="190" t="s">
        <v>297</v>
      </c>
      <c r="D129" s="327">
        <v>0</v>
      </c>
      <c r="E129" s="364"/>
      <c r="F129" s="196">
        <v>0</v>
      </c>
      <c r="G129" s="196"/>
    </row>
    <row r="130" spans="1:7" s="91" customFormat="1">
      <c r="A130" s="198">
        <v>1489</v>
      </c>
      <c r="B130" s="199"/>
      <c r="C130" s="199" t="s">
        <v>298</v>
      </c>
      <c r="D130" s="334">
        <v>0</v>
      </c>
      <c r="E130" s="366"/>
      <c r="F130" s="200">
        <v>0</v>
      </c>
      <c r="G130" s="200"/>
    </row>
    <row r="131" spans="1:7">
      <c r="A131" s="201">
        <v>1</v>
      </c>
      <c r="B131" s="202"/>
      <c r="C131" s="201" t="s">
        <v>299</v>
      </c>
      <c r="D131" s="367">
        <f t="shared" ref="D131:G131" si="17">D111+D121</f>
        <v>3945664.5000000005</v>
      </c>
      <c r="E131" s="367">
        <f t="shared" si="17"/>
        <v>0</v>
      </c>
      <c r="F131" s="203">
        <f t="shared" si="17"/>
        <v>4031154.4</v>
      </c>
      <c r="G131" s="203">
        <f t="shared" si="17"/>
        <v>0</v>
      </c>
    </row>
    <row r="132" spans="1:7">
      <c r="C132" s="135"/>
      <c r="D132" s="346"/>
      <c r="E132" s="346"/>
      <c r="F132" s="161"/>
      <c r="G132" s="161"/>
    </row>
    <row r="133" spans="1:7" s="91" customFormat="1">
      <c r="A133" s="183">
        <v>20</v>
      </c>
      <c r="B133" s="184"/>
      <c r="C133" s="184" t="s">
        <v>300</v>
      </c>
      <c r="D133" s="368">
        <f t="shared" ref="D133:G133" si="18">D134+D140</f>
        <v>4562280.3999999994</v>
      </c>
      <c r="E133" s="369">
        <f t="shared" si="18"/>
        <v>0</v>
      </c>
      <c r="F133" s="318">
        <f t="shared" si="18"/>
        <v>4626134.4000000004</v>
      </c>
      <c r="G133" s="318">
        <f t="shared" si="18"/>
        <v>0</v>
      </c>
    </row>
    <row r="134" spans="1:7" s="91" customFormat="1">
      <c r="A134" s="205" t="s">
        <v>301</v>
      </c>
      <c r="B134" s="188"/>
      <c r="C134" s="188" t="s">
        <v>302</v>
      </c>
      <c r="D134" s="360">
        <f t="shared" ref="D134:G134" si="19">D135+D136+D138+D139</f>
        <v>2137755.0999999996</v>
      </c>
      <c r="E134" s="361">
        <f t="shared" si="19"/>
        <v>0</v>
      </c>
      <c r="F134" s="186">
        <f t="shared" si="19"/>
        <v>1295671.3</v>
      </c>
      <c r="G134" s="186">
        <f t="shared" si="19"/>
        <v>0</v>
      </c>
    </row>
    <row r="135" spans="1:7" s="106" customFormat="1">
      <c r="A135" s="206">
        <v>200</v>
      </c>
      <c r="B135" s="190"/>
      <c r="C135" s="190" t="s">
        <v>303</v>
      </c>
      <c r="D135" s="327">
        <v>1129166.8999999999</v>
      </c>
      <c r="E135" s="349"/>
      <c r="F135" s="124">
        <v>1063014.5</v>
      </c>
      <c r="G135" s="124"/>
    </row>
    <row r="136" spans="1:7" s="106" customFormat="1">
      <c r="A136" s="206">
        <v>201</v>
      </c>
      <c r="B136" s="190"/>
      <c r="C136" s="190" t="s">
        <v>304</v>
      </c>
      <c r="D136" s="327">
        <v>170872.5</v>
      </c>
      <c r="E136" s="349"/>
      <c r="F136" s="124">
        <v>258.3</v>
      </c>
      <c r="G136" s="124"/>
    </row>
    <row r="137" spans="1:7" s="106" customFormat="1">
      <c r="A137" s="207" t="s">
        <v>305</v>
      </c>
      <c r="B137" s="208"/>
      <c r="C137" s="208" t="s">
        <v>306</v>
      </c>
      <c r="D137" s="329">
        <v>30754556</v>
      </c>
      <c r="E137" s="370"/>
      <c r="F137" s="209">
        <v>0</v>
      </c>
      <c r="G137" s="209"/>
    </row>
    <row r="138" spans="1:7" s="106" customFormat="1">
      <c r="A138" s="206">
        <v>204</v>
      </c>
      <c r="B138" s="190"/>
      <c r="C138" s="190" t="s">
        <v>307</v>
      </c>
      <c r="D138" s="327">
        <v>186047.7</v>
      </c>
      <c r="E138" s="364"/>
      <c r="F138" s="196">
        <v>203453.1</v>
      </c>
      <c r="G138" s="196"/>
    </row>
    <row r="139" spans="1:7" s="106" customFormat="1">
      <c r="A139" s="206">
        <v>205</v>
      </c>
      <c r="B139" s="190"/>
      <c r="C139" s="190" t="s">
        <v>308</v>
      </c>
      <c r="D139" s="327">
        <v>651668</v>
      </c>
      <c r="E139" s="364"/>
      <c r="F139" s="196">
        <v>28945.4</v>
      </c>
      <c r="G139" s="196"/>
    </row>
    <row r="140" spans="1:7" s="106" customFormat="1">
      <c r="A140" s="205" t="s">
        <v>309</v>
      </c>
      <c r="B140" s="188"/>
      <c r="C140" s="188" t="s">
        <v>310</v>
      </c>
      <c r="D140" s="360">
        <f t="shared" ref="D140:G140" si="20">D141+D143+D144</f>
        <v>2424525.2999999998</v>
      </c>
      <c r="E140" s="361">
        <f t="shared" si="20"/>
        <v>0</v>
      </c>
      <c r="F140" s="186">
        <f t="shared" si="20"/>
        <v>3330463.1</v>
      </c>
      <c r="G140" s="186">
        <f t="shared" si="20"/>
        <v>0</v>
      </c>
    </row>
    <row r="141" spans="1:7" s="106" customFormat="1">
      <c r="A141" s="206">
        <v>206</v>
      </c>
      <c r="B141" s="190"/>
      <c r="C141" s="190" t="s">
        <v>311</v>
      </c>
      <c r="D141" s="327">
        <v>2276378.7999999998</v>
      </c>
      <c r="E141" s="364"/>
      <c r="F141" s="196">
        <v>3135959.7</v>
      </c>
      <c r="G141" s="196"/>
    </row>
    <row r="142" spans="1:7" s="106" customFormat="1">
      <c r="A142" s="207" t="s">
        <v>312</v>
      </c>
      <c r="B142" s="208"/>
      <c r="C142" s="208" t="s">
        <v>313</v>
      </c>
      <c r="D142" s="329">
        <v>0</v>
      </c>
      <c r="E142" s="370"/>
      <c r="F142" s="209">
        <v>0</v>
      </c>
      <c r="G142" s="209"/>
    </row>
    <row r="143" spans="1:7" s="106" customFormat="1">
      <c r="A143" s="206">
        <v>208</v>
      </c>
      <c r="B143" s="190"/>
      <c r="C143" s="190" t="s">
        <v>314</v>
      </c>
      <c r="D143" s="327">
        <v>148146.5</v>
      </c>
      <c r="E143" s="364"/>
      <c r="F143" s="196">
        <v>194503.4</v>
      </c>
      <c r="G143" s="196"/>
    </row>
    <row r="144" spans="1:7" s="111" customFormat="1" ht="29" customHeight="1">
      <c r="A144" s="191">
        <v>209</v>
      </c>
      <c r="B144" s="193"/>
      <c r="C144" s="193" t="s">
        <v>315</v>
      </c>
      <c r="D144" s="337">
        <v>0</v>
      </c>
      <c r="E144" s="365"/>
      <c r="F144" s="197">
        <v>0</v>
      </c>
      <c r="G144" s="197"/>
    </row>
    <row r="145" spans="1:7" s="91" customFormat="1">
      <c r="A145" s="205">
        <v>29</v>
      </c>
      <c r="B145" s="188"/>
      <c r="C145" s="188" t="s">
        <v>316</v>
      </c>
      <c r="D145" s="371">
        <v>-616615</v>
      </c>
      <c r="E145" s="364"/>
      <c r="F145" s="196">
        <v>-594979.9</v>
      </c>
      <c r="G145" s="196"/>
    </row>
    <row r="146" spans="1:7" s="91" customFormat="1">
      <c r="A146" s="211" t="s">
        <v>317</v>
      </c>
      <c r="B146" s="212"/>
      <c r="C146" s="212" t="s">
        <v>318</v>
      </c>
      <c r="D146" s="338">
        <v>-839647.3</v>
      </c>
      <c r="E146" s="372"/>
      <c r="F146" s="139">
        <v>-594979.9</v>
      </c>
      <c r="G146" s="139"/>
    </row>
    <row r="147" spans="1:7">
      <c r="A147" s="201">
        <v>2</v>
      </c>
      <c r="B147" s="202"/>
      <c r="C147" s="201" t="s">
        <v>319</v>
      </c>
      <c r="D147" s="367">
        <f t="shared" ref="D147:G147" si="21">D133+D145</f>
        <v>3945665.3999999994</v>
      </c>
      <c r="E147" s="367">
        <f t="shared" si="21"/>
        <v>0</v>
      </c>
      <c r="F147" s="203">
        <f t="shared" si="21"/>
        <v>4031154.5000000005</v>
      </c>
      <c r="G147" s="203">
        <f t="shared" si="21"/>
        <v>0</v>
      </c>
    </row>
    <row r="148" spans="1:7" ht="7.5" customHeight="1"/>
    <row r="149" spans="1:7" ht="13.5" customHeight="1">
      <c r="A149" s="213" t="s">
        <v>320</v>
      </c>
      <c r="B149" s="214"/>
      <c r="C149" s="215" t="s">
        <v>321</v>
      </c>
      <c r="D149" s="374"/>
      <c r="E149" s="374"/>
      <c r="F149" s="214"/>
      <c r="G149" s="214"/>
    </row>
    <row r="150" spans="1:7">
      <c r="A150" s="289" t="s">
        <v>322</v>
      </c>
      <c r="B150" s="290"/>
      <c r="C150" s="290" t="s">
        <v>82</v>
      </c>
      <c r="D150" s="375">
        <f t="shared" ref="D150:G150" si="22">D77+SUM(D8:D12)-D30-D31+D16-D33+D59+D63-D73+D64-D74-D54+D20-D35</f>
        <v>-1086003.5999999999</v>
      </c>
      <c r="E150" s="375">
        <f t="shared" si="22"/>
        <v>45125.69999999991</v>
      </c>
      <c r="F150" s="218">
        <f t="shared" si="22"/>
        <v>49498.699999999786</v>
      </c>
      <c r="G150" s="218">
        <f t="shared" si="22"/>
        <v>39157.899999999805</v>
      </c>
    </row>
    <row r="151" spans="1:7">
      <c r="A151" s="215" t="s">
        <v>323</v>
      </c>
      <c r="B151" s="214"/>
      <c r="C151" s="214" t="s">
        <v>324</v>
      </c>
      <c r="D151" s="376">
        <f t="shared" ref="D151:G151" si="23">IF(D177=0,0,D150/D177)</f>
        <v>-0.38999430200821611</v>
      </c>
      <c r="E151" s="376">
        <f t="shared" si="23"/>
        <v>1.8130222678670385E-2</v>
      </c>
      <c r="F151" s="221">
        <f t="shared" si="23"/>
        <v>1.98379171547623E-2</v>
      </c>
      <c r="G151" s="221">
        <f t="shared" si="23"/>
        <v>1.5812060912649469E-2</v>
      </c>
    </row>
    <row r="152" spans="1:7" s="379" customFormat="1" ht="28">
      <c r="A152" s="229" t="s">
        <v>325</v>
      </c>
      <c r="B152" s="230"/>
      <c r="C152" s="230" t="s">
        <v>326</v>
      </c>
      <c r="D152" s="377">
        <f t="shared" ref="D152:G152" si="24">IF(D107=0,0,D150/D107)</f>
        <v>-6.0149742453613957</v>
      </c>
      <c r="E152" s="377">
        <f t="shared" si="24"/>
        <v>0.22117080247609389</v>
      </c>
      <c r="F152" s="378">
        <f t="shared" si="24"/>
        <v>0.33337598862046602</v>
      </c>
      <c r="G152" s="378">
        <f t="shared" si="24"/>
        <v>0.2006617683984826</v>
      </c>
    </row>
    <row r="153" spans="1:7" s="379" customFormat="1" ht="28">
      <c r="A153" s="222" t="s">
        <v>325</v>
      </c>
      <c r="B153" s="223"/>
      <c r="C153" s="223" t="s">
        <v>327</v>
      </c>
      <c r="D153" s="380">
        <f t="shared" ref="D153:G153" si="25">IF(0=D108,0,D150/D108)</f>
        <v>-6.4432859225348729</v>
      </c>
      <c r="E153" s="380">
        <f t="shared" si="25"/>
        <v>0.24512713820882015</v>
      </c>
      <c r="F153" s="381">
        <f t="shared" si="25"/>
        <v>0.35637188058420455</v>
      </c>
      <c r="G153" s="381">
        <f t="shared" si="25"/>
        <v>0.23847133866573006</v>
      </c>
    </row>
    <row r="154" spans="1:7" ht="28">
      <c r="A154" s="226" t="s">
        <v>328</v>
      </c>
      <c r="B154" s="299"/>
      <c r="C154" s="299" t="s">
        <v>329</v>
      </c>
      <c r="D154" s="382">
        <f t="shared" ref="D154:G154" si="26">D150-D107</f>
        <v>-1266553.5999999999</v>
      </c>
      <c r="E154" s="382">
        <f t="shared" si="26"/>
        <v>-158905.3000000001</v>
      </c>
      <c r="F154" s="234">
        <f t="shared" si="26"/>
        <v>-98978.400000000198</v>
      </c>
      <c r="G154" s="234">
        <f t="shared" si="26"/>
        <v>-155985.9000000002</v>
      </c>
    </row>
    <row r="155" spans="1:7" ht="28">
      <c r="A155" s="222" t="s">
        <v>330</v>
      </c>
      <c r="B155" s="297"/>
      <c r="C155" s="297" t="s">
        <v>331</v>
      </c>
      <c r="D155" s="383">
        <f t="shared" ref="D155:G155" si="27">D150-D108</f>
        <v>-1254551.6999999997</v>
      </c>
      <c r="E155" s="383">
        <f t="shared" si="27"/>
        <v>-138965.3000000001</v>
      </c>
      <c r="F155" s="231">
        <f t="shared" si="27"/>
        <v>-89397.500000000204</v>
      </c>
      <c r="G155" s="231">
        <f t="shared" si="27"/>
        <v>-125045.90000000018</v>
      </c>
    </row>
    <row r="156" spans="1:7">
      <c r="A156" s="216" t="s">
        <v>332</v>
      </c>
      <c r="B156" s="290"/>
      <c r="C156" s="290" t="s">
        <v>333</v>
      </c>
      <c r="D156" s="375">
        <f t="shared" ref="D156:G156" si="28">D135+D136-D137+D141-D142</f>
        <v>-27178137.800000001</v>
      </c>
      <c r="E156" s="375">
        <f t="shared" si="28"/>
        <v>0</v>
      </c>
      <c r="F156" s="235">
        <f t="shared" si="28"/>
        <v>4199232.5</v>
      </c>
      <c r="G156" s="235">
        <f t="shared" si="28"/>
        <v>0</v>
      </c>
    </row>
    <row r="157" spans="1:7">
      <c r="A157" s="236" t="s">
        <v>334</v>
      </c>
      <c r="B157" s="302"/>
      <c r="C157" s="302" t="s">
        <v>335</v>
      </c>
      <c r="D157" s="384">
        <f t="shared" ref="D157:G157" si="29">IF(D177=0,0,D156/D177)</f>
        <v>-9.7599297840210806</v>
      </c>
      <c r="E157" s="384">
        <f t="shared" si="29"/>
        <v>0</v>
      </c>
      <c r="F157" s="238">
        <f t="shared" si="29"/>
        <v>1.6829538240112516</v>
      </c>
      <c r="G157" s="238">
        <f t="shared" si="29"/>
        <v>0</v>
      </c>
    </row>
    <row r="158" spans="1:7">
      <c r="A158" s="216" t="s">
        <v>336</v>
      </c>
      <c r="B158" s="290"/>
      <c r="C158" s="290" t="s">
        <v>337</v>
      </c>
      <c r="D158" s="375">
        <f t="shared" ref="D158:G158" si="30">D133-D142-D111</f>
        <v>2730861.6999999993</v>
      </c>
      <c r="E158" s="375">
        <f t="shared" si="30"/>
        <v>0</v>
      </c>
      <c r="F158" s="235">
        <f t="shared" si="30"/>
        <v>2804938.5000000005</v>
      </c>
      <c r="G158" s="235">
        <f t="shared" si="30"/>
        <v>0</v>
      </c>
    </row>
    <row r="159" spans="1:7">
      <c r="A159" s="219" t="s">
        <v>338</v>
      </c>
      <c r="B159" s="214"/>
      <c r="C159" s="214" t="s">
        <v>339</v>
      </c>
      <c r="D159" s="385">
        <f t="shared" ref="D159:G159" si="31">D121-D123-D124-D142-D145</f>
        <v>2158609.7000000002</v>
      </c>
      <c r="E159" s="385">
        <f t="shared" si="31"/>
        <v>0</v>
      </c>
      <c r="F159" s="239">
        <f t="shared" si="31"/>
        <v>2223106.1999999997</v>
      </c>
      <c r="G159" s="239">
        <f t="shared" si="31"/>
        <v>0</v>
      </c>
    </row>
    <row r="160" spans="1:7">
      <c r="A160" s="219" t="s">
        <v>340</v>
      </c>
      <c r="B160" s="214"/>
      <c r="C160" s="214" t="s">
        <v>341</v>
      </c>
      <c r="D160" s="386">
        <f t="shared" ref="D160:G160" si="32">IF(D175=0,"-",1000*D158/D175)</f>
        <v>9661.6028246848546</v>
      </c>
      <c r="E160" s="386">
        <f t="shared" si="32"/>
        <v>0</v>
      </c>
      <c r="F160" s="240">
        <f t="shared" si="32"/>
        <v>9870.8092129572633</v>
      </c>
      <c r="G160" s="240" t="str">
        <f t="shared" si="32"/>
        <v>-</v>
      </c>
    </row>
    <row r="161" spans="1:7">
      <c r="A161" s="219" t="s">
        <v>340</v>
      </c>
      <c r="B161" s="214"/>
      <c r="C161" s="214" t="s">
        <v>342</v>
      </c>
      <c r="D161" s="385">
        <f t="shared" ref="D161:G161" si="33">IF(D175=0,0,1000*(D159/D175))</f>
        <v>7637.014197720865</v>
      </c>
      <c r="E161" s="385">
        <f t="shared" si="33"/>
        <v>0</v>
      </c>
      <c r="F161" s="239">
        <f t="shared" si="33"/>
        <v>7823.2935090528381</v>
      </c>
      <c r="G161" s="239">
        <f t="shared" si="33"/>
        <v>0</v>
      </c>
    </row>
    <row r="162" spans="1:7">
      <c r="A162" s="236" t="s">
        <v>343</v>
      </c>
      <c r="B162" s="302"/>
      <c r="C162" s="302" t="s">
        <v>344</v>
      </c>
      <c r="D162" s="384">
        <f t="shared" ref="D162:G162" si="34">IF((D22+D23+D65+D66)=0,0,D158/(D22+D23+D65+D66))</f>
        <v>1.6881965593046619</v>
      </c>
      <c r="E162" s="384">
        <f t="shared" si="34"/>
        <v>0</v>
      </c>
      <c r="F162" s="238">
        <f t="shared" si="34"/>
        <v>1.6761891836994829</v>
      </c>
      <c r="G162" s="238">
        <f t="shared" si="34"/>
        <v>0</v>
      </c>
    </row>
    <row r="163" spans="1:7">
      <c r="A163" s="219" t="s">
        <v>345</v>
      </c>
      <c r="B163" s="214"/>
      <c r="C163" s="214" t="s">
        <v>316</v>
      </c>
      <c r="D163" s="375">
        <f t="shared" ref="D163:G163" si="35">D145</f>
        <v>-616615</v>
      </c>
      <c r="E163" s="375">
        <f t="shared" si="35"/>
        <v>0</v>
      </c>
      <c r="F163" s="218">
        <f t="shared" si="35"/>
        <v>-594979.9</v>
      </c>
      <c r="G163" s="218">
        <f t="shared" si="35"/>
        <v>0</v>
      </c>
    </row>
    <row r="164" spans="1:7" ht="28">
      <c r="A164" s="222" t="s">
        <v>346</v>
      </c>
      <c r="B164" s="304"/>
      <c r="C164" s="304" t="s">
        <v>347</v>
      </c>
      <c r="D164" s="387">
        <f t="shared" ref="D164:G164" si="36">IF(D178=0,0,D146/D178)</f>
        <v>-0.21158002772862633</v>
      </c>
      <c r="E164" s="387">
        <f t="shared" si="36"/>
        <v>0</v>
      </c>
      <c r="F164" s="241">
        <f t="shared" si="36"/>
        <v>-0.23495189858801774</v>
      </c>
      <c r="G164" s="241">
        <f t="shared" si="36"/>
        <v>0</v>
      </c>
    </row>
    <row r="165" spans="1:7">
      <c r="A165" s="242" t="s">
        <v>348</v>
      </c>
      <c r="B165" s="307"/>
      <c r="C165" s="307" t="s">
        <v>349</v>
      </c>
      <c r="D165" s="388">
        <f t="shared" ref="D165:G165" si="37">IF(D177=0,0,D180/D177)</f>
        <v>3.0392377855967104E-2</v>
      </c>
      <c r="E165" s="388">
        <f t="shared" si="37"/>
        <v>4.2788469767052043E-2</v>
      </c>
      <c r="F165" s="244">
        <f t="shared" si="37"/>
        <v>3.5486397023416695E-2</v>
      </c>
      <c r="G165" s="244">
        <f t="shared" si="37"/>
        <v>3.8457430546865394E-2</v>
      </c>
    </row>
    <row r="166" spans="1:7">
      <c r="A166" s="219" t="s">
        <v>350</v>
      </c>
      <c r="B166" s="214"/>
      <c r="C166" s="214" t="s">
        <v>218</v>
      </c>
      <c r="D166" s="375">
        <f t="shared" ref="D166:G166" si="38">D55</f>
        <v>75163.899999999994</v>
      </c>
      <c r="E166" s="375">
        <f t="shared" si="38"/>
        <v>45053.100000000006</v>
      </c>
      <c r="F166" s="218">
        <f t="shared" si="38"/>
        <v>93552.699999999983</v>
      </c>
      <c r="G166" s="218">
        <f t="shared" si="38"/>
        <v>76883.899999999994</v>
      </c>
    </row>
    <row r="167" spans="1:7">
      <c r="A167" s="236" t="s">
        <v>351</v>
      </c>
      <c r="B167" s="302"/>
      <c r="C167" s="302" t="s">
        <v>352</v>
      </c>
      <c r="D167" s="384">
        <f t="shared" ref="D167:G167" si="39">IF(0=D111,0,(D44+D45+D46+D47+D48)/D111)</f>
        <v>2.0032721081203329E-2</v>
      </c>
      <c r="E167" s="384">
        <f t="shared" si="39"/>
        <v>0</v>
      </c>
      <c r="F167" s="238">
        <f t="shared" si="39"/>
        <v>4.1490209812134977E-2</v>
      </c>
      <c r="G167" s="238">
        <f t="shared" si="39"/>
        <v>0</v>
      </c>
    </row>
    <row r="168" spans="1:7">
      <c r="A168" s="219" t="s">
        <v>353</v>
      </c>
      <c r="B168" s="290"/>
      <c r="C168" s="290" t="s">
        <v>354</v>
      </c>
      <c r="D168" s="375">
        <f t="shared" ref="D168:G168" si="40">D38-D44</f>
        <v>7996.2000000000007</v>
      </c>
      <c r="E168" s="375">
        <f t="shared" si="40"/>
        <v>35879.599999999999</v>
      </c>
      <c r="F168" s="218">
        <f t="shared" si="40"/>
        <v>18924.2</v>
      </c>
      <c r="G168" s="218">
        <f t="shared" si="40"/>
        <v>23483.3</v>
      </c>
    </row>
    <row r="169" spans="1:7">
      <c r="A169" s="236" t="s">
        <v>355</v>
      </c>
      <c r="B169" s="302"/>
      <c r="C169" s="302" t="s">
        <v>356</v>
      </c>
      <c r="D169" s="376">
        <f t="shared" ref="D169:G169" si="41">IF(D177=0,0,D168/D177)</f>
        <v>2.8715120628680221E-3</v>
      </c>
      <c r="E169" s="376">
        <f t="shared" si="41"/>
        <v>1.441540270004949E-2</v>
      </c>
      <c r="F169" s="221">
        <f t="shared" si="41"/>
        <v>7.5843751819775936E-3</v>
      </c>
      <c r="G169" s="221">
        <f t="shared" si="41"/>
        <v>9.482617046113891E-3</v>
      </c>
    </row>
    <row r="170" spans="1:7">
      <c r="A170" s="219" t="s">
        <v>357</v>
      </c>
      <c r="B170" s="214"/>
      <c r="C170" s="214" t="s">
        <v>358</v>
      </c>
      <c r="D170" s="375">
        <f t="shared" ref="D170:G170" si="42">SUM(D82:D87)+SUM(D89:D94)</f>
        <v>217219.59999999998</v>
      </c>
      <c r="E170" s="375">
        <f t="shared" si="42"/>
        <v>245066</v>
      </c>
      <c r="F170" s="218">
        <f t="shared" si="42"/>
        <v>193018</v>
      </c>
      <c r="G170" s="218">
        <f t="shared" si="42"/>
        <v>232533.8</v>
      </c>
    </row>
    <row r="171" spans="1:7">
      <c r="A171" s="219" t="s">
        <v>359</v>
      </c>
      <c r="B171" s="214"/>
      <c r="C171" s="214" t="s">
        <v>360</v>
      </c>
      <c r="D171" s="385">
        <f t="shared" ref="D171:G171" si="43">SUM(D96:D102)+SUM(D104:D105)</f>
        <v>36669.599999999999</v>
      </c>
      <c r="E171" s="385">
        <f t="shared" si="43"/>
        <v>41035</v>
      </c>
      <c r="F171" s="239">
        <f t="shared" si="43"/>
        <v>44540.900000000009</v>
      </c>
      <c r="G171" s="239">
        <f t="shared" si="43"/>
        <v>37390</v>
      </c>
    </row>
    <row r="172" spans="1:7">
      <c r="A172" s="242" t="s">
        <v>361</v>
      </c>
      <c r="B172" s="307"/>
      <c r="C172" s="307" t="s">
        <v>362</v>
      </c>
      <c r="D172" s="388">
        <f t="shared" ref="D172:G172" si="44">IF(D184=0,0,D170/D184)</f>
        <v>5.3438163711542891E-2</v>
      </c>
      <c r="E172" s="388">
        <f t="shared" si="44"/>
        <v>9.2059338315194597E-2</v>
      </c>
      <c r="F172" s="244">
        <f t="shared" si="44"/>
        <v>7.3401287460209658E-2</v>
      </c>
      <c r="G172" s="244">
        <f t="shared" si="44"/>
        <v>8.7995159569554685E-2</v>
      </c>
    </row>
    <row r="173" spans="1:7">
      <c r="A173" s="389"/>
    </row>
    <row r="174" spans="1:7">
      <c r="A174" s="310" t="s">
        <v>363</v>
      </c>
      <c r="B174" s="248"/>
      <c r="C174" s="247"/>
      <c r="D174" s="346"/>
      <c r="E174" s="346"/>
      <c r="F174" s="161"/>
      <c r="G174" s="161"/>
    </row>
    <row r="175" spans="1:7" s="91" customFormat="1">
      <c r="A175" s="312" t="s">
        <v>364</v>
      </c>
      <c r="B175" s="248"/>
      <c r="C175" s="248" t="s">
        <v>387</v>
      </c>
      <c r="D175" s="390">
        <v>282651</v>
      </c>
      <c r="E175" s="390">
        <v>282651</v>
      </c>
      <c r="F175" s="391">
        <v>284165</v>
      </c>
      <c r="G175" s="391"/>
    </row>
    <row r="176" spans="1:7">
      <c r="A176" s="310" t="s">
        <v>366</v>
      </c>
      <c r="B176" s="248"/>
      <c r="C176" s="248"/>
      <c r="D176" s="392"/>
      <c r="E176" s="392"/>
      <c r="F176" s="248"/>
      <c r="G176" s="248"/>
    </row>
    <row r="177" spans="1:7">
      <c r="A177" s="312" t="s">
        <v>367</v>
      </c>
      <c r="B177" s="248"/>
      <c r="C177" s="248" t="s">
        <v>368</v>
      </c>
      <c r="D177" s="392">
        <f t="shared" ref="D177:G177" si="45">SUM(D22:D32)+SUM(D44:D53)+SUM(D65:D72)+D75</f>
        <v>2784665.3000000003</v>
      </c>
      <c r="E177" s="392">
        <f t="shared" si="45"/>
        <v>2488976.6</v>
      </c>
      <c r="F177" s="249">
        <f t="shared" si="45"/>
        <v>2495156.0999999996</v>
      </c>
      <c r="G177" s="249">
        <f t="shared" si="45"/>
        <v>2476457.6999999997</v>
      </c>
    </row>
    <row r="178" spans="1:7">
      <c r="A178" s="312" t="s">
        <v>369</v>
      </c>
      <c r="B178" s="248"/>
      <c r="C178" s="248" t="s">
        <v>370</v>
      </c>
      <c r="D178" s="392">
        <f t="shared" ref="D178:G178" si="46">D78-D17-D20-D59-D63-D64</f>
        <v>3968462.0000000005</v>
      </c>
      <c r="E178" s="392">
        <f t="shared" si="46"/>
        <v>2534139.6</v>
      </c>
      <c r="F178" s="249">
        <f t="shared" si="46"/>
        <v>2532347.7000000002</v>
      </c>
      <c r="G178" s="249">
        <f t="shared" si="46"/>
        <v>2529190.5</v>
      </c>
    </row>
    <row r="179" spans="1:7">
      <c r="A179" s="312"/>
      <c r="B179" s="248"/>
      <c r="C179" s="248" t="s">
        <v>371</v>
      </c>
      <c r="D179" s="392">
        <f t="shared" ref="D179:G179" si="47">D178+D170</f>
        <v>4185681.6000000006</v>
      </c>
      <c r="E179" s="392">
        <f t="shared" si="47"/>
        <v>2779205.6</v>
      </c>
      <c r="F179" s="249">
        <f t="shared" si="47"/>
        <v>2725365.7</v>
      </c>
      <c r="G179" s="249">
        <f t="shared" si="47"/>
        <v>2761724.3</v>
      </c>
    </row>
    <row r="180" spans="1:7">
      <c r="A180" s="312" t="s">
        <v>372</v>
      </c>
      <c r="B180" s="248"/>
      <c r="C180" s="248" t="s">
        <v>373</v>
      </c>
      <c r="D180" s="392">
        <f t="shared" ref="D180:G180" si="48">D38-D44+D8+D9+D10+D16-D33</f>
        <v>84632.6</v>
      </c>
      <c r="E180" s="392">
        <f t="shared" si="48"/>
        <v>106499.49999999999</v>
      </c>
      <c r="F180" s="249">
        <f t="shared" si="48"/>
        <v>88544.099999999991</v>
      </c>
      <c r="G180" s="249">
        <f t="shared" si="48"/>
        <v>95238.2</v>
      </c>
    </row>
    <row r="181" spans="1:7" ht="27.5" customHeight="1">
      <c r="A181" s="315" t="s">
        <v>374</v>
      </c>
      <c r="B181" s="251"/>
      <c r="C181" s="251" t="s">
        <v>375</v>
      </c>
      <c r="D181" s="393">
        <f t="shared" ref="D181:G181" si="49">D22+D23+D24+D25+D26+D29+SUM(D44:D47)+SUM(D49:D53)-D54+D32-D33+SUM(D65:D70)+D72</f>
        <v>2782367.4000000004</v>
      </c>
      <c r="E181" s="393">
        <f t="shared" si="49"/>
        <v>2486945.4</v>
      </c>
      <c r="F181" s="252">
        <f t="shared" si="49"/>
        <v>2458947.2999999998</v>
      </c>
      <c r="G181" s="252">
        <f t="shared" si="49"/>
        <v>2474213.5</v>
      </c>
    </row>
    <row r="182" spans="1:7">
      <c r="A182" s="317" t="s">
        <v>376</v>
      </c>
      <c r="B182" s="251"/>
      <c r="C182" s="251" t="s">
        <v>377</v>
      </c>
      <c r="D182" s="393">
        <f t="shared" ref="D182:G182" si="50">D181+D171</f>
        <v>2819037.0000000005</v>
      </c>
      <c r="E182" s="393">
        <f t="shared" si="50"/>
        <v>2527980.4</v>
      </c>
      <c r="F182" s="252">
        <f t="shared" si="50"/>
        <v>2503488.1999999997</v>
      </c>
      <c r="G182" s="252">
        <f t="shared" si="50"/>
        <v>2511603.5</v>
      </c>
    </row>
    <row r="183" spans="1:7">
      <c r="A183" s="317" t="s">
        <v>378</v>
      </c>
      <c r="B183" s="251"/>
      <c r="C183" s="251" t="s">
        <v>379</v>
      </c>
      <c r="D183" s="393">
        <f t="shared" ref="D183" si="51">D4+D5-D7+D38+D39+D40+D41+D43+D13-D16+D57+D58+D60+D62</f>
        <v>3847658.1000000006</v>
      </c>
      <c r="E183" s="393">
        <f>E4+E5-E7+E38+E39+E40+E41+E43+E13-E16+E57+E58+E60+E62</f>
        <v>2416977.8999999994</v>
      </c>
      <c r="F183" s="252">
        <f>F4+F5-F7+F38+F39+F40+F41+F43+F13-F16+F57+F58+F60+F62</f>
        <v>2436608.9</v>
      </c>
      <c r="G183" s="252">
        <f>G4+G5-G7+G38+G39+G40+G41+G43+G13-G16+G57+G58+G60+G62</f>
        <v>2410041.1</v>
      </c>
    </row>
    <row r="184" spans="1:7">
      <c r="A184" s="317" t="s">
        <v>380</v>
      </c>
      <c r="B184" s="251"/>
      <c r="C184" s="251" t="s">
        <v>381</v>
      </c>
      <c r="D184" s="393">
        <f t="shared" ref="D184:G184" si="52">D183+D170</f>
        <v>4064877.7000000007</v>
      </c>
      <c r="E184" s="393">
        <f t="shared" si="52"/>
        <v>2662043.8999999994</v>
      </c>
      <c r="F184" s="252">
        <f t="shared" si="52"/>
        <v>2629626.9</v>
      </c>
      <c r="G184" s="252">
        <f t="shared" si="52"/>
        <v>2642574.9</v>
      </c>
    </row>
    <row r="185" spans="1:7">
      <c r="A185" s="317"/>
      <c r="B185" s="251"/>
      <c r="C185" s="251" t="s">
        <v>382</v>
      </c>
      <c r="D185" s="393">
        <f t="shared" ref="D185:G186" si="53">D181-D183</f>
        <v>-1065290.7000000002</v>
      </c>
      <c r="E185" s="393">
        <f t="shared" si="53"/>
        <v>69967.500000000466</v>
      </c>
      <c r="F185" s="252">
        <f t="shared" si="53"/>
        <v>22338.399999999907</v>
      </c>
      <c r="G185" s="252">
        <f t="shared" si="53"/>
        <v>64172.399999999907</v>
      </c>
    </row>
    <row r="186" spans="1:7">
      <c r="A186" s="317"/>
      <c r="B186" s="251"/>
      <c r="C186" s="251" t="s">
        <v>383</v>
      </c>
      <c r="D186" s="393">
        <f t="shared" si="53"/>
        <v>-1245840.7000000002</v>
      </c>
      <c r="E186" s="393">
        <f t="shared" si="53"/>
        <v>-134063.49999999953</v>
      </c>
      <c r="F186" s="252">
        <f t="shared" si="53"/>
        <v>-126138.70000000019</v>
      </c>
      <c r="G186" s="252">
        <f t="shared" si="53"/>
        <v>-130971.39999999991</v>
      </c>
    </row>
  </sheetData>
  <sheetProtection selectLockedCells="1" sort="0" autoFilter="0" pivotTables="0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4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12" man="1"/>
    <brk id="147" max="12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3"/>
  <sheetViews>
    <sheetView view="pageLayout" topLeftCell="A19" zoomScaleNormal="100" workbookViewId="0">
      <selection activeCell="B22" sqref="B22"/>
    </sheetView>
  </sheetViews>
  <sheetFormatPr baseColWidth="10" defaultRowHeight="13"/>
  <cols>
    <col min="2" max="2" width="52.5" bestFit="1" customWidth="1"/>
    <col min="8" max="8" width="11.5" style="49"/>
  </cols>
  <sheetData>
    <row r="1" spans="1:9">
      <c r="A1" s="3" t="s">
        <v>5</v>
      </c>
      <c r="B1" s="4" t="s">
        <v>141</v>
      </c>
      <c r="C1" s="43" t="s">
        <v>7</v>
      </c>
      <c r="D1" s="5" t="s">
        <v>8</v>
      </c>
      <c r="E1" s="43" t="s">
        <v>9</v>
      </c>
      <c r="F1" s="5" t="s">
        <v>8</v>
      </c>
      <c r="G1" s="43" t="s">
        <v>7</v>
      </c>
      <c r="H1" s="5" t="s">
        <v>8</v>
      </c>
      <c r="I1" s="44" t="s">
        <v>9</v>
      </c>
    </row>
    <row r="2" spans="1:9">
      <c r="A2" s="52">
        <v>0</v>
      </c>
      <c r="B2" s="55">
        <v>0</v>
      </c>
      <c r="C2" s="47">
        <v>2014</v>
      </c>
      <c r="D2" s="2" t="s">
        <v>10</v>
      </c>
      <c r="E2" s="47">
        <v>2015</v>
      </c>
      <c r="F2" s="2" t="s">
        <v>10</v>
      </c>
      <c r="G2" s="47">
        <v>2015</v>
      </c>
      <c r="H2" s="2" t="s">
        <v>10</v>
      </c>
      <c r="I2" s="48">
        <v>2016</v>
      </c>
    </row>
    <row r="3" spans="1:9">
      <c r="A3" s="52">
        <v>0</v>
      </c>
      <c r="B3" s="1" t="s">
        <v>11</v>
      </c>
      <c r="C3" s="54" t="s">
        <v>0</v>
      </c>
      <c r="D3" s="53">
        <v>0</v>
      </c>
      <c r="E3" s="54" t="s">
        <v>0</v>
      </c>
      <c r="F3" s="55">
        <v>0</v>
      </c>
      <c r="G3" s="54">
        <v>0</v>
      </c>
      <c r="H3" s="53">
        <v>0</v>
      </c>
      <c r="I3" s="50">
        <v>0</v>
      </c>
    </row>
    <row r="4" spans="1:9">
      <c r="A4" s="3" t="s">
        <v>13</v>
      </c>
      <c r="B4" s="7" t="s">
        <v>14</v>
      </c>
      <c r="C4" s="8">
        <v>174164.10084999999</v>
      </c>
      <c r="D4" s="9">
        <v>-1.050676253641955E-2</v>
      </c>
      <c r="E4" s="8">
        <v>172334.2</v>
      </c>
      <c r="F4" s="9">
        <v>-9.5373560790604408E-3</v>
      </c>
      <c r="G4" s="8">
        <v>170690.58736999999</v>
      </c>
      <c r="H4" s="66">
        <v>2.1354502823866004E-2</v>
      </c>
      <c r="I4" s="10">
        <v>174335.6</v>
      </c>
    </row>
    <row r="5" spans="1:9">
      <c r="A5" s="11" t="s">
        <v>15</v>
      </c>
      <c r="B5" s="1" t="s">
        <v>16</v>
      </c>
      <c r="C5" s="12">
        <v>60455.77289</v>
      </c>
      <c r="D5" s="13">
        <v>1.5851705539249097E-2</v>
      </c>
      <c r="E5" s="12">
        <v>61414.1</v>
      </c>
      <c r="F5" s="13">
        <v>-3.7899653499766303E-2</v>
      </c>
      <c r="G5" s="12">
        <v>59086.526890000001</v>
      </c>
      <c r="H5" s="37">
        <v>6.9114421086258647E-3</v>
      </c>
      <c r="I5" s="14">
        <v>59494.9</v>
      </c>
    </row>
    <row r="6" spans="1:9">
      <c r="A6" s="11" t="s">
        <v>17</v>
      </c>
      <c r="B6" s="1" t="s">
        <v>18</v>
      </c>
      <c r="C6" s="12">
        <v>7630.3065699999997</v>
      </c>
      <c r="D6" s="13">
        <v>1.8989201635708337E-2</v>
      </c>
      <c r="E6" s="12">
        <v>7775.2</v>
      </c>
      <c r="F6" s="13">
        <v>-1.3718156446136396E-2</v>
      </c>
      <c r="G6" s="12">
        <v>7668.5385900000001</v>
      </c>
      <c r="H6" s="37">
        <v>-0.16326951678025006</v>
      </c>
      <c r="I6" s="14">
        <v>6416.5</v>
      </c>
    </row>
    <row r="7" spans="1:9">
      <c r="A7" s="11" t="s">
        <v>19</v>
      </c>
      <c r="B7" s="1" t="s">
        <v>20</v>
      </c>
      <c r="C7" s="12">
        <v>1726.7454</v>
      </c>
      <c r="D7" s="13">
        <v>0.8064041172485531</v>
      </c>
      <c r="E7" s="12">
        <v>3119.2</v>
      </c>
      <c r="F7" s="13">
        <v>-0.38275517760964345</v>
      </c>
      <c r="G7" s="12">
        <v>1925.31005</v>
      </c>
      <c r="H7" s="37">
        <v>0.48687739930511437</v>
      </c>
      <c r="I7" s="14">
        <v>2862.7</v>
      </c>
    </row>
    <row r="8" spans="1:9">
      <c r="A8" s="11" t="s">
        <v>21</v>
      </c>
      <c r="B8" s="1" t="s">
        <v>22</v>
      </c>
      <c r="C8" s="12">
        <v>3723.5837000000001</v>
      </c>
      <c r="D8" s="13">
        <v>-0.10167186519803492</v>
      </c>
      <c r="E8" s="12">
        <v>3345</v>
      </c>
      <c r="F8" s="13">
        <v>-0.4160859013452915</v>
      </c>
      <c r="G8" s="12">
        <v>1953.1926599999999</v>
      </c>
      <c r="H8" s="37">
        <v>0.8508158841842054</v>
      </c>
      <c r="I8" s="14">
        <v>3615</v>
      </c>
    </row>
    <row r="9" spans="1:9">
      <c r="A9" s="11" t="s">
        <v>23</v>
      </c>
      <c r="B9" s="1" t="s">
        <v>24</v>
      </c>
      <c r="C9" s="12">
        <v>17242.15611</v>
      </c>
      <c r="D9" s="13">
        <v>9.3987311079971478E-2</v>
      </c>
      <c r="E9" s="12">
        <v>18862.7</v>
      </c>
      <c r="F9" s="13">
        <v>-7.0302123768071337E-2</v>
      </c>
      <c r="G9" s="12">
        <v>17536.612130000001</v>
      </c>
      <c r="H9" s="37">
        <v>5.0698952762890312E-2</v>
      </c>
      <c r="I9" s="14">
        <v>18425.7</v>
      </c>
    </row>
    <row r="10" spans="1:9">
      <c r="A10" s="11" t="s">
        <v>25</v>
      </c>
      <c r="B10" s="1" t="s">
        <v>26</v>
      </c>
      <c r="C10" s="12">
        <v>381867.89227000001</v>
      </c>
      <c r="D10" s="13">
        <v>1.4147321205471389E-2</v>
      </c>
      <c r="E10" s="12">
        <v>387270.30000000005</v>
      </c>
      <c r="F10" s="13">
        <v>-1.0284148280929481E-2</v>
      </c>
      <c r="G10" s="12">
        <v>383287.55481</v>
      </c>
      <c r="H10" s="37">
        <v>1.4765011592420054E-2</v>
      </c>
      <c r="I10" s="14">
        <v>388946.8</v>
      </c>
    </row>
    <row r="11" spans="1:9">
      <c r="A11" s="11" t="s">
        <v>27</v>
      </c>
      <c r="B11" s="1" t="s">
        <v>28</v>
      </c>
      <c r="C11" s="12">
        <v>68820.209189999994</v>
      </c>
      <c r="D11" s="37">
        <v>-4.2295849202721669E-2</v>
      </c>
      <c r="E11" s="12">
        <v>65909.399999999994</v>
      </c>
      <c r="F11" s="13">
        <v>1.755105538815404E-2</v>
      </c>
      <c r="G11" s="12">
        <v>67066.179529999994</v>
      </c>
      <c r="H11" s="37">
        <v>-8.2627034502855287E-2</v>
      </c>
      <c r="I11" s="14">
        <v>61524.7</v>
      </c>
    </row>
    <row r="12" spans="1:9">
      <c r="A12" s="11" t="s">
        <v>29</v>
      </c>
      <c r="B12" s="1" t="s">
        <v>30</v>
      </c>
      <c r="C12" s="12">
        <v>3326.9956999999999</v>
      </c>
      <c r="D12" s="37">
        <v>-1.7131281534268274E-2</v>
      </c>
      <c r="E12" s="12">
        <v>3270</v>
      </c>
      <c r="F12" s="13">
        <v>-2.2732905198776784E-2</v>
      </c>
      <c r="G12" s="12">
        <v>3195.6633999999999</v>
      </c>
      <c r="H12" s="37">
        <v>-0.23333602656650257</v>
      </c>
      <c r="I12" s="14">
        <v>2450</v>
      </c>
    </row>
    <row r="13" spans="1:9">
      <c r="A13" s="11" t="s">
        <v>31</v>
      </c>
      <c r="B13" s="1" t="s">
        <v>32</v>
      </c>
      <c r="C13" s="12">
        <v>122309.87682999999</v>
      </c>
      <c r="D13" s="37">
        <v>3.8578431213354372E-2</v>
      </c>
      <c r="E13" s="12">
        <v>127028.4</v>
      </c>
      <c r="F13" s="37">
        <v>-7.2194444706852618E-3</v>
      </c>
      <c r="G13" s="12">
        <v>126111.32552</v>
      </c>
      <c r="H13" s="37">
        <v>5.6107367445581723E-2</v>
      </c>
      <c r="I13" s="14">
        <v>133187.1</v>
      </c>
    </row>
    <row r="14" spans="1:9">
      <c r="A14" s="11" t="s">
        <v>34</v>
      </c>
      <c r="B14" s="1" t="s">
        <v>35</v>
      </c>
      <c r="C14" s="12">
        <v>0</v>
      </c>
      <c r="D14" s="37" t="s">
        <v>33</v>
      </c>
      <c r="E14" s="12">
        <v>0</v>
      </c>
      <c r="F14" s="13" t="s">
        <v>33</v>
      </c>
      <c r="G14" s="12">
        <v>0</v>
      </c>
      <c r="H14" s="37" t="s">
        <v>33</v>
      </c>
      <c r="I14" s="14">
        <v>0</v>
      </c>
    </row>
    <row r="15" spans="1:9">
      <c r="A15" s="11" t="s">
        <v>36</v>
      </c>
      <c r="B15" s="1" t="s">
        <v>37</v>
      </c>
      <c r="C15" s="12">
        <v>0</v>
      </c>
      <c r="D15" s="37" t="s">
        <v>33</v>
      </c>
      <c r="E15" s="12">
        <v>0</v>
      </c>
      <c r="F15" s="13" t="s">
        <v>33</v>
      </c>
      <c r="G15" s="12">
        <v>0</v>
      </c>
      <c r="H15" s="37" t="s">
        <v>33</v>
      </c>
      <c r="I15" s="14">
        <v>0</v>
      </c>
    </row>
    <row r="16" spans="1:9">
      <c r="A16" s="11" t="s">
        <v>38</v>
      </c>
      <c r="B16" s="1" t="s">
        <v>39</v>
      </c>
      <c r="C16" s="12">
        <v>529.23900000000003</v>
      </c>
      <c r="D16" s="37">
        <v>0.25557640309954471</v>
      </c>
      <c r="E16" s="12">
        <v>664.5</v>
      </c>
      <c r="F16" s="37">
        <v>0.73261294206170058</v>
      </c>
      <c r="G16" s="12">
        <v>1151.3213000000001</v>
      </c>
      <c r="H16" s="37">
        <v>-0.39200291004778598</v>
      </c>
      <c r="I16" s="14">
        <v>700</v>
      </c>
    </row>
    <row r="17" spans="1:9">
      <c r="A17" s="11" t="s">
        <v>40</v>
      </c>
      <c r="B17" s="1" t="s">
        <v>41</v>
      </c>
      <c r="C17" s="12">
        <v>15183.796</v>
      </c>
      <c r="D17" s="13">
        <v>-0.15969629728955792</v>
      </c>
      <c r="E17" s="12">
        <v>12759</v>
      </c>
      <c r="F17" s="13">
        <v>0.98327886197977887</v>
      </c>
      <c r="G17" s="12">
        <v>25304.654999999999</v>
      </c>
      <c r="H17" s="37">
        <v>-0.40923913011262153</v>
      </c>
      <c r="I17" s="14">
        <v>14949</v>
      </c>
    </row>
    <row r="18" spans="1:9">
      <c r="A18" s="11">
        <v>389</v>
      </c>
      <c r="B18" s="1" t="s">
        <v>42</v>
      </c>
      <c r="C18" s="12">
        <v>0</v>
      </c>
      <c r="D18" s="37" t="s">
        <v>33</v>
      </c>
      <c r="E18" s="12">
        <v>0</v>
      </c>
      <c r="F18" s="37" t="s">
        <v>33</v>
      </c>
      <c r="G18" s="12">
        <v>0</v>
      </c>
      <c r="H18" s="37" t="s">
        <v>33</v>
      </c>
      <c r="I18" s="14">
        <v>0</v>
      </c>
    </row>
    <row r="19" spans="1:9">
      <c r="A19" s="15" t="s">
        <v>43</v>
      </c>
      <c r="B19" s="16" t="s">
        <v>44</v>
      </c>
      <c r="C19" s="17">
        <v>21366.384559999999</v>
      </c>
      <c r="D19" s="37">
        <v>9.8105245373343326E-3</v>
      </c>
      <c r="E19" s="17">
        <v>21576</v>
      </c>
      <c r="F19" s="37">
        <v>1.8900275305895439E-2</v>
      </c>
      <c r="G19" s="17">
        <v>21983.79234</v>
      </c>
      <c r="H19" s="37">
        <v>-9.029030884668587E-3</v>
      </c>
      <c r="I19" s="18">
        <v>21785.3</v>
      </c>
    </row>
    <row r="20" spans="1:9">
      <c r="A20" s="19" t="s">
        <v>45</v>
      </c>
      <c r="B20" s="20" t="s">
        <v>46</v>
      </c>
      <c r="C20" s="21">
        <v>675730.43177999998</v>
      </c>
      <c r="D20" s="22">
        <v>7.3255073135608424E-3</v>
      </c>
      <c r="E20" s="21">
        <v>680680.5</v>
      </c>
      <c r="F20" s="22">
        <v>1.5980055988087706E-3</v>
      </c>
      <c r="G20" s="21">
        <v>681768.23124999995</v>
      </c>
      <c r="H20" s="67">
        <v>3.8822119140800707E-3</v>
      </c>
      <c r="I20" s="23">
        <v>684415</v>
      </c>
    </row>
    <row r="21" spans="1:9">
      <c r="A21" s="24" t="s">
        <v>47</v>
      </c>
      <c r="B21" s="25" t="s">
        <v>48</v>
      </c>
      <c r="C21" s="8">
        <v>286002.82788</v>
      </c>
      <c r="D21" s="13">
        <v>2.7752075665944995E-2</v>
      </c>
      <c r="E21" s="8">
        <v>293940</v>
      </c>
      <c r="F21" s="13">
        <v>-2.9747897870312924E-3</v>
      </c>
      <c r="G21" s="8">
        <v>293065.59029000002</v>
      </c>
      <c r="H21" s="37">
        <v>3.9698996045517555E-2</v>
      </c>
      <c r="I21" s="10">
        <v>304700</v>
      </c>
    </row>
    <row r="22" spans="1:9">
      <c r="A22" s="6" t="s">
        <v>49</v>
      </c>
      <c r="B22" s="26" t="s">
        <v>50</v>
      </c>
      <c r="C22" s="12">
        <v>22972.354899999998</v>
      </c>
      <c r="D22" s="13">
        <v>-0.10522886793813196</v>
      </c>
      <c r="E22" s="12">
        <v>20555</v>
      </c>
      <c r="F22" s="13">
        <v>8.9625769885672502E-2</v>
      </c>
      <c r="G22" s="12">
        <v>22397.257699999998</v>
      </c>
      <c r="H22" s="37">
        <v>-0.12333017447935149</v>
      </c>
      <c r="I22" s="14">
        <v>19635</v>
      </c>
    </row>
    <row r="23" spans="1:9">
      <c r="A23" s="6" t="s">
        <v>51</v>
      </c>
      <c r="B23" s="26" t="s">
        <v>52</v>
      </c>
      <c r="C23" s="12">
        <v>47827.439839999999</v>
      </c>
      <c r="D23" s="13">
        <v>0.24430034722929042</v>
      </c>
      <c r="E23" s="12">
        <v>59511.7</v>
      </c>
      <c r="F23" s="13">
        <v>-3.7849757946756699E-2</v>
      </c>
      <c r="G23" s="12">
        <v>57259.196559999997</v>
      </c>
      <c r="H23" s="37">
        <v>-0.35613661708703515</v>
      </c>
      <c r="I23" s="14">
        <v>36867.1</v>
      </c>
    </row>
    <row r="24" spans="1:9">
      <c r="A24" s="6" t="s">
        <v>53</v>
      </c>
      <c r="B24" s="26" t="s">
        <v>54</v>
      </c>
      <c r="C24" s="12">
        <v>69981.748030000002</v>
      </c>
      <c r="D24" s="13">
        <v>1.2771215283403053E-2</v>
      </c>
      <c r="E24" s="12">
        <v>70875.5</v>
      </c>
      <c r="F24" s="13">
        <v>1.4175212591092773E-2</v>
      </c>
      <c r="G24" s="12">
        <v>71880.175279999996</v>
      </c>
      <c r="H24" s="37">
        <v>-1.8108960849489958E-2</v>
      </c>
      <c r="I24" s="14">
        <v>70578.5</v>
      </c>
    </row>
    <row r="25" spans="1:9">
      <c r="A25" s="6" t="s">
        <v>55</v>
      </c>
      <c r="B25" s="26" t="s">
        <v>56</v>
      </c>
      <c r="C25" s="12">
        <v>195807.88082000002</v>
      </c>
      <c r="D25" s="13">
        <v>3.3563092417291393E-4</v>
      </c>
      <c r="E25" s="12">
        <v>195873.59999999998</v>
      </c>
      <c r="F25" s="13">
        <v>8.4365670565099291E-2</v>
      </c>
      <c r="G25" s="12">
        <v>212398.60761000001</v>
      </c>
      <c r="H25" s="37">
        <v>-2.6892396679398339E-2</v>
      </c>
      <c r="I25" s="14">
        <v>206686.7</v>
      </c>
    </row>
    <row r="26" spans="1:9">
      <c r="A26" s="45" t="s">
        <v>57</v>
      </c>
      <c r="B26" s="26" t="s">
        <v>58</v>
      </c>
      <c r="C26" s="12">
        <v>9097.5055499999999</v>
      </c>
      <c r="D26" s="13">
        <v>-8.461721136295422E-2</v>
      </c>
      <c r="E26" s="12">
        <v>8327.7000000000007</v>
      </c>
      <c r="F26" s="13">
        <v>-6.9721815147039429E-2</v>
      </c>
      <c r="G26" s="12">
        <v>7747.0776400000004</v>
      </c>
      <c r="H26" s="37">
        <v>3.7707426409631206E-2</v>
      </c>
      <c r="I26" s="14">
        <v>8039.2</v>
      </c>
    </row>
    <row r="27" spans="1:9">
      <c r="A27" s="63">
        <v>489</v>
      </c>
      <c r="B27" s="26" t="s">
        <v>59</v>
      </c>
      <c r="C27" s="12">
        <v>0</v>
      </c>
      <c r="D27" s="13" t="s">
        <v>33</v>
      </c>
      <c r="E27" s="12">
        <v>0</v>
      </c>
      <c r="F27" s="13" t="s">
        <v>33</v>
      </c>
      <c r="G27" s="12">
        <v>0</v>
      </c>
      <c r="H27" s="37" t="s">
        <v>33</v>
      </c>
      <c r="I27" s="14">
        <v>0</v>
      </c>
    </row>
    <row r="28" spans="1:9">
      <c r="A28" s="27" t="s">
        <v>60</v>
      </c>
      <c r="B28" s="28" t="s">
        <v>61</v>
      </c>
      <c r="C28" s="17">
        <v>21366.384559999999</v>
      </c>
      <c r="D28" s="13">
        <v>9.8105245373343326E-3</v>
      </c>
      <c r="E28" s="17">
        <v>21576</v>
      </c>
      <c r="F28" s="13">
        <v>1.8900275305895439E-2</v>
      </c>
      <c r="G28" s="17">
        <v>21983.79234</v>
      </c>
      <c r="H28" s="37">
        <v>-9.029030884668587E-3</v>
      </c>
      <c r="I28" s="18">
        <v>21785.3</v>
      </c>
    </row>
    <row r="29" spans="1:9">
      <c r="A29" s="39" t="s">
        <v>62</v>
      </c>
      <c r="B29" s="40" t="s">
        <v>63</v>
      </c>
      <c r="C29" s="21">
        <v>653056.14158000005</v>
      </c>
      <c r="D29" s="41">
        <v>2.6955352379675179E-2</v>
      </c>
      <c r="E29" s="21">
        <v>670659.5</v>
      </c>
      <c r="F29" s="41">
        <v>2.3964765160264211E-2</v>
      </c>
      <c r="G29" s="21">
        <v>686731.69742000022</v>
      </c>
      <c r="H29" s="68">
        <v>-2.6851676556182695E-2</v>
      </c>
      <c r="I29" s="23">
        <v>668291.80000000005</v>
      </c>
    </row>
    <row r="30" spans="1:9">
      <c r="A30" s="38" t="s">
        <v>64</v>
      </c>
      <c r="B30" s="29" t="s">
        <v>65</v>
      </c>
      <c r="C30" s="30">
        <v>-22674.29019999993</v>
      </c>
      <c r="D30" s="56">
        <v>0</v>
      </c>
      <c r="E30" s="30">
        <v>-10021</v>
      </c>
      <c r="F30" s="56">
        <v>0</v>
      </c>
      <c r="G30" s="30">
        <v>4963.4661700002616</v>
      </c>
      <c r="H30" s="69">
        <v>0</v>
      </c>
      <c r="I30" s="31">
        <v>-16123.199999999953</v>
      </c>
    </row>
    <row r="31" spans="1:9">
      <c r="A31" s="60">
        <v>0</v>
      </c>
      <c r="B31" s="25" t="s">
        <v>66</v>
      </c>
      <c r="C31" s="58">
        <v>0</v>
      </c>
      <c r="D31" s="55">
        <v>0</v>
      </c>
      <c r="E31" s="58">
        <v>0</v>
      </c>
      <c r="F31" s="55">
        <v>0</v>
      </c>
      <c r="G31" s="58">
        <v>0</v>
      </c>
      <c r="H31" s="70">
        <v>0</v>
      </c>
      <c r="I31" s="59">
        <v>0</v>
      </c>
    </row>
    <row r="32" spans="1:9">
      <c r="A32" s="45" t="s">
        <v>67</v>
      </c>
      <c r="B32" s="26" t="s">
        <v>68</v>
      </c>
      <c r="C32" s="12">
        <v>15693.62911</v>
      </c>
      <c r="D32" s="13">
        <v>-9.6448635264071172E-2</v>
      </c>
      <c r="E32" s="12">
        <v>14180</v>
      </c>
      <c r="F32" s="13">
        <v>-0.3286125430183357</v>
      </c>
      <c r="G32" s="12">
        <v>9520.2741399999995</v>
      </c>
      <c r="H32" s="37">
        <v>0.40962327372644342</v>
      </c>
      <c r="I32" s="14">
        <v>13420</v>
      </c>
    </row>
    <row r="33" spans="1:9">
      <c r="A33" s="45" t="s">
        <v>69</v>
      </c>
      <c r="B33" s="26" t="s">
        <v>70</v>
      </c>
      <c r="C33" s="12">
        <v>52.55</v>
      </c>
      <c r="D33" s="13">
        <v>0.14176974310180787</v>
      </c>
      <c r="E33" s="12">
        <v>60</v>
      </c>
      <c r="F33" s="13">
        <v>0.61833333333333329</v>
      </c>
      <c r="G33" s="12">
        <v>97.1</v>
      </c>
      <c r="H33" s="37">
        <v>-0.38208032955715754</v>
      </c>
      <c r="I33" s="14">
        <v>60</v>
      </c>
    </row>
    <row r="34" spans="1:9">
      <c r="A34" s="6" t="s">
        <v>71</v>
      </c>
      <c r="B34" s="26" t="s">
        <v>72</v>
      </c>
      <c r="C34" s="12">
        <v>26330.924779999998</v>
      </c>
      <c r="D34" s="13">
        <v>-0.29360627644465126</v>
      </c>
      <c r="E34" s="12">
        <v>18600</v>
      </c>
      <c r="F34" s="13">
        <v>-1.742618118279576E-2</v>
      </c>
      <c r="G34" s="12">
        <v>18275.873029999999</v>
      </c>
      <c r="H34" s="37">
        <v>5.6584271968976425E-2</v>
      </c>
      <c r="I34" s="14">
        <v>19310</v>
      </c>
    </row>
    <row r="35" spans="1:9">
      <c r="A35" s="39" t="s">
        <v>73</v>
      </c>
      <c r="B35" s="40" t="s">
        <v>74</v>
      </c>
      <c r="C35" s="21">
        <v>42077.103889999999</v>
      </c>
      <c r="D35" s="42">
        <v>-0.21952803391954168</v>
      </c>
      <c r="E35" s="21">
        <v>32840</v>
      </c>
      <c r="F35" s="42">
        <v>-0.15063193757612672</v>
      </c>
      <c r="G35" s="21">
        <v>27893.247169999999</v>
      </c>
      <c r="H35" s="68">
        <v>0.17555334451223742</v>
      </c>
      <c r="I35" s="23">
        <v>32790</v>
      </c>
    </row>
    <row r="36" spans="1:9">
      <c r="A36" s="6" t="s">
        <v>75</v>
      </c>
      <c r="B36" s="26" t="s">
        <v>76</v>
      </c>
      <c r="C36" s="12">
        <v>0</v>
      </c>
      <c r="D36" s="13" t="s">
        <v>33</v>
      </c>
      <c r="E36" s="12">
        <v>0</v>
      </c>
      <c r="F36" s="13" t="s">
        <v>33</v>
      </c>
      <c r="G36" s="12">
        <v>0</v>
      </c>
      <c r="H36" s="37" t="s">
        <v>33</v>
      </c>
      <c r="I36" s="14">
        <v>0</v>
      </c>
    </row>
    <row r="37" spans="1:9">
      <c r="A37" s="6" t="s">
        <v>77</v>
      </c>
      <c r="B37" s="26" t="s">
        <v>78</v>
      </c>
      <c r="C37" s="12">
        <v>23617.939105000001</v>
      </c>
      <c r="D37" s="13">
        <v>-0.54830944594392883</v>
      </c>
      <c r="E37" s="12">
        <v>10668</v>
      </c>
      <c r="F37" s="13">
        <v>-0.44868537776527934</v>
      </c>
      <c r="G37" s="12">
        <v>5881.4243900000001</v>
      </c>
      <c r="H37" s="37">
        <v>0.31808206413072659</v>
      </c>
      <c r="I37" s="14">
        <v>7752.2</v>
      </c>
    </row>
    <row r="38" spans="1:9">
      <c r="A38" s="39" t="s">
        <v>79</v>
      </c>
      <c r="B38" s="40" t="s">
        <v>80</v>
      </c>
      <c r="C38" s="21">
        <v>23617.939105000001</v>
      </c>
      <c r="D38" s="42">
        <v>-0.54830944594392883</v>
      </c>
      <c r="E38" s="21">
        <v>10668</v>
      </c>
      <c r="F38" s="42">
        <v>-0.44868537776527934</v>
      </c>
      <c r="G38" s="21">
        <v>5881.4243900000001</v>
      </c>
      <c r="H38" s="68">
        <v>0.31808206413072659</v>
      </c>
      <c r="I38" s="23">
        <v>7752.2</v>
      </c>
    </row>
    <row r="39" spans="1:9">
      <c r="A39" s="32" t="s">
        <v>81</v>
      </c>
      <c r="B39" s="33" t="s">
        <v>1</v>
      </c>
      <c r="C39" s="34">
        <v>18459.164784999997</v>
      </c>
      <c r="D39" s="35">
        <v>0.20113776859595889</v>
      </c>
      <c r="E39" s="34">
        <v>22172</v>
      </c>
      <c r="F39" s="35">
        <v>-7.2243018221180497E-3</v>
      </c>
      <c r="G39" s="34">
        <v>22011.822779999999</v>
      </c>
      <c r="H39" s="71">
        <v>0.13747054254631796</v>
      </c>
      <c r="I39" s="36">
        <v>25037.8</v>
      </c>
    </row>
    <row r="40" spans="1:9">
      <c r="A40" s="52" t="s">
        <v>0</v>
      </c>
      <c r="B40" s="26" t="s">
        <v>82</v>
      </c>
      <c r="C40" s="12">
        <v>-5432.1340899999304</v>
      </c>
      <c r="D40" s="13">
        <v>-2.6276660063080501</v>
      </c>
      <c r="E40" s="12">
        <v>8841.7000000000007</v>
      </c>
      <c r="F40" s="13">
        <v>1.5447683477159666</v>
      </c>
      <c r="G40" s="12">
        <v>22500.078300000263</v>
      </c>
      <c r="H40" s="37">
        <v>-0.89766702278542643</v>
      </c>
      <c r="I40" s="14">
        <v>2302.5000000000473</v>
      </c>
    </row>
    <row r="41" spans="1:9">
      <c r="A41" s="52" t="s">
        <v>0</v>
      </c>
      <c r="B41" s="26" t="s">
        <v>83</v>
      </c>
      <c r="C41" s="12">
        <v>-23891.298874999928</v>
      </c>
      <c r="D41" s="13">
        <v>-0.44204373024067994</v>
      </c>
      <c r="E41" s="12">
        <v>-13330.3</v>
      </c>
      <c r="F41" s="13">
        <v>-1.0366274967555318</v>
      </c>
      <c r="G41" s="12">
        <v>488.25552000026437</v>
      </c>
      <c r="H41" s="37">
        <v>-47.564348110160928</v>
      </c>
      <c r="I41" s="14">
        <v>-22735.299999999952</v>
      </c>
    </row>
    <row r="42" spans="1:9">
      <c r="A42" s="61" t="s">
        <v>0</v>
      </c>
      <c r="B42" s="28" t="s">
        <v>84</v>
      </c>
      <c r="C42" s="17">
        <v>660291.61530000006</v>
      </c>
      <c r="D42" s="51">
        <v>-5.018714796937716E-3</v>
      </c>
      <c r="E42" s="17">
        <v>656977.80000000005</v>
      </c>
      <c r="F42" s="51">
        <v>-2.1453652939262394E-2</v>
      </c>
      <c r="G42" s="17">
        <v>642883.2262899999</v>
      </c>
      <c r="H42" s="46">
        <v>2.418288901348168E-2</v>
      </c>
      <c r="I42" s="18">
        <v>658430</v>
      </c>
    </row>
    <row r="43" spans="1:9">
      <c r="A43" s="61">
        <v>0</v>
      </c>
      <c r="B43" s="28" t="s">
        <v>3</v>
      </c>
      <c r="C43" s="46" t="s">
        <v>89</v>
      </c>
      <c r="D43" s="62">
        <v>0</v>
      </c>
      <c r="E43" s="46">
        <v>0.39877773768717306</v>
      </c>
      <c r="F43" s="64">
        <v>0</v>
      </c>
      <c r="G43" s="46">
        <v>1.0221815124026845</v>
      </c>
      <c r="H43" s="64">
        <v>0</v>
      </c>
      <c r="I43" s="65">
        <v>9.1960955035987488E-2</v>
      </c>
    </row>
  </sheetData>
  <phoneticPr fontId="6" type="noConversion"/>
  <pageMargins left="0.78740157480314965" right="0.43307086614173229" top="0.98425196850393704" bottom="0.51181102362204722" header="0.51181102362204722" footer="0.23622047244094491"/>
  <pageSetup paperSize="9" scale="89" orientation="landscape" r:id="rId1"/>
  <headerFooter alignWithMargins="0">
    <oddHeader>&amp;LFachgruppe für kantonale Finanzfragen (FkF)
Groupe d'études pour les finances cantonales&amp;CRechnung 2014 - Budget 2016
Compte 2014 - Budget 2016&amp;RZürich, 26.04.2015</oddHeader>
    <oddFooter>&amp;LQuelle: FkF Mai 2016&amp;RBlatt 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AN186"/>
  <sheetViews>
    <sheetView tabSelected="1" zoomScale="115" zoomScaleNormal="115" workbookViewId="0">
      <pane xSplit="3" ySplit="2" topLeftCell="D3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11.5" defaultRowHeight="13"/>
  <cols>
    <col min="1" max="1" width="15.1640625" style="84" customWidth="1"/>
    <col min="2" max="2" width="3.6640625" style="84" customWidth="1"/>
    <col min="3" max="3" width="44.6640625" style="84" customWidth="1"/>
    <col min="4" max="5" width="11.5" style="84"/>
    <col min="6" max="7" width="11.5" style="84" customWidth="1"/>
    <col min="8" max="16384" width="11.5" style="84"/>
  </cols>
  <sheetData>
    <row r="1" spans="1:40" s="77" customFormat="1" ht="18" customHeight="1">
      <c r="A1" s="72" t="s">
        <v>156</v>
      </c>
      <c r="B1" s="73" t="s">
        <v>384</v>
      </c>
      <c r="C1" s="73" t="s">
        <v>388</v>
      </c>
      <c r="D1" s="74" t="s">
        <v>7</v>
      </c>
      <c r="E1" s="75" t="s">
        <v>9</v>
      </c>
      <c r="F1" s="74" t="s">
        <v>7</v>
      </c>
      <c r="G1" s="75" t="s">
        <v>9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</row>
    <row r="2" spans="1:40" s="83" customFormat="1" ht="15" customHeight="1">
      <c r="A2" s="78"/>
      <c r="B2" s="79"/>
      <c r="C2" s="80" t="s">
        <v>158</v>
      </c>
      <c r="D2" s="81">
        <v>2014</v>
      </c>
      <c r="E2" s="82">
        <v>2015</v>
      </c>
      <c r="F2" s="81">
        <v>2015</v>
      </c>
      <c r="G2" s="82">
        <v>2016</v>
      </c>
    </row>
    <row r="3" spans="1:40" ht="15" customHeight="1">
      <c r="A3" s="678" t="s">
        <v>159</v>
      </c>
      <c r="B3" s="679"/>
      <c r="C3" s="679"/>
      <c r="D3" s="85" t="s">
        <v>389</v>
      </c>
      <c r="E3" s="85" t="s">
        <v>389</v>
      </c>
      <c r="F3" s="85"/>
      <c r="G3" s="85"/>
    </row>
    <row r="4" spans="1:40" s="91" customFormat="1" ht="12.75" customHeight="1">
      <c r="A4" s="86">
        <v>30</v>
      </c>
      <c r="B4" s="87"/>
      <c r="C4" s="88" t="s">
        <v>14</v>
      </c>
      <c r="D4" s="89">
        <v>74803.899999999994</v>
      </c>
      <c r="E4" s="89">
        <v>75701.7</v>
      </c>
      <c r="F4" s="90">
        <v>75750.5</v>
      </c>
      <c r="G4" s="90">
        <v>74019.7</v>
      </c>
    </row>
    <row r="5" spans="1:40" s="91" customFormat="1" ht="12.75" customHeight="1">
      <c r="A5" s="92">
        <v>31</v>
      </c>
      <c r="B5" s="93"/>
      <c r="C5" s="94" t="s">
        <v>160</v>
      </c>
      <c r="D5" s="95">
        <v>45063.9</v>
      </c>
      <c r="E5" s="130">
        <v>47107.5</v>
      </c>
      <c r="F5" s="96">
        <v>47208</v>
      </c>
      <c r="G5" s="96">
        <v>43908.2</v>
      </c>
    </row>
    <row r="6" spans="1:40" s="91" customFormat="1" ht="12.75" customHeight="1">
      <c r="A6" s="97" t="s">
        <v>17</v>
      </c>
      <c r="B6" s="98"/>
      <c r="C6" s="99" t="s">
        <v>161</v>
      </c>
      <c r="D6" s="100">
        <v>15021.7</v>
      </c>
      <c r="E6" s="130">
        <v>14110.3</v>
      </c>
      <c r="F6" s="96">
        <v>16760.7</v>
      </c>
      <c r="G6" s="96">
        <v>13491.7</v>
      </c>
    </row>
    <row r="7" spans="1:40" s="91" customFormat="1" ht="12.75" customHeight="1">
      <c r="A7" s="97" t="s">
        <v>162</v>
      </c>
      <c r="B7" s="98"/>
      <c r="C7" s="99" t="s">
        <v>163</v>
      </c>
      <c r="D7" s="100">
        <v>564.1</v>
      </c>
      <c r="E7" s="130">
        <v>0</v>
      </c>
      <c r="F7" s="96">
        <v>0</v>
      </c>
      <c r="G7" s="96">
        <v>0</v>
      </c>
    </row>
    <row r="8" spans="1:40" s="91" customFormat="1" ht="12.75" customHeight="1">
      <c r="A8" s="101">
        <v>330</v>
      </c>
      <c r="B8" s="93"/>
      <c r="C8" s="94" t="s">
        <v>164</v>
      </c>
      <c r="D8" s="95">
        <v>12965</v>
      </c>
      <c r="E8" s="130">
        <v>14684.6</v>
      </c>
      <c r="F8" s="96">
        <v>13320.5</v>
      </c>
      <c r="G8" s="96">
        <v>14300.5</v>
      </c>
    </row>
    <row r="9" spans="1:40" s="91" customFormat="1" ht="12.75" customHeight="1">
      <c r="A9" s="101">
        <v>332</v>
      </c>
      <c r="B9" s="93"/>
      <c r="C9" s="94" t="s">
        <v>165</v>
      </c>
      <c r="D9" s="95">
        <v>845.9</v>
      </c>
      <c r="E9" s="130">
        <v>0</v>
      </c>
      <c r="F9" s="96">
        <v>1018.3</v>
      </c>
      <c r="G9" s="96">
        <v>1332.3</v>
      </c>
    </row>
    <row r="10" spans="1:40" s="91" customFormat="1" ht="12.75" customHeight="1">
      <c r="A10" s="101">
        <v>339</v>
      </c>
      <c r="B10" s="93"/>
      <c r="C10" s="94" t="s">
        <v>166</v>
      </c>
      <c r="D10" s="95">
        <v>0</v>
      </c>
      <c r="E10" s="130">
        <v>0</v>
      </c>
      <c r="F10" s="96">
        <v>0</v>
      </c>
      <c r="G10" s="96">
        <v>0</v>
      </c>
    </row>
    <row r="11" spans="1:40" s="91" customFormat="1" ht="12.75" customHeight="1">
      <c r="A11" s="92">
        <v>350</v>
      </c>
      <c r="B11" s="93"/>
      <c r="C11" s="94" t="s">
        <v>167</v>
      </c>
      <c r="D11" s="95">
        <v>608.4</v>
      </c>
      <c r="E11" s="130">
        <v>430.5</v>
      </c>
      <c r="F11" s="96">
        <v>526.6</v>
      </c>
      <c r="G11" s="96">
        <v>452.6</v>
      </c>
    </row>
    <row r="12" spans="1:40" s="106" customFormat="1" ht="14">
      <c r="A12" s="102">
        <v>351</v>
      </c>
      <c r="B12" s="103"/>
      <c r="C12" s="104" t="s">
        <v>168</v>
      </c>
      <c r="D12" s="105">
        <v>0</v>
      </c>
      <c r="E12" s="130">
        <v>0</v>
      </c>
      <c r="F12" s="96">
        <v>0</v>
      </c>
      <c r="G12" s="96">
        <v>0</v>
      </c>
    </row>
    <row r="13" spans="1:40" s="91" customFormat="1" ht="12.75" customHeight="1">
      <c r="A13" s="92">
        <v>36</v>
      </c>
      <c r="B13" s="93"/>
      <c r="C13" s="94" t="s">
        <v>169</v>
      </c>
      <c r="D13" s="100">
        <v>245726.3</v>
      </c>
      <c r="E13" s="130">
        <v>237862.2</v>
      </c>
      <c r="F13" s="96">
        <v>241452.2</v>
      </c>
      <c r="G13" s="96">
        <v>243228.79999999999</v>
      </c>
    </row>
    <row r="14" spans="1:40" s="91" customFormat="1" ht="12.75" customHeight="1">
      <c r="A14" s="107" t="s">
        <v>170</v>
      </c>
      <c r="B14" s="93"/>
      <c r="C14" s="108" t="s">
        <v>171</v>
      </c>
      <c r="D14" s="100">
        <v>20881.5</v>
      </c>
      <c r="E14" s="130">
        <v>20291.099999999999</v>
      </c>
      <c r="F14" s="96">
        <v>17932.599999999999</v>
      </c>
      <c r="G14" s="96">
        <v>12068.1</v>
      </c>
    </row>
    <row r="15" spans="1:40" s="91" customFormat="1" ht="12.75" customHeight="1">
      <c r="A15" s="107" t="s">
        <v>172</v>
      </c>
      <c r="B15" s="93"/>
      <c r="C15" s="108" t="s">
        <v>173</v>
      </c>
      <c r="D15" s="100">
        <v>48083.4</v>
      </c>
      <c r="E15" s="130">
        <v>45653.4</v>
      </c>
      <c r="F15" s="96">
        <v>49447.199999999997</v>
      </c>
      <c r="G15" s="96">
        <v>56428.7</v>
      </c>
    </row>
    <row r="16" spans="1:40" s="111" customFormat="1" ht="26.25" customHeight="1">
      <c r="A16" s="107" t="s">
        <v>174</v>
      </c>
      <c r="B16" s="109"/>
      <c r="C16" s="108" t="s">
        <v>175</v>
      </c>
      <c r="D16" s="110">
        <v>1510.4</v>
      </c>
      <c r="E16" s="130">
        <v>2253.1</v>
      </c>
      <c r="F16" s="96">
        <v>1746.8</v>
      </c>
      <c r="G16" s="96">
        <v>2021.9</v>
      </c>
    </row>
    <row r="17" spans="1:7" s="113" customFormat="1">
      <c r="A17" s="92">
        <v>37</v>
      </c>
      <c r="B17" s="93"/>
      <c r="C17" s="94" t="s">
        <v>176</v>
      </c>
      <c r="D17" s="112">
        <v>37054.800000000003</v>
      </c>
      <c r="E17" s="130">
        <v>37358</v>
      </c>
      <c r="F17" s="96">
        <v>36513.599999999999</v>
      </c>
      <c r="G17" s="96">
        <v>36828</v>
      </c>
    </row>
    <row r="18" spans="1:7" s="113" customFormat="1">
      <c r="A18" s="114" t="s">
        <v>177</v>
      </c>
      <c r="B18" s="98"/>
      <c r="C18" s="99" t="s">
        <v>178</v>
      </c>
      <c r="D18" s="115">
        <v>0</v>
      </c>
      <c r="E18" s="130">
        <v>0</v>
      </c>
      <c r="F18" s="96">
        <v>0</v>
      </c>
      <c r="G18" s="96">
        <v>0</v>
      </c>
    </row>
    <row r="19" spans="1:7" s="113" customFormat="1">
      <c r="A19" s="114" t="s">
        <v>179</v>
      </c>
      <c r="B19" s="98"/>
      <c r="C19" s="99" t="s">
        <v>180</v>
      </c>
      <c r="D19" s="115">
        <v>194.5</v>
      </c>
      <c r="E19" s="130">
        <v>290</v>
      </c>
      <c r="F19" s="96">
        <v>192</v>
      </c>
      <c r="G19" s="96">
        <v>192</v>
      </c>
    </row>
    <row r="20" spans="1:7" s="91" customFormat="1" ht="12.75" customHeight="1">
      <c r="A20" s="116">
        <v>39</v>
      </c>
      <c r="B20" s="117"/>
      <c r="C20" s="118" t="s">
        <v>181</v>
      </c>
      <c r="D20" s="119">
        <v>33734.199999999997</v>
      </c>
      <c r="E20" s="177">
        <v>34240.199999999997</v>
      </c>
      <c r="F20" s="120">
        <v>33881</v>
      </c>
      <c r="G20" s="120">
        <v>35065.5</v>
      </c>
    </row>
    <row r="21" spans="1:7" ht="12.75" customHeight="1">
      <c r="A21" s="121"/>
      <c r="B21" s="121"/>
      <c r="C21" s="122" t="s">
        <v>182</v>
      </c>
      <c r="D21" s="123">
        <f t="shared" ref="D21:G21" si="0">D4+D5+SUM(D8:D13)+D17</f>
        <v>417068.19999999995</v>
      </c>
      <c r="E21" s="123">
        <f t="shared" si="0"/>
        <v>413144.5</v>
      </c>
      <c r="F21" s="123">
        <f t="shared" si="0"/>
        <v>415789.69999999995</v>
      </c>
      <c r="G21" s="123">
        <f t="shared" si="0"/>
        <v>414070.1</v>
      </c>
    </row>
    <row r="22" spans="1:7" s="91" customFormat="1" ht="12.75" customHeight="1">
      <c r="A22" s="101" t="s">
        <v>183</v>
      </c>
      <c r="B22" s="93"/>
      <c r="C22" s="94" t="s">
        <v>184</v>
      </c>
      <c r="D22" s="95">
        <v>139008.70000000001</v>
      </c>
      <c r="E22" s="95">
        <v>148492</v>
      </c>
      <c r="F22" s="95">
        <v>147372.1</v>
      </c>
      <c r="G22" s="95">
        <v>149800</v>
      </c>
    </row>
    <row r="23" spans="1:7" s="91" customFormat="1" ht="12.75" customHeight="1">
      <c r="A23" s="101" t="s">
        <v>185</v>
      </c>
      <c r="B23" s="93"/>
      <c r="C23" s="94" t="s">
        <v>186</v>
      </c>
      <c r="D23" s="95">
        <v>27427.7</v>
      </c>
      <c r="E23" s="95">
        <v>27740</v>
      </c>
      <c r="F23" s="95">
        <v>28211.5</v>
      </c>
      <c r="G23" s="95">
        <v>27894</v>
      </c>
    </row>
    <row r="24" spans="1:7" s="125" customFormat="1" ht="12.75" customHeight="1">
      <c r="A24" s="92">
        <v>41</v>
      </c>
      <c r="B24" s="93"/>
      <c r="C24" s="94" t="s">
        <v>187</v>
      </c>
      <c r="D24" s="95">
        <v>3192.7</v>
      </c>
      <c r="E24" s="95">
        <v>3213.8</v>
      </c>
      <c r="F24" s="95">
        <v>3386.4</v>
      </c>
      <c r="G24" s="95">
        <v>3365.3</v>
      </c>
    </row>
    <row r="25" spans="1:7" s="91" customFormat="1" ht="12.75" customHeight="1">
      <c r="A25" s="126">
        <v>42</v>
      </c>
      <c r="B25" s="127"/>
      <c r="C25" s="94" t="s">
        <v>188</v>
      </c>
      <c r="D25" s="95">
        <v>21987.200000000001</v>
      </c>
      <c r="E25" s="95">
        <v>21256.3</v>
      </c>
      <c r="F25" s="95">
        <v>21576.5</v>
      </c>
      <c r="G25" s="95">
        <v>16127.6</v>
      </c>
    </row>
    <row r="26" spans="1:7" s="129" customFormat="1" ht="12.75" customHeight="1">
      <c r="A26" s="102">
        <v>430</v>
      </c>
      <c r="B26" s="93"/>
      <c r="C26" s="94" t="s">
        <v>189</v>
      </c>
      <c r="D26" s="112">
        <v>2373.6</v>
      </c>
      <c r="E26" s="112">
        <v>2740</v>
      </c>
      <c r="F26" s="112">
        <v>2382.6</v>
      </c>
      <c r="G26" s="112">
        <v>2668</v>
      </c>
    </row>
    <row r="27" spans="1:7" s="129" customFormat="1" ht="12.75" customHeight="1">
      <c r="A27" s="102">
        <v>431</v>
      </c>
      <c r="B27" s="93"/>
      <c r="C27" s="94" t="s">
        <v>190</v>
      </c>
      <c r="D27" s="112">
        <v>1922.8</v>
      </c>
      <c r="E27" s="112">
        <v>1606</v>
      </c>
      <c r="F27" s="112">
        <v>1078.7</v>
      </c>
      <c r="G27" s="112">
        <v>1585</v>
      </c>
    </row>
    <row r="28" spans="1:7" s="129" customFormat="1" ht="12.75" customHeight="1">
      <c r="A28" s="102">
        <v>432</v>
      </c>
      <c r="B28" s="93"/>
      <c r="C28" s="94" t="s">
        <v>191</v>
      </c>
      <c r="D28" s="112">
        <v>0</v>
      </c>
      <c r="E28" s="112">
        <v>0</v>
      </c>
      <c r="F28" s="112">
        <v>0</v>
      </c>
      <c r="G28" s="112">
        <v>0</v>
      </c>
    </row>
    <row r="29" spans="1:7" s="129" customFormat="1" ht="12.75" customHeight="1">
      <c r="A29" s="102">
        <v>439</v>
      </c>
      <c r="B29" s="93"/>
      <c r="C29" s="94" t="s">
        <v>192</v>
      </c>
      <c r="D29" s="112">
        <v>716.8</v>
      </c>
      <c r="E29" s="112">
        <v>953</v>
      </c>
      <c r="F29" s="112">
        <v>1078.9000000000001</v>
      </c>
      <c r="G29" s="112">
        <v>1264.8</v>
      </c>
    </row>
    <row r="30" spans="1:7" s="91" customFormat="1" ht="14">
      <c r="A30" s="102">
        <v>450</v>
      </c>
      <c r="B30" s="103"/>
      <c r="C30" s="104" t="s">
        <v>193</v>
      </c>
      <c r="D30" s="130">
        <v>288.60000000000002</v>
      </c>
      <c r="E30" s="130">
        <v>407.2</v>
      </c>
      <c r="F30" s="130">
        <v>27</v>
      </c>
      <c r="G30" s="130">
        <v>404.2</v>
      </c>
    </row>
    <row r="31" spans="1:7" s="106" customFormat="1" ht="14">
      <c r="A31" s="102">
        <v>451</v>
      </c>
      <c r="B31" s="103"/>
      <c r="C31" s="104" t="s">
        <v>194</v>
      </c>
      <c r="D31" s="131">
        <v>0</v>
      </c>
      <c r="E31" s="131">
        <v>0</v>
      </c>
      <c r="F31" s="131">
        <v>0</v>
      </c>
      <c r="G31" s="131">
        <v>0</v>
      </c>
    </row>
    <row r="32" spans="1:7" s="91" customFormat="1" ht="12.75" customHeight="1">
      <c r="A32" s="92">
        <v>46</v>
      </c>
      <c r="B32" s="93"/>
      <c r="C32" s="94" t="s">
        <v>195</v>
      </c>
      <c r="D32" s="95">
        <v>149675.70000000001</v>
      </c>
      <c r="E32" s="95">
        <v>153278.79999999999</v>
      </c>
      <c r="F32" s="95">
        <v>157316.6</v>
      </c>
      <c r="G32" s="95">
        <v>154771.4</v>
      </c>
    </row>
    <row r="33" spans="1:7" s="106" customFormat="1" ht="12.75" customHeight="1">
      <c r="A33" s="114" t="s">
        <v>196</v>
      </c>
      <c r="B33" s="98"/>
      <c r="C33" s="99" t="s">
        <v>197</v>
      </c>
      <c r="D33" s="100">
        <v>0</v>
      </c>
      <c r="E33" s="100">
        <v>0</v>
      </c>
      <c r="F33" s="100">
        <v>0</v>
      </c>
      <c r="G33" s="100">
        <v>0</v>
      </c>
    </row>
    <row r="34" spans="1:7" s="91" customFormat="1" ht="15" customHeight="1">
      <c r="A34" s="92">
        <v>47</v>
      </c>
      <c r="B34" s="93"/>
      <c r="C34" s="94" t="s">
        <v>176</v>
      </c>
      <c r="D34" s="95">
        <v>37054.800000000003</v>
      </c>
      <c r="E34" s="95">
        <v>37358</v>
      </c>
      <c r="F34" s="95">
        <v>36513.599999999999</v>
      </c>
      <c r="G34" s="95">
        <v>36828</v>
      </c>
    </row>
    <row r="35" spans="1:7" s="91" customFormat="1" ht="15" customHeight="1">
      <c r="A35" s="116">
        <v>49</v>
      </c>
      <c r="B35" s="117"/>
      <c r="C35" s="118" t="s">
        <v>198</v>
      </c>
      <c r="D35" s="119">
        <v>33734.199999999997</v>
      </c>
      <c r="E35" s="119">
        <v>34240.199999999997</v>
      </c>
      <c r="F35" s="119">
        <v>33181.4</v>
      </c>
      <c r="G35" s="119">
        <v>35065.5</v>
      </c>
    </row>
    <row r="36" spans="1:7" ht="13.5" customHeight="1">
      <c r="A36" s="121"/>
      <c r="B36" s="134"/>
      <c r="C36" s="122" t="s">
        <v>199</v>
      </c>
      <c r="D36" s="123">
        <f t="shared" ref="D36:G36" si="1">D22+D23+D24+D25+D26+D27+D28+D29+D30+D31+D32+D34</f>
        <v>383648.60000000003</v>
      </c>
      <c r="E36" s="123">
        <f t="shared" si="1"/>
        <v>397045.1</v>
      </c>
      <c r="F36" s="123">
        <f t="shared" si="1"/>
        <v>398943.9</v>
      </c>
      <c r="G36" s="123">
        <f t="shared" si="1"/>
        <v>394708.3</v>
      </c>
    </row>
    <row r="37" spans="1:7" s="135" customFormat="1" ht="15" customHeight="1">
      <c r="A37" s="121"/>
      <c r="B37" s="134"/>
      <c r="C37" s="122" t="s">
        <v>200</v>
      </c>
      <c r="D37" s="123">
        <f t="shared" ref="D37:G37" si="2">D36-D21</f>
        <v>-33419.599999999919</v>
      </c>
      <c r="E37" s="123">
        <f t="shared" si="2"/>
        <v>-16099.400000000023</v>
      </c>
      <c r="F37" s="123">
        <f t="shared" si="2"/>
        <v>-16845.79999999993</v>
      </c>
      <c r="G37" s="123">
        <f t="shared" si="2"/>
        <v>-19361.799999999988</v>
      </c>
    </row>
    <row r="38" spans="1:7" s="106" customFormat="1" ht="15" customHeight="1">
      <c r="A38" s="101">
        <v>340</v>
      </c>
      <c r="B38" s="93"/>
      <c r="C38" s="94" t="s">
        <v>201</v>
      </c>
      <c r="D38" s="95">
        <v>1146.5</v>
      </c>
      <c r="E38" s="95">
        <v>1260</v>
      </c>
      <c r="F38" s="95">
        <v>1067.5999999999999</v>
      </c>
      <c r="G38" s="95">
        <v>1318.4</v>
      </c>
    </row>
    <row r="39" spans="1:7" s="106" customFormat="1" ht="15" customHeight="1">
      <c r="A39" s="101">
        <v>341</v>
      </c>
      <c r="B39" s="93"/>
      <c r="C39" s="94" t="s">
        <v>202</v>
      </c>
      <c r="D39" s="95">
        <v>0</v>
      </c>
      <c r="E39" s="95">
        <v>0</v>
      </c>
      <c r="F39" s="95">
        <v>0</v>
      </c>
      <c r="G39" s="95">
        <v>0</v>
      </c>
    </row>
    <row r="40" spans="1:7" s="106" customFormat="1" ht="15" customHeight="1">
      <c r="A40" s="101">
        <v>342</v>
      </c>
      <c r="B40" s="93"/>
      <c r="C40" s="94" t="s">
        <v>203</v>
      </c>
      <c r="D40" s="95">
        <v>478.7</v>
      </c>
      <c r="E40" s="95">
        <v>34.700000000000003</v>
      </c>
      <c r="F40" s="95">
        <v>13.8</v>
      </c>
      <c r="G40" s="95">
        <v>25</v>
      </c>
    </row>
    <row r="41" spans="1:7" s="106" customFormat="1" ht="15" customHeight="1">
      <c r="A41" s="101">
        <v>343</v>
      </c>
      <c r="B41" s="93"/>
      <c r="C41" s="94" t="s">
        <v>204</v>
      </c>
      <c r="D41" s="95">
        <v>779.8</v>
      </c>
      <c r="E41" s="95">
        <v>1047.4000000000001</v>
      </c>
      <c r="F41" s="95">
        <v>1551.5</v>
      </c>
      <c r="G41" s="95">
        <v>936.8</v>
      </c>
    </row>
    <row r="42" spans="1:7" s="106" customFormat="1" ht="15" customHeight="1">
      <c r="A42" s="101">
        <v>344</v>
      </c>
      <c r="B42" s="93"/>
      <c r="C42" s="94" t="s">
        <v>205</v>
      </c>
      <c r="D42" s="95">
        <v>286.39999999999998</v>
      </c>
      <c r="E42" s="95">
        <v>0</v>
      </c>
      <c r="F42" s="95">
        <v>106.7</v>
      </c>
      <c r="G42" s="95">
        <v>0</v>
      </c>
    </row>
    <row r="43" spans="1:7" s="106" customFormat="1" ht="15" customHeight="1">
      <c r="A43" s="101">
        <v>349</v>
      </c>
      <c r="B43" s="93"/>
      <c r="C43" s="94" t="s">
        <v>206</v>
      </c>
      <c r="D43" s="95">
        <v>0</v>
      </c>
      <c r="E43" s="95">
        <v>1</v>
      </c>
      <c r="F43" s="95">
        <v>2.2000000000000002</v>
      </c>
      <c r="G43" s="95">
        <v>1</v>
      </c>
    </row>
    <row r="44" spans="1:7" s="91" customFormat="1" ht="15" customHeight="1">
      <c r="A44" s="92">
        <v>440</v>
      </c>
      <c r="B44" s="93"/>
      <c r="C44" s="94" t="s">
        <v>207</v>
      </c>
      <c r="D44" s="95">
        <v>942.2</v>
      </c>
      <c r="E44" s="95">
        <v>884.5</v>
      </c>
      <c r="F44" s="95">
        <v>797.5</v>
      </c>
      <c r="G44" s="95">
        <v>793.7</v>
      </c>
    </row>
    <row r="45" spans="1:7" s="91" customFormat="1" ht="15" customHeight="1">
      <c r="A45" s="92">
        <v>441</v>
      </c>
      <c r="B45" s="93"/>
      <c r="C45" s="94" t="s">
        <v>208</v>
      </c>
      <c r="D45" s="95">
        <v>6894.9</v>
      </c>
      <c r="E45" s="95">
        <v>1</v>
      </c>
      <c r="F45" s="95">
        <v>105.5</v>
      </c>
      <c r="G45" s="95">
        <v>2001</v>
      </c>
    </row>
    <row r="46" spans="1:7" s="91" customFormat="1" ht="15" customHeight="1">
      <c r="A46" s="92">
        <v>442</v>
      </c>
      <c r="B46" s="93"/>
      <c r="C46" s="94" t="s">
        <v>209</v>
      </c>
      <c r="D46" s="95">
        <v>548.46</v>
      </c>
      <c r="E46" s="95">
        <v>0</v>
      </c>
      <c r="F46" s="95">
        <v>195.2</v>
      </c>
      <c r="G46" s="95">
        <v>290</v>
      </c>
    </row>
    <row r="47" spans="1:7" s="91" customFormat="1" ht="15" customHeight="1">
      <c r="A47" s="92">
        <v>443</v>
      </c>
      <c r="B47" s="93"/>
      <c r="C47" s="94" t="s">
        <v>210</v>
      </c>
      <c r="D47" s="95">
        <v>1824.6</v>
      </c>
      <c r="E47" s="95">
        <v>1858.8</v>
      </c>
      <c r="F47" s="95">
        <v>1707.2</v>
      </c>
      <c r="G47" s="95">
        <v>1664.2</v>
      </c>
    </row>
    <row r="48" spans="1:7" s="91" customFormat="1" ht="15" customHeight="1">
      <c r="A48" s="92">
        <v>444</v>
      </c>
      <c r="B48" s="93"/>
      <c r="C48" s="94" t="s">
        <v>205</v>
      </c>
      <c r="D48" s="95">
        <v>314.5</v>
      </c>
      <c r="E48" s="95">
        <v>2000</v>
      </c>
      <c r="F48" s="95">
        <v>0</v>
      </c>
      <c r="G48" s="95">
        <v>0</v>
      </c>
    </row>
    <row r="49" spans="1:7" s="91" customFormat="1" ht="15" customHeight="1">
      <c r="A49" s="92">
        <v>445</v>
      </c>
      <c r="B49" s="93"/>
      <c r="C49" s="94" t="s">
        <v>211</v>
      </c>
      <c r="D49" s="95">
        <v>0.1</v>
      </c>
      <c r="E49" s="95">
        <v>0.1</v>
      </c>
      <c r="F49" s="95">
        <v>0</v>
      </c>
      <c r="G49" s="95">
        <v>0.1</v>
      </c>
    </row>
    <row r="50" spans="1:7" s="91" customFormat="1" ht="15" customHeight="1">
      <c r="A50" s="92">
        <v>446</v>
      </c>
      <c r="B50" s="93"/>
      <c r="C50" s="94" t="s">
        <v>212</v>
      </c>
      <c r="D50" s="95">
        <v>2404.3000000000002</v>
      </c>
      <c r="E50" s="95">
        <v>6418</v>
      </c>
      <c r="F50" s="95">
        <v>10669.3</v>
      </c>
      <c r="G50" s="95">
        <v>6234</v>
      </c>
    </row>
    <row r="51" spans="1:7" s="91" customFormat="1" ht="15" customHeight="1">
      <c r="A51" s="92">
        <v>447</v>
      </c>
      <c r="B51" s="93"/>
      <c r="C51" s="94" t="s">
        <v>213</v>
      </c>
      <c r="D51" s="95">
        <v>4928.8</v>
      </c>
      <c r="E51" s="95">
        <v>4847</v>
      </c>
      <c r="F51" s="95">
        <v>3449.6</v>
      </c>
      <c r="G51" s="95">
        <v>6267.3</v>
      </c>
    </row>
    <row r="52" spans="1:7" s="91" customFormat="1" ht="15" customHeight="1">
      <c r="A52" s="92">
        <v>448</v>
      </c>
      <c r="B52" s="93"/>
      <c r="C52" s="94" t="s">
        <v>214</v>
      </c>
      <c r="D52" s="95">
        <v>174.6</v>
      </c>
      <c r="E52" s="95">
        <v>274.5</v>
      </c>
      <c r="F52" s="95">
        <v>172</v>
      </c>
      <c r="G52" s="95">
        <v>204.3</v>
      </c>
    </row>
    <row r="53" spans="1:7" s="91" customFormat="1" ht="15" customHeight="1">
      <c r="A53" s="92">
        <v>449</v>
      </c>
      <c r="B53" s="93"/>
      <c r="C53" s="94" t="s">
        <v>215</v>
      </c>
      <c r="D53" s="95">
        <v>90</v>
      </c>
      <c r="E53" s="95">
        <v>0</v>
      </c>
      <c r="F53" s="95">
        <v>0</v>
      </c>
      <c r="G53" s="95">
        <v>0</v>
      </c>
    </row>
    <row r="54" spans="1:7" s="106" customFormat="1" ht="13.5" customHeight="1">
      <c r="A54" s="136" t="s">
        <v>216</v>
      </c>
      <c r="B54" s="137"/>
      <c r="C54" s="137" t="s">
        <v>217</v>
      </c>
      <c r="D54" s="138">
        <v>90</v>
      </c>
      <c r="E54" s="138">
        <v>0</v>
      </c>
      <c r="F54" s="138">
        <v>0</v>
      </c>
      <c r="G54" s="138">
        <v>0</v>
      </c>
    </row>
    <row r="55" spans="1:7" ht="15" customHeight="1">
      <c r="A55" s="134"/>
      <c r="B55" s="134"/>
      <c r="C55" s="122" t="s">
        <v>218</v>
      </c>
      <c r="D55" s="123">
        <f t="shared" ref="D55:G55" si="3">SUM(D44:D53)-SUM(D38:D43)</f>
        <v>15431.06</v>
      </c>
      <c r="E55" s="123">
        <f t="shared" si="3"/>
        <v>13940.800000000001</v>
      </c>
      <c r="F55" s="123">
        <f t="shared" si="3"/>
        <v>14354.5</v>
      </c>
      <c r="G55" s="123">
        <f t="shared" si="3"/>
        <v>15173.399999999998</v>
      </c>
    </row>
    <row r="56" spans="1:7" ht="14.25" customHeight="1">
      <c r="A56" s="134"/>
      <c r="B56" s="134"/>
      <c r="C56" s="122" t="s">
        <v>219</v>
      </c>
      <c r="D56" s="123">
        <f t="shared" ref="D56:G56" si="4">D55+D37</f>
        <v>-17988.539999999921</v>
      </c>
      <c r="E56" s="123">
        <f t="shared" si="4"/>
        <v>-2158.6000000000222</v>
      </c>
      <c r="F56" s="123">
        <f t="shared" si="4"/>
        <v>-2491.2999999999302</v>
      </c>
      <c r="G56" s="123">
        <f t="shared" si="4"/>
        <v>-4188.3999999999905</v>
      </c>
    </row>
    <row r="57" spans="1:7" s="91" customFormat="1" ht="15.75" customHeight="1">
      <c r="A57" s="140">
        <v>380</v>
      </c>
      <c r="B57" s="141"/>
      <c r="C57" s="142" t="s">
        <v>220</v>
      </c>
      <c r="D57" s="89">
        <v>1322.4</v>
      </c>
      <c r="E57" s="89">
        <v>0</v>
      </c>
      <c r="F57" s="89">
        <v>0</v>
      </c>
      <c r="G57" s="89">
        <v>0</v>
      </c>
    </row>
    <row r="58" spans="1:7" s="91" customFormat="1" ht="15.75" customHeight="1">
      <c r="A58" s="140">
        <v>381</v>
      </c>
      <c r="B58" s="141"/>
      <c r="C58" s="142" t="s">
        <v>221</v>
      </c>
      <c r="D58" s="89">
        <v>0</v>
      </c>
      <c r="E58" s="89">
        <v>0</v>
      </c>
      <c r="F58" s="89">
        <v>0</v>
      </c>
      <c r="G58" s="89">
        <v>0</v>
      </c>
    </row>
    <row r="59" spans="1:7" s="106" customFormat="1" ht="14">
      <c r="A59" s="102">
        <v>383</v>
      </c>
      <c r="B59" s="103"/>
      <c r="C59" s="104" t="s">
        <v>222</v>
      </c>
      <c r="D59" s="143">
        <v>0</v>
      </c>
      <c r="E59" s="143">
        <v>0</v>
      </c>
      <c r="F59" s="143">
        <v>0</v>
      </c>
      <c r="G59" s="143">
        <v>0</v>
      </c>
    </row>
    <row r="60" spans="1:7" s="106" customFormat="1" ht="14">
      <c r="A60" s="102">
        <v>3840</v>
      </c>
      <c r="B60" s="103"/>
      <c r="C60" s="104" t="s">
        <v>223</v>
      </c>
      <c r="D60" s="145">
        <v>0</v>
      </c>
      <c r="E60" s="145">
        <v>0</v>
      </c>
      <c r="F60" s="145">
        <v>0</v>
      </c>
      <c r="G60" s="145">
        <v>0</v>
      </c>
    </row>
    <row r="61" spans="1:7" s="106" customFormat="1" ht="14">
      <c r="A61" s="102">
        <v>3841</v>
      </c>
      <c r="B61" s="103"/>
      <c r="C61" s="104" t="s">
        <v>224</v>
      </c>
      <c r="D61" s="145">
        <v>0</v>
      </c>
      <c r="E61" s="145">
        <v>0</v>
      </c>
      <c r="F61" s="145">
        <v>0</v>
      </c>
      <c r="G61" s="145">
        <v>0</v>
      </c>
    </row>
    <row r="62" spans="1:7" s="106" customFormat="1" ht="14">
      <c r="A62" s="147">
        <v>386</v>
      </c>
      <c r="B62" s="148"/>
      <c r="C62" s="149" t="s">
        <v>225</v>
      </c>
      <c r="D62" s="145">
        <v>0</v>
      </c>
      <c r="E62" s="145">
        <v>0</v>
      </c>
      <c r="F62" s="145">
        <v>0</v>
      </c>
      <c r="G62" s="145"/>
    </row>
    <row r="63" spans="1:7" s="106" customFormat="1" ht="28">
      <c r="A63" s="102">
        <v>387</v>
      </c>
      <c r="B63" s="103"/>
      <c r="C63" s="104" t="s">
        <v>226</v>
      </c>
      <c r="D63" s="145">
        <v>0</v>
      </c>
      <c r="E63" s="145">
        <v>0</v>
      </c>
      <c r="F63" s="145">
        <v>0</v>
      </c>
      <c r="G63" s="145">
        <v>0</v>
      </c>
    </row>
    <row r="64" spans="1:7" s="106" customFormat="1">
      <c r="A64" s="101">
        <v>389</v>
      </c>
      <c r="B64" s="150"/>
      <c r="C64" s="94" t="s">
        <v>42</v>
      </c>
      <c r="D64" s="95">
        <v>110.4</v>
      </c>
      <c r="E64" s="95">
        <v>0</v>
      </c>
      <c r="F64" s="95">
        <v>7.2</v>
      </c>
      <c r="G64" s="95">
        <v>0</v>
      </c>
    </row>
    <row r="65" spans="1:7" s="91" customFormat="1">
      <c r="A65" s="101" t="s">
        <v>227</v>
      </c>
      <c r="B65" s="93"/>
      <c r="C65" s="94" t="s">
        <v>228</v>
      </c>
      <c r="D65" s="95">
        <v>0</v>
      </c>
      <c r="E65" s="95">
        <v>0</v>
      </c>
      <c r="F65" s="95">
        <v>0</v>
      </c>
      <c r="G65" s="95">
        <v>0</v>
      </c>
    </row>
    <row r="66" spans="1:7" s="153" customFormat="1" ht="14">
      <c r="A66" s="151" t="s">
        <v>229</v>
      </c>
      <c r="B66" s="152"/>
      <c r="C66" s="104" t="s">
        <v>230</v>
      </c>
      <c r="D66" s="143">
        <v>0</v>
      </c>
      <c r="E66" s="143">
        <v>0</v>
      </c>
      <c r="F66" s="143">
        <v>0</v>
      </c>
      <c r="G66" s="143">
        <v>0</v>
      </c>
    </row>
    <row r="67" spans="1:7" s="91" customFormat="1">
      <c r="A67" s="154">
        <v>481</v>
      </c>
      <c r="B67" s="93"/>
      <c r="C67" s="94" t="s">
        <v>231</v>
      </c>
      <c r="D67" s="95">
        <v>169.2</v>
      </c>
      <c r="E67" s="95">
        <v>0</v>
      </c>
      <c r="F67" s="95">
        <v>0</v>
      </c>
      <c r="G67" s="95">
        <v>0</v>
      </c>
    </row>
    <row r="68" spans="1:7" s="91" customFormat="1">
      <c r="A68" s="154">
        <v>482</v>
      </c>
      <c r="B68" s="93"/>
      <c r="C68" s="94" t="s">
        <v>232</v>
      </c>
      <c r="D68" s="95">
        <v>0</v>
      </c>
      <c r="E68" s="95">
        <v>0</v>
      </c>
      <c r="F68" s="95">
        <v>0</v>
      </c>
      <c r="G68" s="95">
        <v>0</v>
      </c>
    </row>
    <row r="69" spans="1:7" s="91" customFormat="1">
      <c r="A69" s="154">
        <v>483</v>
      </c>
      <c r="B69" s="93"/>
      <c r="C69" s="94" t="s">
        <v>233</v>
      </c>
      <c r="D69" s="95">
        <v>0</v>
      </c>
      <c r="E69" s="95">
        <v>0</v>
      </c>
      <c r="F69" s="95">
        <v>0</v>
      </c>
      <c r="G69" s="95">
        <v>0</v>
      </c>
    </row>
    <row r="70" spans="1:7" s="91" customFormat="1">
      <c r="A70" s="154">
        <v>484</v>
      </c>
      <c r="B70" s="93"/>
      <c r="C70" s="94" t="s">
        <v>234</v>
      </c>
      <c r="D70" s="95">
        <v>0</v>
      </c>
      <c r="E70" s="95">
        <v>0</v>
      </c>
      <c r="F70" s="95">
        <v>0</v>
      </c>
      <c r="G70" s="95">
        <v>0</v>
      </c>
    </row>
    <row r="71" spans="1:7" s="91" customFormat="1">
      <c r="A71" s="154">
        <v>485</v>
      </c>
      <c r="B71" s="93"/>
      <c r="C71" s="94" t="s">
        <v>235</v>
      </c>
      <c r="D71" s="95">
        <v>0</v>
      </c>
      <c r="E71" s="95">
        <v>0</v>
      </c>
      <c r="F71" s="95">
        <v>0</v>
      </c>
      <c r="G71" s="95">
        <v>0</v>
      </c>
    </row>
    <row r="72" spans="1:7" s="91" customFormat="1">
      <c r="A72" s="154">
        <v>486</v>
      </c>
      <c r="B72" s="93"/>
      <c r="C72" s="94" t="s">
        <v>236</v>
      </c>
      <c r="D72" s="95">
        <v>0</v>
      </c>
      <c r="E72" s="95">
        <v>0</v>
      </c>
      <c r="F72" s="95">
        <v>0</v>
      </c>
      <c r="G72" s="95">
        <v>0</v>
      </c>
    </row>
    <row r="73" spans="1:7" s="106" customFormat="1">
      <c r="A73" s="154">
        <v>487</v>
      </c>
      <c r="B73" s="98"/>
      <c r="C73" s="94" t="s">
        <v>237</v>
      </c>
      <c r="D73" s="95">
        <v>0</v>
      </c>
      <c r="E73" s="95">
        <v>0</v>
      </c>
      <c r="F73" s="95">
        <v>0</v>
      </c>
      <c r="G73" s="95">
        <v>170</v>
      </c>
    </row>
    <row r="74" spans="1:7" s="106" customFormat="1">
      <c r="A74" s="154">
        <v>489</v>
      </c>
      <c r="B74" s="155"/>
      <c r="C74" s="118" t="s">
        <v>59</v>
      </c>
      <c r="D74" s="95">
        <f>10752.9-1636.6</f>
        <v>9116.2999999999993</v>
      </c>
      <c r="E74" s="95">
        <v>14458.6</v>
      </c>
      <c r="F74" s="95">
        <v>14317.2</v>
      </c>
      <c r="G74" s="95">
        <v>14930.8</v>
      </c>
    </row>
    <row r="75" spans="1:7" s="106" customFormat="1">
      <c r="A75" s="156" t="s">
        <v>238</v>
      </c>
      <c r="B75" s="155"/>
      <c r="C75" s="137" t="s">
        <v>239</v>
      </c>
      <c r="D75" s="95">
        <v>10752.9</v>
      </c>
      <c r="E75" s="95">
        <v>11034.5</v>
      </c>
      <c r="F75" s="95">
        <v>10752.9</v>
      </c>
      <c r="G75" s="95">
        <v>10752.9</v>
      </c>
    </row>
    <row r="76" spans="1:7">
      <c r="A76" s="121"/>
      <c r="B76" s="121"/>
      <c r="C76" s="122" t="s">
        <v>240</v>
      </c>
      <c r="D76" s="123">
        <f t="shared" ref="D76:G76" si="5">SUM(D65:D74)-SUM(D57:D64)</f>
        <v>7852.7</v>
      </c>
      <c r="E76" s="123">
        <f t="shared" si="5"/>
        <v>14458.6</v>
      </c>
      <c r="F76" s="123">
        <f t="shared" si="5"/>
        <v>14310</v>
      </c>
      <c r="G76" s="123">
        <f t="shared" si="5"/>
        <v>15100.8</v>
      </c>
    </row>
    <row r="77" spans="1:7">
      <c r="A77" s="157"/>
      <c r="B77" s="157"/>
      <c r="C77" s="122" t="s">
        <v>241</v>
      </c>
      <c r="D77" s="123">
        <f t="shared" ref="D77:G77" si="6">D56+D76</f>
        <v>-10135.83999999992</v>
      </c>
      <c r="E77" s="123">
        <f t="shared" si="6"/>
        <v>12299.999999999978</v>
      </c>
      <c r="F77" s="123">
        <f t="shared" si="6"/>
        <v>11818.70000000007</v>
      </c>
      <c r="G77" s="123">
        <f t="shared" si="6"/>
        <v>10912.400000000009</v>
      </c>
    </row>
    <row r="78" spans="1:7">
      <c r="A78" s="158">
        <v>3</v>
      </c>
      <c r="B78" s="158"/>
      <c r="C78" s="159" t="s">
        <v>242</v>
      </c>
      <c r="D78" s="160">
        <f t="shared" ref="D78:G78" si="7">D20+D21+SUM(D38:D43)+SUM(D57:D64)</f>
        <v>454926.6</v>
      </c>
      <c r="E78" s="160">
        <f t="shared" si="7"/>
        <v>449727.8</v>
      </c>
      <c r="F78" s="160">
        <f t="shared" si="7"/>
        <v>452419.69999999995</v>
      </c>
      <c r="G78" s="160">
        <f t="shared" si="7"/>
        <v>451416.8</v>
      </c>
    </row>
    <row r="79" spans="1:7">
      <c r="A79" s="158">
        <v>4</v>
      </c>
      <c r="B79" s="158"/>
      <c r="C79" s="159" t="s">
        <v>243</v>
      </c>
      <c r="D79" s="160">
        <f t="shared" ref="D79:G79" si="8">D35+D36+SUM(D44:D53)+SUM(D65:D74)</f>
        <v>444790.76000000007</v>
      </c>
      <c r="E79" s="160">
        <f t="shared" si="8"/>
        <v>462027.8</v>
      </c>
      <c r="F79" s="160">
        <f t="shared" si="8"/>
        <v>463538.80000000005</v>
      </c>
      <c r="G79" s="160">
        <f t="shared" si="8"/>
        <v>462329.19999999995</v>
      </c>
    </row>
    <row r="80" spans="1:7">
      <c r="C80" s="135"/>
      <c r="D80" s="161"/>
      <c r="E80" s="161"/>
      <c r="F80" s="161"/>
      <c r="G80" s="161"/>
    </row>
    <row r="81" spans="1:7">
      <c r="A81" s="680" t="s">
        <v>244</v>
      </c>
      <c r="B81" s="681"/>
      <c r="C81" s="681"/>
      <c r="D81" s="162"/>
      <c r="E81" s="163"/>
      <c r="F81" s="163"/>
      <c r="G81" s="163"/>
    </row>
    <row r="82" spans="1:7" s="91" customFormat="1">
      <c r="A82" s="164">
        <v>50</v>
      </c>
      <c r="B82" s="165"/>
      <c r="C82" s="165" t="s">
        <v>245</v>
      </c>
      <c r="D82" s="95">
        <v>17003.599999999999</v>
      </c>
      <c r="E82" s="95">
        <v>18990</v>
      </c>
      <c r="F82" s="95">
        <v>12892.8</v>
      </c>
      <c r="G82" s="95">
        <v>17195</v>
      </c>
    </row>
    <row r="83" spans="1:7" s="91" customFormat="1">
      <c r="A83" s="164">
        <v>51</v>
      </c>
      <c r="B83" s="165"/>
      <c r="C83" s="165" t="s">
        <v>246</v>
      </c>
      <c r="D83" s="95">
        <v>0</v>
      </c>
      <c r="E83" s="95">
        <v>350</v>
      </c>
      <c r="F83" s="95">
        <v>0</v>
      </c>
      <c r="G83" s="95">
        <v>0</v>
      </c>
    </row>
    <row r="84" spans="1:7" s="91" customFormat="1">
      <c r="A84" s="164">
        <v>52</v>
      </c>
      <c r="B84" s="165"/>
      <c r="C84" s="165" t="s">
        <v>247</v>
      </c>
      <c r="D84" s="95">
        <v>1144.3</v>
      </c>
      <c r="E84" s="95">
        <v>3616</v>
      </c>
      <c r="F84" s="95">
        <v>3341.5</v>
      </c>
      <c r="G84" s="95">
        <v>5744.5</v>
      </c>
    </row>
    <row r="85" spans="1:7" s="91" customFormat="1">
      <c r="A85" s="166">
        <v>54</v>
      </c>
      <c r="B85" s="167"/>
      <c r="C85" s="167" t="s">
        <v>248</v>
      </c>
      <c r="D85" s="100">
        <v>163</v>
      </c>
      <c r="E85" s="100">
        <v>1120</v>
      </c>
      <c r="F85" s="100">
        <v>813</v>
      </c>
      <c r="G85" s="100">
        <v>1120</v>
      </c>
    </row>
    <row r="86" spans="1:7" s="91" customFormat="1">
      <c r="A86" s="166">
        <v>55</v>
      </c>
      <c r="B86" s="167"/>
      <c r="C86" s="167" t="s">
        <v>249</v>
      </c>
      <c r="D86" s="100">
        <v>90</v>
      </c>
      <c r="E86" s="100">
        <v>0</v>
      </c>
      <c r="F86" s="100">
        <v>0</v>
      </c>
      <c r="G86" s="100">
        <v>0</v>
      </c>
    </row>
    <row r="87" spans="1:7" s="91" customFormat="1">
      <c r="A87" s="166">
        <v>56</v>
      </c>
      <c r="B87" s="167"/>
      <c r="C87" s="167" t="s">
        <v>250</v>
      </c>
      <c r="D87" s="100">
        <v>10383.700000000001</v>
      </c>
      <c r="E87" s="100">
        <v>11667</v>
      </c>
      <c r="F87" s="100">
        <v>11167.1</v>
      </c>
      <c r="G87" s="100">
        <v>9979</v>
      </c>
    </row>
    <row r="88" spans="1:7" s="91" customFormat="1">
      <c r="A88" s="164">
        <v>57</v>
      </c>
      <c r="B88" s="165"/>
      <c r="C88" s="165" t="s">
        <v>251</v>
      </c>
      <c r="D88" s="95">
        <v>3335.8</v>
      </c>
      <c r="E88" s="95">
        <v>3098.4</v>
      </c>
      <c r="F88" s="95">
        <v>5062</v>
      </c>
      <c r="G88" s="95">
        <v>4903</v>
      </c>
    </row>
    <row r="89" spans="1:7" s="91" customFormat="1">
      <c r="A89" s="164">
        <v>580</v>
      </c>
      <c r="B89" s="165"/>
      <c r="C89" s="165" t="s">
        <v>252</v>
      </c>
      <c r="D89" s="95">
        <v>0</v>
      </c>
      <c r="E89" s="95">
        <v>0</v>
      </c>
      <c r="F89" s="95">
        <v>0</v>
      </c>
      <c r="G89" s="95">
        <v>0</v>
      </c>
    </row>
    <row r="90" spans="1:7" s="91" customFormat="1">
      <c r="A90" s="164">
        <v>582</v>
      </c>
      <c r="B90" s="165"/>
      <c r="C90" s="165" t="s">
        <v>253</v>
      </c>
      <c r="D90" s="95">
        <v>0</v>
      </c>
      <c r="E90" s="95">
        <v>0</v>
      </c>
      <c r="F90" s="95">
        <v>0</v>
      </c>
      <c r="G90" s="95">
        <v>0</v>
      </c>
    </row>
    <row r="91" spans="1:7" s="91" customFormat="1">
      <c r="A91" s="164">
        <v>584</v>
      </c>
      <c r="B91" s="165"/>
      <c r="C91" s="165" t="s">
        <v>254</v>
      </c>
      <c r="D91" s="95">
        <v>0</v>
      </c>
      <c r="E91" s="95">
        <v>0</v>
      </c>
      <c r="F91" s="95">
        <v>0</v>
      </c>
      <c r="G91" s="95">
        <v>0</v>
      </c>
    </row>
    <row r="92" spans="1:7" s="91" customFormat="1">
      <c r="A92" s="164">
        <v>585</v>
      </c>
      <c r="B92" s="165"/>
      <c r="C92" s="165" t="s">
        <v>255</v>
      </c>
      <c r="D92" s="95">
        <v>0</v>
      </c>
      <c r="E92" s="95">
        <v>0</v>
      </c>
      <c r="F92" s="95">
        <v>0</v>
      </c>
      <c r="G92" s="95">
        <v>0</v>
      </c>
    </row>
    <row r="93" spans="1:7" s="91" customFormat="1">
      <c r="A93" s="164">
        <v>586</v>
      </c>
      <c r="B93" s="165"/>
      <c r="C93" s="165" t="s">
        <v>256</v>
      </c>
      <c r="D93" s="95">
        <v>0</v>
      </c>
      <c r="E93" s="95">
        <v>0</v>
      </c>
      <c r="F93" s="95">
        <v>0</v>
      </c>
      <c r="G93" s="95">
        <v>0</v>
      </c>
    </row>
    <row r="94" spans="1:7" s="91" customFormat="1">
      <c r="A94" s="168">
        <v>589</v>
      </c>
      <c r="B94" s="169"/>
      <c r="C94" s="169" t="s">
        <v>257</v>
      </c>
      <c r="D94" s="119">
        <v>0</v>
      </c>
      <c r="E94" s="119">
        <v>0</v>
      </c>
      <c r="F94" s="119">
        <v>0</v>
      </c>
      <c r="G94" s="119">
        <v>0</v>
      </c>
    </row>
    <row r="95" spans="1:7">
      <c r="A95" s="170">
        <v>5</v>
      </c>
      <c r="B95" s="171"/>
      <c r="C95" s="171" t="s">
        <v>258</v>
      </c>
      <c r="D95" s="172">
        <f t="shared" ref="D95:G95" si="9">SUM(D82:D94)</f>
        <v>32120.399999999998</v>
      </c>
      <c r="E95" s="172">
        <f t="shared" si="9"/>
        <v>38841.4</v>
      </c>
      <c r="F95" s="172">
        <f t="shared" si="9"/>
        <v>33276.400000000001</v>
      </c>
      <c r="G95" s="172">
        <f t="shared" si="9"/>
        <v>38941.5</v>
      </c>
    </row>
    <row r="96" spans="1:7" s="91" customFormat="1">
      <c r="A96" s="164">
        <v>60</v>
      </c>
      <c r="B96" s="165"/>
      <c r="C96" s="165" t="s">
        <v>259</v>
      </c>
      <c r="D96" s="95">
        <v>0</v>
      </c>
      <c r="E96" s="95">
        <v>0</v>
      </c>
      <c r="F96" s="95">
        <v>0</v>
      </c>
      <c r="G96" s="95">
        <v>0</v>
      </c>
    </row>
    <row r="97" spans="1:7" s="91" customFormat="1">
      <c r="A97" s="164">
        <v>61</v>
      </c>
      <c r="B97" s="165"/>
      <c r="C97" s="165" t="s">
        <v>260</v>
      </c>
      <c r="D97" s="95">
        <v>19.2</v>
      </c>
      <c r="E97" s="95">
        <v>0</v>
      </c>
      <c r="F97" s="95">
        <v>136</v>
      </c>
      <c r="G97" s="95">
        <v>0</v>
      </c>
    </row>
    <row r="98" spans="1:7" s="91" customFormat="1">
      <c r="A98" s="164">
        <v>62</v>
      </c>
      <c r="B98" s="165"/>
      <c r="C98" s="165" t="s">
        <v>261</v>
      </c>
      <c r="D98" s="95">
        <v>0</v>
      </c>
      <c r="E98" s="95">
        <v>0</v>
      </c>
      <c r="F98" s="95">
        <v>0</v>
      </c>
      <c r="G98" s="95">
        <v>0</v>
      </c>
    </row>
    <row r="99" spans="1:7" s="91" customFormat="1">
      <c r="A99" s="164">
        <v>63</v>
      </c>
      <c r="B99" s="165"/>
      <c r="C99" s="165" t="s">
        <v>262</v>
      </c>
      <c r="D99" s="95">
        <v>7656.8</v>
      </c>
      <c r="E99" s="95">
        <v>9190.5</v>
      </c>
      <c r="F99" s="95">
        <v>10004.1</v>
      </c>
      <c r="G99" s="95">
        <v>5695</v>
      </c>
    </row>
    <row r="100" spans="1:7" s="91" customFormat="1">
      <c r="A100" s="166">
        <v>64</v>
      </c>
      <c r="B100" s="167"/>
      <c r="C100" s="167" t="s">
        <v>263</v>
      </c>
      <c r="D100" s="100">
        <v>839.9</v>
      </c>
      <c r="E100" s="100">
        <v>1281.0999999999999</v>
      </c>
      <c r="F100" s="100">
        <v>1498.7</v>
      </c>
      <c r="G100" s="100">
        <v>1100</v>
      </c>
    </row>
    <row r="101" spans="1:7" s="91" customFormat="1">
      <c r="A101" s="166">
        <v>65</v>
      </c>
      <c r="B101" s="167"/>
      <c r="C101" s="167" t="s">
        <v>264</v>
      </c>
      <c r="D101" s="100">
        <v>0</v>
      </c>
      <c r="E101" s="100">
        <v>0</v>
      </c>
      <c r="F101" s="100">
        <v>0</v>
      </c>
      <c r="G101" s="100">
        <v>0</v>
      </c>
    </row>
    <row r="102" spans="1:7" s="91" customFormat="1">
      <c r="A102" s="166">
        <v>66</v>
      </c>
      <c r="B102" s="167"/>
      <c r="C102" s="167" t="s">
        <v>265</v>
      </c>
      <c r="D102" s="100">
        <v>0</v>
      </c>
      <c r="E102" s="100">
        <v>0</v>
      </c>
      <c r="F102" s="100">
        <v>0</v>
      </c>
      <c r="G102" s="100">
        <v>0</v>
      </c>
    </row>
    <row r="103" spans="1:7" s="91" customFormat="1">
      <c r="A103" s="164">
        <v>67</v>
      </c>
      <c r="B103" s="165"/>
      <c r="C103" s="165" t="s">
        <v>251</v>
      </c>
      <c r="D103" s="95">
        <v>3335.8</v>
      </c>
      <c r="E103" s="95">
        <v>3098.4</v>
      </c>
      <c r="F103" s="95">
        <v>5062</v>
      </c>
      <c r="G103" s="95">
        <v>4903</v>
      </c>
    </row>
    <row r="104" spans="1:7" s="91" customFormat="1" ht="28">
      <c r="A104" s="173" t="s">
        <v>266</v>
      </c>
      <c r="B104" s="165"/>
      <c r="C104" s="174" t="s">
        <v>267</v>
      </c>
      <c r="D104" s="130">
        <v>0</v>
      </c>
      <c r="E104" s="130"/>
      <c r="F104" s="130">
        <v>0</v>
      </c>
      <c r="G104" s="130">
        <v>0</v>
      </c>
    </row>
    <row r="105" spans="1:7" s="91" customFormat="1" ht="42">
      <c r="A105" s="175" t="s">
        <v>268</v>
      </c>
      <c r="B105" s="169"/>
      <c r="C105" s="176" t="s">
        <v>269</v>
      </c>
      <c r="D105" s="177">
        <v>0</v>
      </c>
      <c r="E105" s="177"/>
      <c r="F105" s="177">
        <v>0</v>
      </c>
      <c r="G105" s="177">
        <v>0</v>
      </c>
    </row>
    <row r="106" spans="1:7">
      <c r="A106" s="170">
        <v>6</v>
      </c>
      <c r="B106" s="171"/>
      <c r="C106" s="171" t="s">
        <v>270</v>
      </c>
      <c r="D106" s="172">
        <f t="shared" ref="D106:G106" si="10">SUM(D96:D105)</f>
        <v>11851.7</v>
      </c>
      <c r="E106" s="172">
        <f t="shared" si="10"/>
        <v>13570</v>
      </c>
      <c r="F106" s="172">
        <f t="shared" si="10"/>
        <v>16700.800000000003</v>
      </c>
      <c r="G106" s="172">
        <f t="shared" si="10"/>
        <v>11698</v>
      </c>
    </row>
    <row r="107" spans="1:7">
      <c r="A107" s="178" t="s">
        <v>271</v>
      </c>
      <c r="B107" s="178"/>
      <c r="C107" s="171" t="s">
        <v>1</v>
      </c>
      <c r="D107" s="172">
        <f t="shared" ref="D107:G107" si="11">(D95-D88)-(D106-D103)</f>
        <v>20268.699999999997</v>
      </c>
      <c r="E107" s="172">
        <f t="shared" si="11"/>
        <v>25271.4</v>
      </c>
      <c r="F107" s="172">
        <f t="shared" si="11"/>
        <v>16575.599999999999</v>
      </c>
      <c r="G107" s="172">
        <f t="shared" si="11"/>
        <v>27243.5</v>
      </c>
    </row>
    <row r="108" spans="1:7">
      <c r="A108" s="179" t="s">
        <v>272</v>
      </c>
      <c r="B108" s="179"/>
      <c r="C108" s="180" t="s">
        <v>273</v>
      </c>
      <c r="D108" s="172">
        <f t="shared" ref="D108:G108" si="12">D107-D85-D86+D100+D101</f>
        <v>20855.599999999999</v>
      </c>
      <c r="E108" s="172">
        <f t="shared" si="12"/>
        <v>25432.5</v>
      </c>
      <c r="F108" s="172">
        <f t="shared" si="12"/>
        <v>17261.3</v>
      </c>
      <c r="G108" s="172">
        <f t="shared" si="12"/>
        <v>27223.5</v>
      </c>
    </row>
    <row r="109" spans="1:7">
      <c r="C109" s="135"/>
      <c r="D109" s="161"/>
      <c r="E109" s="161"/>
      <c r="F109" s="161"/>
      <c r="G109" s="161"/>
    </row>
    <row r="110" spans="1:7">
      <c r="A110" s="181" t="s">
        <v>274</v>
      </c>
      <c r="B110" s="182"/>
      <c r="C110" s="181"/>
      <c r="D110" s="161"/>
      <c r="E110" s="161"/>
      <c r="F110" s="161"/>
      <c r="G110" s="161"/>
    </row>
    <row r="111" spans="1:7" s="91" customFormat="1">
      <c r="A111" s="183">
        <v>10</v>
      </c>
      <c r="B111" s="184"/>
      <c r="C111" s="184" t="s">
        <v>275</v>
      </c>
      <c r="D111" s="185">
        <f t="shared" ref="D111:G111" si="13">D112+D117</f>
        <v>186732.6</v>
      </c>
      <c r="E111" s="186">
        <f t="shared" si="13"/>
        <v>0</v>
      </c>
      <c r="F111" s="186">
        <f t="shared" si="13"/>
        <v>176731.4</v>
      </c>
      <c r="G111" s="186">
        <f t="shared" si="13"/>
        <v>0</v>
      </c>
    </row>
    <row r="112" spans="1:7" s="91" customFormat="1">
      <c r="A112" s="187" t="s">
        <v>276</v>
      </c>
      <c r="B112" s="188"/>
      <c r="C112" s="188" t="s">
        <v>277</v>
      </c>
      <c r="D112" s="185">
        <f t="shared" ref="D112:G112" si="14">D113+D114+D115+D116</f>
        <v>147773</v>
      </c>
      <c r="E112" s="186">
        <f t="shared" si="14"/>
        <v>0</v>
      </c>
      <c r="F112" s="186">
        <f t="shared" si="14"/>
        <v>138575.29999999999</v>
      </c>
      <c r="G112" s="186">
        <f t="shared" si="14"/>
        <v>0</v>
      </c>
    </row>
    <row r="113" spans="1:7" s="91" customFormat="1">
      <c r="A113" s="189" t="s">
        <v>278</v>
      </c>
      <c r="B113" s="190"/>
      <c r="C113" s="190" t="s">
        <v>279</v>
      </c>
      <c r="D113" s="95">
        <v>127604.9</v>
      </c>
      <c r="E113" s="124"/>
      <c r="F113" s="124">
        <v>115848.7</v>
      </c>
      <c r="G113" s="124"/>
    </row>
    <row r="114" spans="1:7" s="153" customFormat="1" ht="15" customHeight="1">
      <c r="A114" s="191">
        <v>102</v>
      </c>
      <c r="B114" s="192"/>
      <c r="C114" s="192" t="s">
        <v>280</v>
      </c>
      <c r="D114" s="143">
        <v>0</v>
      </c>
      <c r="E114" s="144"/>
      <c r="F114" s="144">
        <v>484.9</v>
      </c>
      <c r="G114" s="144"/>
    </row>
    <row r="115" spans="1:7" s="91" customFormat="1">
      <c r="A115" s="189">
        <v>104</v>
      </c>
      <c r="B115" s="190"/>
      <c r="C115" s="190" t="s">
        <v>281</v>
      </c>
      <c r="D115" s="95">
        <v>20168.099999999999</v>
      </c>
      <c r="E115" s="124"/>
      <c r="F115" s="124">
        <v>22241.7</v>
      </c>
      <c r="G115" s="124"/>
    </row>
    <row r="116" spans="1:7" s="91" customFormat="1">
      <c r="A116" s="189">
        <v>106</v>
      </c>
      <c r="B116" s="190"/>
      <c r="C116" s="190" t="s">
        <v>282</v>
      </c>
      <c r="D116" s="95">
        <v>0</v>
      </c>
      <c r="E116" s="124"/>
      <c r="F116" s="124">
        <v>0</v>
      </c>
      <c r="G116" s="124"/>
    </row>
    <row r="117" spans="1:7" s="91" customFormat="1">
      <c r="A117" s="187" t="s">
        <v>283</v>
      </c>
      <c r="B117" s="188"/>
      <c r="C117" s="188" t="s">
        <v>284</v>
      </c>
      <c r="D117" s="185">
        <f t="shared" ref="D117:G117" si="15">D118+D119+D120</f>
        <v>38959.599999999999</v>
      </c>
      <c r="E117" s="186">
        <f t="shared" si="15"/>
        <v>0</v>
      </c>
      <c r="F117" s="186">
        <f t="shared" si="15"/>
        <v>38156.1</v>
      </c>
      <c r="G117" s="186">
        <f t="shared" si="15"/>
        <v>0</v>
      </c>
    </row>
    <row r="118" spans="1:7" s="91" customFormat="1">
      <c r="A118" s="189">
        <v>107</v>
      </c>
      <c r="B118" s="190"/>
      <c r="C118" s="190" t="s">
        <v>285</v>
      </c>
      <c r="D118" s="95">
        <v>58</v>
      </c>
      <c r="E118" s="124"/>
      <c r="F118" s="124">
        <v>323</v>
      </c>
      <c r="G118" s="124"/>
    </row>
    <row r="119" spans="1:7" s="91" customFormat="1">
      <c r="A119" s="189">
        <v>108</v>
      </c>
      <c r="B119" s="190"/>
      <c r="C119" s="190" t="s">
        <v>286</v>
      </c>
      <c r="D119" s="95">
        <v>38901.599999999999</v>
      </c>
      <c r="E119" s="124"/>
      <c r="F119" s="124">
        <v>37833.1</v>
      </c>
      <c r="G119" s="124"/>
    </row>
    <row r="120" spans="1:7" s="195" customFormat="1" ht="14">
      <c r="A120" s="191">
        <v>109</v>
      </c>
      <c r="B120" s="193"/>
      <c r="C120" s="193" t="s">
        <v>287</v>
      </c>
      <c r="D120" s="131">
        <v>0</v>
      </c>
      <c r="E120" s="194"/>
      <c r="F120" s="194">
        <v>0</v>
      </c>
      <c r="G120" s="194"/>
    </row>
    <row r="121" spans="1:7" s="91" customFormat="1">
      <c r="A121" s="187">
        <v>14</v>
      </c>
      <c r="B121" s="188"/>
      <c r="C121" s="188" t="s">
        <v>288</v>
      </c>
      <c r="D121" s="185">
        <f t="shared" ref="D121:G121" si="16">SUM(D122:D130)</f>
        <v>252250.29999999996</v>
      </c>
      <c r="E121" s="185">
        <f t="shared" si="16"/>
        <v>0</v>
      </c>
      <c r="F121" s="185">
        <f t="shared" si="16"/>
        <v>252740.50000000003</v>
      </c>
      <c r="G121" s="185">
        <f t="shared" si="16"/>
        <v>0</v>
      </c>
    </row>
    <row r="122" spans="1:7" s="91" customFormat="1">
      <c r="A122" s="189" t="s">
        <v>289</v>
      </c>
      <c r="B122" s="190"/>
      <c r="C122" s="190" t="s">
        <v>290</v>
      </c>
      <c r="D122" s="95">
        <f>142423.3+2301.3</f>
        <v>144724.59999999998</v>
      </c>
      <c r="E122" s="124"/>
      <c r="F122" s="124">
        <v>140491.70000000001</v>
      </c>
      <c r="G122" s="124"/>
    </row>
    <row r="123" spans="1:7" s="91" customFormat="1">
      <c r="A123" s="189">
        <v>144</v>
      </c>
      <c r="B123" s="190"/>
      <c r="C123" s="190" t="s">
        <v>248</v>
      </c>
      <c r="D123" s="95">
        <v>39008.800000000003</v>
      </c>
      <c r="E123" s="124"/>
      <c r="F123" s="124">
        <v>39292.199999999997</v>
      </c>
      <c r="G123" s="124"/>
    </row>
    <row r="124" spans="1:7" s="91" customFormat="1">
      <c r="A124" s="189">
        <v>145</v>
      </c>
      <c r="B124" s="190"/>
      <c r="C124" s="190" t="s">
        <v>291</v>
      </c>
      <c r="D124" s="95">
        <v>50315.1</v>
      </c>
      <c r="E124" s="196"/>
      <c r="F124" s="196">
        <v>50315.1</v>
      </c>
      <c r="G124" s="196"/>
    </row>
    <row r="125" spans="1:7" s="91" customFormat="1">
      <c r="A125" s="189">
        <v>146</v>
      </c>
      <c r="B125" s="190"/>
      <c r="C125" s="190" t="s">
        <v>292</v>
      </c>
      <c r="D125" s="95">
        <v>18201.8</v>
      </c>
      <c r="E125" s="196"/>
      <c r="F125" s="196">
        <v>22641.5</v>
      </c>
      <c r="G125" s="196"/>
    </row>
    <row r="126" spans="1:7" s="195" customFormat="1" ht="29.5" customHeight="1">
      <c r="A126" s="191" t="s">
        <v>293</v>
      </c>
      <c r="B126" s="193"/>
      <c r="C126" s="193" t="s">
        <v>294</v>
      </c>
      <c r="D126" s="131">
        <v>0</v>
      </c>
      <c r="E126" s="197"/>
      <c r="F126" s="197">
        <v>0</v>
      </c>
      <c r="G126" s="197"/>
    </row>
    <row r="127" spans="1:7" s="91" customFormat="1">
      <c r="A127" s="189">
        <v>1484</v>
      </c>
      <c r="B127" s="190"/>
      <c r="C127" s="190" t="s">
        <v>295</v>
      </c>
      <c r="D127" s="95">
        <v>0</v>
      </c>
      <c r="E127" s="196"/>
      <c r="F127" s="196">
        <v>0</v>
      </c>
      <c r="G127" s="196"/>
    </row>
    <row r="128" spans="1:7" s="91" customFormat="1">
      <c r="A128" s="189">
        <v>1485</v>
      </c>
      <c r="B128" s="190"/>
      <c r="C128" s="190" t="s">
        <v>296</v>
      </c>
      <c r="D128" s="95">
        <v>0</v>
      </c>
      <c r="E128" s="196"/>
      <c r="F128" s="196">
        <v>0</v>
      </c>
      <c r="G128" s="196"/>
    </row>
    <row r="129" spans="1:7" s="91" customFormat="1">
      <c r="A129" s="189">
        <v>1486</v>
      </c>
      <c r="B129" s="190"/>
      <c r="C129" s="190" t="s">
        <v>297</v>
      </c>
      <c r="D129" s="95">
        <v>0</v>
      </c>
      <c r="E129" s="196"/>
      <c r="F129" s="196">
        <v>0</v>
      </c>
      <c r="G129" s="196"/>
    </row>
    <row r="130" spans="1:7" s="91" customFormat="1">
      <c r="A130" s="198">
        <v>1489</v>
      </c>
      <c r="B130" s="199"/>
      <c r="C130" s="199" t="s">
        <v>298</v>
      </c>
      <c r="D130" s="119">
        <v>0</v>
      </c>
      <c r="E130" s="200"/>
      <c r="F130" s="200">
        <v>0</v>
      </c>
      <c r="G130" s="200"/>
    </row>
    <row r="131" spans="1:7">
      <c r="A131" s="201">
        <v>1</v>
      </c>
      <c r="B131" s="202"/>
      <c r="C131" s="201" t="s">
        <v>299</v>
      </c>
      <c r="D131" s="203">
        <f t="shared" ref="D131:G131" si="17">D111+D121</f>
        <v>438982.89999999997</v>
      </c>
      <c r="E131" s="203">
        <f t="shared" si="17"/>
        <v>0</v>
      </c>
      <c r="F131" s="203">
        <f t="shared" si="17"/>
        <v>429471.9</v>
      </c>
      <c r="G131" s="203">
        <f t="shared" si="17"/>
        <v>0</v>
      </c>
    </row>
    <row r="132" spans="1:7">
      <c r="C132" s="135"/>
      <c r="D132" s="161"/>
      <c r="E132" s="161"/>
      <c r="F132" s="161"/>
      <c r="G132" s="161"/>
    </row>
    <row r="133" spans="1:7" s="91" customFormat="1">
      <c r="A133" s="183">
        <v>20</v>
      </c>
      <c r="B133" s="184"/>
      <c r="C133" s="184" t="s">
        <v>300</v>
      </c>
      <c r="D133" s="204">
        <f t="shared" ref="D133:G133" si="18">D134+D140</f>
        <v>258619.8</v>
      </c>
      <c r="E133" s="318">
        <f t="shared" si="18"/>
        <v>0</v>
      </c>
      <c r="F133" s="318">
        <f t="shared" si="18"/>
        <v>252219.8</v>
      </c>
      <c r="G133" s="318">
        <f t="shared" si="18"/>
        <v>0</v>
      </c>
    </row>
    <row r="134" spans="1:7" s="91" customFormat="1">
      <c r="A134" s="205" t="s">
        <v>301</v>
      </c>
      <c r="B134" s="188"/>
      <c r="C134" s="188" t="s">
        <v>302</v>
      </c>
      <c r="D134" s="185">
        <f t="shared" ref="D134:G134" si="19">D135+D136+D138+D139</f>
        <v>127295.29999999999</v>
      </c>
      <c r="E134" s="186">
        <f t="shared" si="19"/>
        <v>0</v>
      </c>
      <c r="F134" s="186">
        <f t="shared" si="19"/>
        <v>120054.6</v>
      </c>
      <c r="G134" s="186">
        <f t="shared" si="19"/>
        <v>0</v>
      </c>
    </row>
    <row r="135" spans="1:7" s="106" customFormat="1">
      <c r="A135" s="206">
        <v>200</v>
      </c>
      <c r="B135" s="190"/>
      <c r="C135" s="190" t="s">
        <v>303</v>
      </c>
      <c r="D135" s="95">
        <v>97348.7</v>
      </c>
      <c r="E135" s="124"/>
      <c r="F135" s="124">
        <v>91696.1</v>
      </c>
      <c r="G135" s="124"/>
    </row>
    <row r="136" spans="1:7" s="106" customFormat="1">
      <c r="A136" s="206">
        <v>201</v>
      </c>
      <c r="B136" s="190"/>
      <c r="C136" s="190" t="s">
        <v>304</v>
      </c>
      <c r="D136" s="95">
        <v>23.5</v>
      </c>
      <c r="E136" s="124"/>
      <c r="F136" s="124">
        <v>22.1</v>
      </c>
      <c r="G136" s="124"/>
    </row>
    <row r="137" spans="1:7" s="106" customFormat="1">
      <c r="A137" s="207" t="s">
        <v>305</v>
      </c>
      <c r="B137" s="208"/>
      <c r="C137" s="208" t="s">
        <v>306</v>
      </c>
      <c r="D137" s="100">
        <v>0</v>
      </c>
      <c r="E137" s="209"/>
      <c r="F137" s="209">
        <v>0</v>
      </c>
      <c r="G137" s="209"/>
    </row>
    <row r="138" spans="1:7" s="106" customFormat="1">
      <c r="A138" s="206">
        <v>204</v>
      </c>
      <c r="B138" s="190"/>
      <c r="C138" s="190" t="s">
        <v>307</v>
      </c>
      <c r="D138" s="95">
        <v>24654.7</v>
      </c>
      <c r="E138" s="196"/>
      <c r="F138" s="196">
        <v>26064.400000000001</v>
      </c>
      <c r="G138" s="196"/>
    </row>
    <row r="139" spans="1:7" s="106" customFormat="1">
      <c r="A139" s="206">
        <v>205</v>
      </c>
      <c r="B139" s="190"/>
      <c r="C139" s="190" t="s">
        <v>308</v>
      </c>
      <c r="D139" s="95">
        <v>5268.4</v>
      </c>
      <c r="E139" s="196"/>
      <c r="F139" s="196">
        <v>2272</v>
      </c>
      <c r="G139" s="196"/>
    </row>
    <row r="140" spans="1:7" s="106" customFormat="1">
      <c r="A140" s="205" t="s">
        <v>309</v>
      </c>
      <c r="B140" s="188"/>
      <c r="C140" s="188" t="s">
        <v>310</v>
      </c>
      <c r="D140" s="185">
        <f t="shared" ref="D140:G140" si="20">D141+D143+D144</f>
        <v>131324.5</v>
      </c>
      <c r="E140" s="186">
        <f t="shared" si="20"/>
        <v>0</v>
      </c>
      <c r="F140" s="186">
        <f t="shared" si="20"/>
        <v>132165.19999999998</v>
      </c>
      <c r="G140" s="186">
        <f t="shared" si="20"/>
        <v>0</v>
      </c>
    </row>
    <row r="141" spans="1:7" s="106" customFormat="1">
      <c r="A141" s="206">
        <v>206</v>
      </c>
      <c r="B141" s="190"/>
      <c r="C141" s="190" t="s">
        <v>311</v>
      </c>
      <c r="D141" s="95">
        <v>121190.5</v>
      </c>
      <c r="E141" s="196"/>
      <c r="F141" s="196">
        <v>122487.5</v>
      </c>
      <c r="G141" s="196"/>
    </row>
    <row r="142" spans="1:7" s="106" customFormat="1">
      <c r="A142" s="207" t="s">
        <v>312</v>
      </c>
      <c r="B142" s="208"/>
      <c r="C142" s="208" t="s">
        <v>313</v>
      </c>
      <c r="D142" s="100">
        <v>0</v>
      </c>
      <c r="E142" s="132"/>
      <c r="F142" s="132">
        <v>0</v>
      </c>
      <c r="G142" s="132"/>
    </row>
    <row r="143" spans="1:7" s="106" customFormat="1">
      <c r="A143" s="206">
        <v>208</v>
      </c>
      <c r="B143" s="190"/>
      <c r="C143" s="190" t="s">
        <v>314</v>
      </c>
      <c r="D143" s="95">
        <v>4404.7</v>
      </c>
      <c r="E143" s="124"/>
      <c r="F143" s="124">
        <v>3344.9</v>
      </c>
      <c r="G143" s="124"/>
    </row>
    <row r="144" spans="1:7" s="111" customFormat="1" ht="28">
      <c r="A144" s="191">
        <v>209</v>
      </c>
      <c r="B144" s="193"/>
      <c r="C144" s="193" t="s">
        <v>315</v>
      </c>
      <c r="D144" s="131">
        <v>5729.3</v>
      </c>
      <c r="E144" s="194"/>
      <c r="F144" s="194">
        <v>6332.8</v>
      </c>
      <c r="G144" s="194"/>
    </row>
    <row r="145" spans="1:7" s="91" customFormat="1">
      <c r="A145" s="205">
        <v>29</v>
      </c>
      <c r="B145" s="188"/>
      <c r="C145" s="188" t="s">
        <v>316</v>
      </c>
      <c r="D145" s="210">
        <v>180363</v>
      </c>
      <c r="E145" s="196"/>
      <c r="F145" s="196">
        <v>177252</v>
      </c>
      <c r="G145" s="196"/>
    </row>
    <row r="146" spans="1:7" s="91" customFormat="1">
      <c r="A146" s="211" t="s">
        <v>317</v>
      </c>
      <c r="B146" s="212"/>
      <c r="C146" s="212" t="s">
        <v>318</v>
      </c>
      <c r="D146" s="138">
        <v>13337.2</v>
      </c>
      <c r="E146" s="139"/>
      <c r="F146" s="139">
        <v>25156.2</v>
      </c>
      <c r="G146" s="139"/>
    </row>
    <row r="147" spans="1:7">
      <c r="A147" s="201">
        <v>2</v>
      </c>
      <c r="B147" s="202"/>
      <c r="C147" s="201" t="s">
        <v>319</v>
      </c>
      <c r="D147" s="203">
        <f t="shared" ref="D147:G147" si="21">D133+D145</f>
        <v>438982.8</v>
      </c>
      <c r="E147" s="203">
        <f t="shared" si="21"/>
        <v>0</v>
      </c>
      <c r="F147" s="203">
        <f t="shared" si="21"/>
        <v>429471.8</v>
      </c>
      <c r="G147" s="203">
        <f t="shared" si="21"/>
        <v>0</v>
      </c>
    </row>
    <row r="148" spans="1:7" ht="7.5" customHeight="1"/>
    <row r="149" spans="1:7" ht="13.5" customHeight="1">
      <c r="A149" s="213" t="s">
        <v>320</v>
      </c>
      <c r="B149" s="214"/>
      <c r="C149" s="215" t="s">
        <v>321</v>
      </c>
      <c r="D149" s="214"/>
      <c r="E149" s="214"/>
      <c r="F149" s="214"/>
      <c r="G149" s="214"/>
    </row>
    <row r="150" spans="1:7">
      <c r="A150" s="216" t="s">
        <v>322</v>
      </c>
      <c r="B150" s="217"/>
      <c r="C150" s="217" t="s">
        <v>82</v>
      </c>
      <c r="D150" s="218">
        <f t="shared" ref="D150:G150" si="22">D77+SUM(D8:D12)-D30-D31+D16-D33+D59+D63-D73+D64-D74-D54+D20-D35</f>
        <v>-3590.6399999999194</v>
      </c>
      <c r="E150" s="218">
        <f t="shared" si="22"/>
        <v>14802.399999999972</v>
      </c>
      <c r="F150" s="218">
        <f t="shared" si="22"/>
        <v>14793.500000000065</v>
      </c>
      <c r="G150" s="218">
        <f t="shared" si="22"/>
        <v>13514.700000000012</v>
      </c>
    </row>
    <row r="151" spans="1:7">
      <c r="A151" s="219" t="s">
        <v>323</v>
      </c>
      <c r="B151" s="220"/>
      <c r="C151" s="220" t="s">
        <v>324</v>
      </c>
      <c r="D151" s="221">
        <f t="shared" ref="D151:G151" si="23">IF(D177=0,0,D150/D177)</f>
        <v>-9.5587681726645758E-3</v>
      </c>
      <c r="E151" s="221">
        <f t="shared" si="23"/>
        <v>3.8248552023162387E-2</v>
      </c>
      <c r="F151" s="221">
        <f t="shared" si="23"/>
        <v>3.7904886113669982E-2</v>
      </c>
      <c r="G151" s="221">
        <f t="shared" si="23"/>
        <v>3.5004214067370198E-2</v>
      </c>
    </row>
    <row r="152" spans="1:7" s="225" customFormat="1" ht="28">
      <c r="A152" s="222" t="s">
        <v>325</v>
      </c>
      <c r="B152" s="223"/>
      <c r="C152" s="223" t="s">
        <v>326</v>
      </c>
      <c r="D152" s="224">
        <f t="shared" ref="D152:G152" si="24">IF(D107=0,0,D150/D107)</f>
        <v>-0.17715196337209194</v>
      </c>
      <c r="E152" s="224">
        <f t="shared" si="24"/>
        <v>0.58573723655990451</v>
      </c>
      <c r="F152" s="224">
        <f t="shared" si="24"/>
        <v>0.89248654649002546</v>
      </c>
      <c r="G152" s="224">
        <f t="shared" si="24"/>
        <v>0.49607062235028582</v>
      </c>
    </row>
    <row r="153" spans="1:7" s="225" customFormat="1" ht="28">
      <c r="A153" s="226" t="s">
        <v>325</v>
      </c>
      <c r="B153" s="227"/>
      <c r="C153" s="227" t="s">
        <v>327</v>
      </c>
      <c r="D153" s="228">
        <f t="shared" ref="D153:G153" si="25">IF(0=D108,0,D150/D108)</f>
        <v>-0.17216670822224819</v>
      </c>
      <c r="E153" s="228">
        <f t="shared" si="25"/>
        <v>0.58202693404108807</v>
      </c>
      <c r="F153" s="228">
        <f t="shared" si="25"/>
        <v>0.85703278432099939</v>
      </c>
      <c r="G153" s="228">
        <f t="shared" si="25"/>
        <v>0.49643506529285403</v>
      </c>
    </row>
    <row r="154" spans="1:7" ht="28">
      <c r="A154" s="229" t="s">
        <v>328</v>
      </c>
      <c r="B154" s="230"/>
      <c r="C154" s="230" t="s">
        <v>329</v>
      </c>
      <c r="D154" s="231">
        <f t="shared" ref="D154:G154" si="26">D150-D107</f>
        <v>-23859.339999999916</v>
      </c>
      <c r="E154" s="231">
        <f t="shared" si="26"/>
        <v>-10469.000000000029</v>
      </c>
      <c r="F154" s="231">
        <f t="shared" si="26"/>
        <v>-1782.0999999999331</v>
      </c>
      <c r="G154" s="231">
        <f t="shared" si="26"/>
        <v>-13728.799999999988</v>
      </c>
    </row>
    <row r="155" spans="1:7" ht="28">
      <c r="A155" s="232" t="s">
        <v>330</v>
      </c>
      <c r="B155" s="233"/>
      <c r="C155" s="233" t="s">
        <v>331</v>
      </c>
      <c r="D155" s="234">
        <f t="shared" ref="D155:G155" si="27">D150-D108</f>
        <v>-24446.239999999918</v>
      </c>
      <c r="E155" s="234">
        <f t="shared" si="27"/>
        <v>-10630.100000000028</v>
      </c>
      <c r="F155" s="234">
        <f t="shared" si="27"/>
        <v>-2467.7999999999338</v>
      </c>
      <c r="G155" s="234">
        <f t="shared" si="27"/>
        <v>-13708.799999999988</v>
      </c>
    </row>
    <row r="156" spans="1:7">
      <c r="A156" s="216" t="s">
        <v>332</v>
      </c>
      <c r="B156" s="217"/>
      <c r="C156" s="217" t="s">
        <v>333</v>
      </c>
      <c r="D156" s="235">
        <f t="shared" ref="D156:G156" si="28">D135+D136-D137+D141-D142</f>
        <v>218562.7</v>
      </c>
      <c r="E156" s="235">
        <f t="shared" si="28"/>
        <v>0</v>
      </c>
      <c r="F156" s="235">
        <f t="shared" si="28"/>
        <v>214205.7</v>
      </c>
      <c r="G156" s="235">
        <f t="shared" si="28"/>
        <v>0</v>
      </c>
    </row>
    <row r="157" spans="1:7">
      <c r="A157" s="236" t="s">
        <v>334</v>
      </c>
      <c r="B157" s="237"/>
      <c r="C157" s="237" t="s">
        <v>335</v>
      </c>
      <c r="D157" s="238">
        <f t="shared" ref="D157:G157" si="29">IF(D177=0,0,D156/D177)</f>
        <v>0.5818433985283078</v>
      </c>
      <c r="E157" s="238">
        <f t="shared" si="29"/>
        <v>0</v>
      </c>
      <c r="F157" s="238">
        <f t="shared" si="29"/>
        <v>0.5488520406529166</v>
      </c>
      <c r="G157" s="238">
        <f t="shared" si="29"/>
        <v>0</v>
      </c>
    </row>
    <row r="158" spans="1:7">
      <c r="A158" s="216" t="s">
        <v>336</v>
      </c>
      <c r="B158" s="217"/>
      <c r="C158" s="217" t="s">
        <v>337</v>
      </c>
      <c r="D158" s="235">
        <f t="shared" ref="D158:G158" si="30">D133-D142-D111</f>
        <v>71887.199999999983</v>
      </c>
      <c r="E158" s="235">
        <f t="shared" si="30"/>
        <v>0</v>
      </c>
      <c r="F158" s="235">
        <f t="shared" si="30"/>
        <v>75488.399999999994</v>
      </c>
      <c r="G158" s="235">
        <f t="shared" si="30"/>
        <v>0</v>
      </c>
    </row>
    <row r="159" spans="1:7">
      <c r="A159" s="219" t="s">
        <v>338</v>
      </c>
      <c r="B159" s="220"/>
      <c r="C159" s="220" t="s">
        <v>339</v>
      </c>
      <c r="D159" s="239">
        <f t="shared" ref="D159:G159" si="31">D121-D123-D124-D142-D145</f>
        <v>-17436.600000000064</v>
      </c>
      <c r="E159" s="239">
        <f t="shared" si="31"/>
        <v>0</v>
      </c>
      <c r="F159" s="239">
        <f t="shared" si="31"/>
        <v>-14118.799999999959</v>
      </c>
      <c r="G159" s="239">
        <f t="shared" si="31"/>
        <v>0</v>
      </c>
    </row>
    <row r="160" spans="1:7">
      <c r="A160" s="219" t="s">
        <v>340</v>
      </c>
      <c r="B160" s="220"/>
      <c r="C160" s="220" t="s">
        <v>341</v>
      </c>
      <c r="D160" s="240">
        <f t="shared" ref="D160:G160" si="32">IF(D175=0,"-",1000*D158/D175)</f>
        <v>1334.3579463191888</v>
      </c>
      <c r="E160" s="240">
        <f t="shared" si="32"/>
        <v>0</v>
      </c>
      <c r="F160" s="240">
        <f t="shared" si="32"/>
        <v>1376.5960938782209</v>
      </c>
      <c r="G160" s="240">
        <f t="shared" si="32"/>
        <v>0</v>
      </c>
    </row>
    <row r="161" spans="1:7">
      <c r="A161" s="219" t="s">
        <v>340</v>
      </c>
      <c r="B161" s="220"/>
      <c r="C161" s="220" t="s">
        <v>342</v>
      </c>
      <c r="D161" s="239">
        <f t="shared" ref="D161:G161" si="33">IF(D175=0,0,1000*(D159/D175))</f>
        <v>-323.65519545606537</v>
      </c>
      <c r="E161" s="239">
        <f t="shared" si="33"/>
        <v>0</v>
      </c>
      <c r="F161" s="239">
        <f t="shared" si="33"/>
        <v>-257.46849754727572</v>
      </c>
      <c r="G161" s="239">
        <f t="shared" si="33"/>
        <v>0</v>
      </c>
    </row>
    <row r="162" spans="1:7">
      <c r="A162" s="236" t="s">
        <v>343</v>
      </c>
      <c r="B162" s="237"/>
      <c r="C162" s="237" t="s">
        <v>344</v>
      </c>
      <c r="D162" s="238">
        <f t="shared" ref="D162:G162" si="34">IF((D22+D23+D65+D66)=0,0,D158/(D22+D23+D65+D66))</f>
        <v>0.43191994058991889</v>
      </c>
      <c r="E162" s="238">
        <f t="shared" si="34"/>
        <v>0</v>
      </c>
      <c r="F162" s="238">
        <f t="shared" si="34"/>
        <v>0.42992853546686588</v>
      </c>
      <c r="G162" s="238">
        <f t="shared" si="34"/>
        <v>0</v>
      </c>
    </row>
    <row r="163" spans="1:7">
      <c r="A163" s="219" t="s">
        <v>345</v>
      </c>
      <c r="B163" s="220"/>
      <c r="C163" s="220" t="s">
        <v>316</v>
      </c>
      <c r="D163" s="218">
        <f t="shared" ref="D163:G163" si="35">D145</f>
        <v>180363</v>
      </c>
      <c r="E163" s="218">
        <f t="shared" si="35"/>
        <v>0</v>
      </c>
      <c r="F163" s="218">
        <f t="shared" si="35"/>
        <v>177252</v>
      </c>
      <c r="G163" s="218">
        <f t="shared" si="35"/>
        <v>0</v>
      </c>
    </row>
    <row r="164" spans="1:7" ht="28">
      <c r="A164" s="222" t="s">
        <v>346</v>
      </c>
      <c r="B164" s="237"/>
      <c r="C164" s="237" t="s">
        <v>347</v>
      </c>
      <c r="D164" s="241">
        <f t="shared" ref="D164:G164" si="36">IF(D178=0,0,D146/D178)</f>
        <v>3.4729831636925723E-2</v>
      </c>
      <c r="E164" s="241">
        <f t="shared" si="36"/>
        <v>0</v>
      </c>
      <c r="F164" s="241">
        <f t="shared" si="36"/>
        <v>6.5850841020800341E-2</v>
      </c>
      <c r="G164" s="241">
        <f t="shared" si="36"/>
        <v>0</v>
      </c>
    </row>
    <row r="165" spans="1:7">
      <c r="A165" s="242" t="s">
        <v>348</v>
      </c>
      <c r="B165" s="243"/>
      <c r="C165" s="243" t="s">
        <v>349</v>
      </c>
      <c r="D165" s="244">
        <f t="shared" ref="D165:G165" si="37">IF(D177=0,0,D180/D177)</f>
        <v>4.1331242102111178E-2</v>
      </c>
      <c r="E165" s="244">
        <f t="shared" si="37"/>
        <v>4.4736315116968621E-2</v>
      </c>
      <c r="F165" s="244">
        <f t="shared" si="37"/>
        <v>4.1907658485777488E-2</v>
      </c>
      <c r="G165" s="244">
        <f t="shared" si="37"/>
        <v>4.708618091532548E-2</v>
      </c>
    </row>
    <row r="166" spans="1:7">
      <c r="A166" s="219" t="s">
        <v>350</v>
      </c>
      <c r="B166" s="220"/>
      <c r="C166" s="220" t="s">
        <v>218</v>
      </c>
      <c r="D166" s="218">
        <f t="shared" ref="D166:G166" si="38">D55</f>
        <v>15431.06</v>
      </c>
      <c r="E166" s="218">
        <f t="shared" si="38"/>
        <v>13940.800000000001</v>
      </c>
      <c r="F166" s="218">
        <f t="shared" si="38"/>
        <v>14354.5</v>
      </c>
      <c r="G166" s="218">
        <f t="shared" si="38"/>
        <v>15173.399999999998</v>
      </c>
    </row>
    <row r="167" spans="1:7">
      <c r="A167" s="236" t="s">
        <v>351</v>
      </c>
      <c r="B167" s="237"/>
      <c r="C167" s="237" t="s">
        <v>352</v>
      </c>
      <c r="D167" s="238">
        <f t="shared" ref="D167:G167" si="39">IF(0=D111,0,(D44+D45+D46+D47+D48)/D111)</f>
        <v>5.6362199208922277E-2</v>
      </c>
      <c r="E167" s="238">
        <f t="shared" si="39"/>
        <v>0</v>
      </c>
      <c r="F167" s="238">
        <f t="shared" si="39"/>
        <v>1.5873806239298734E-2</v>
      </c>
      <c r="G167" s="238">
        <f t="shared" si="39"/>
        <v>0</v>
      </c>
    </row>
    <row r="168" spans="1:7">
      <c r="A168" s="219" t="s">
        <v>353</v>
      </c>
      <c r="B168" s="217"/>
      <c r="C168" s="217" t="s">
        <v>354</v>
      </c>
      <c r="D168" s="218">
        <f t="shared" ref="D168:G168" si="40">D38-D44</f>
        <v>204.29999999999995</v>
      </c>
      <c r="E168" s="218">
        <f t="shared" si="40"/>
        <v>375.5</v>
      </c>
      <c r="F168" s="218">
        <f t="shared" si="40"/>
        <v>270.09999999999991</v>
      </c>
      <c r="G168" s="218">
        <f t="shared" si="40"/>
        <v>524.70000000000005</v>
      </c>
    </row>
    <row r="169" spans="1:7">
      <c r="A169" s="236" t="s">
        <v>355</v>
      </c>
      <c r="B169" s="237"/>
      <c r="C169" s="237" t="s">
        <v>356</v>
      </c>
      <c r="D169" s="221">
        <f t="shared" ref="D169:G169" si="41">IF(D177=0,0,D168/D177)</f>
        <v>5.438741666319699E-4</v>
      </c>
      <c r="E169" s="221">
        <f t="shared" si="41"/>
        <v>9.7027044835280114E-4</v>
      </c>
      <c r="F169" s="221">
        <f t="shared" si="41"/>
        <v>6.9206812041114091E-4</v>
      </c>
      <c r="G169" s="221">
        <f t="shared" si="41"/>
        <v>1.3590173012459862E-3</v>
      </c>
    </row>
    <row r="170" spans="1:7">
      <c r="A170" s="219" t="s">
        <v>357</v>
      </c>
      <c r="B170" s="220"/>
      <c r="C170" s="220" t="s">
        <v>358</v>
      </c>
      <c r="D170" s="218">
        <f t="shared" ref="D170:G170" si="42">SUM(D82:D87)+SUM(D89:D94)</f>
        <v>28784.6</v>
      </c>
      <c r="E170" s="218">
        <f t="shared" si="42"/>
        <v>35743</v>
      </c>
      <c r="F170" s="218">
        <f t="shared" si="42"/>
        <v>28214.400000000001</v>
      </c>
      <c r="G170" s="218">
        <f t="shared" si="42"/>
        <v>34038.5</v>
      </c>
    </row>
    <row r="171" spans="1:7">
      <c r="A171" s="219" t="s">
        <v>359</v>
      </c>
      <c r="B171" s="220"/>
      <c r="C171" s="220" t="s">
        <v>360</v>
      </c>
      <c r="D171" s="239">
        <f t="shared" ref="D171:G171" si="43">SUM(D96:D102)+SUM(D104:D105)</f>
        <v>8515.9</v>
      </c>
      <c r="E171" s="239">
        <f t="shared" si="43"/>
        <v>10471.6</v>
      </c>
      <c r="F171" s="239">
        <f t="shared" si="43"/>
        <v>11638.800000000001</v>
      </c>
      <c r="G171" s="239">
        <f t="shared" si="43"/>
        <v>6795</v>
      </c>
    </row>
    <row r="172" spans="1:7">
      <c r="A172" s="242" t="s">
        <v>361</v>
      </c>
      <c r="B172" s="243"/>
      <c r="C172" s="243" t="s">
        <v>362</v>
      </c>
      <c r="D172" s="244">
        <f t="shared" ref="D172:G172" si="44">IF(D184=0,0,D170/D184)</f>
        <v>7.2682583915020929E-2</v>
      </c>
      <c r="E172" s="244">
        <f t="shared" si="44"/>
        <v>9.014527959841051E-2</v>
      </c>
      <c r="F172" s="244">
        <f t="shared" si="44"/>
        <v>7.169870200099919E-2</v>
      </c>
      <c r="G172" s="244">
        <f t="shared" si="44"/>
        <v>8.6074377709698599E-2</v>
      </c>
    </row>
    <row r="174" spans="1:7">
      <c r="A174" s="247" t="s">
        <v>363</v>
      </c>
      <c r="B174" s="248"/>
      <c r="C174" s="247"/>
      <c r="D174" s="161"/>
      <c r="E174" s="161"/>
      <c r="F174" s="161"/>
      <c r="G174" s="161"/>
    </row>
    <row r="175" spans="1:7" s="91" customFormat="1">
      <c r="A175" s="248" t="s">
        <v>364</v>
      </c>
      <c r="B175" s="248"/>
      <c r="C175" s="248" t="s">
        <v>365</v>
      </c>
      <c r="D175" s="245">
        <v>53874</v>
      </c>
      <c r="E175" s="246">
        <v>54136</v>
      </c>
      <c r="F175" s="246">
        <v>54837</v>
      </c>
      <c r="G175" s="246">
        <v>54434</v>
      </c>
    </row>
    <row r="176" spans="1:7">
      <c r="A176" s="247" t="s">
        <v>366</v>
      </c>
      <c r="B176" s="248"/>
      <c r="C176" s="248"/>
      <c r="D176" s="248"/>
      <c r="E176" s="248"/>
      <c r="F176" s="248"/>
      <c r="G176" s="248"/>
    </row>
    <row r="177" spans="1:7">
      <c r="A177" s="248" t="s">
        <v>367</v>
      </c>
      <c r="B177" s="248"/>
      <c r="C177" s="248" t="s">
        <v>368</v>
      </c>
      <c r="D177" s="249">
        <f t="shared" ref="D177:G177" si="45">SUM(D22:D32)+SUM(D44:D53)+SUM(D65:D72)+D75</f>
        <v>375638.3600000001</v>
      </c>
      <c r="E177" s="249">
        <f t="shared" si="45"/>
        <v>387005.5</v>
      </c>
      <c r="F177" s="249">
        <f t="shared" si="45"/>
        <v>390279.50000000006</v>
      </c>
      <c r="G177" s="249">
        <f t="shared" si="45"/>
        <v>386087.8</v>
      </c>
    </row>
    <row r="178" spans="1:7">
      <c r="A178" s="248" t="s">
        <v>369</v>
      </c>
      <c r="B178" s="248"/>
      <c r="C178" s="248" t="s">
        <v>370</v>
      </c>
      <c r="D178" s="249">
        <f t="shared" ref="D178:G178" si="46">D78-D17-D20-D59-D63-D64</f>
        <v>384027.19999999995</v>
      </c>
      <c r="E178" s="249">
        <f t="shared" si="46"/>
        <v>378129.6</v>
      </c>
      <c r="F178" s="249">
        <f t="shared" si="46"/>
        <v>382017.89999999997</v>
      </c>
      <c r="G178" s="249">
        <f t="shared" si="46"/>
        <v>379523.3</v>
      </c>
    </row>
    <row r="179" spans="1:7">
      <c r="A179" s="248"/>
      <c r="B179" s="248"/>
      <c r="C179" s="248" t="s">
        <v>371</v>
      </c>
      <c r="D179" s="249">
        <f t="shared" ref="D179:G179" si="47">D178+D170</f>
        <v>412811.79999999993</v>
      </c>
      <c r="E179" s="249">
        <f t="shared" si="47"/>
        <v>413872.6</v>
      </c>
      <c r="F179" s="249">
        <f t="shared" si="47"/>
        <v>410232.3</v>
      </c>
      <c r="G179" s="249">
        <f t="shared" si="47"/>
        <v>413561.8</v>
      </c>
    </row>
    <row r="180" spans="1:7">
      <c r="A180" s="248" t="s">
        <v>372</v>
      </c>
      <c r="B180" s="248"/>
      <c r="C180" s="248" t="s">
        <v>373</v>
      </c>
      <c r="D180" s="249">
        <f t="shared" ref="D180:G180" si="48">D38-D44+D8+D9+D10+D16-D33</f>
        <v>15525.599999999999</v>
      </c>
      <c r="E180" s="249">
        <f t="shared" si="48"/>
        <v>17313.2</v>
      </c>
      <c r="F180" s="249">
        <f t="shared" si="48"/>
        <v>16355.699999999999</v>
      </c>
      <c r="G180" s="249">
        <f t="shared" si="48"/>
        <v>18179.400000000001</v>
      </c>
    </row>
    <row r="181" spans="1:7" ht="27.5" customHeight="1">
      <c r="A181" s="250" t="s">
        <v>374</v>
      </c>
      <c r="B181" s="251"/>
      <c r="C181" s="251" t="s">
        <v>375</v>
      </c>
      <c r="D181" s="252">
        <f t="shared" ref="D181:G181" si="49">D22+D23+D24+D25+D26+D29+SUM(D44:D47)+SUM(D49:D53)-D54+D32-D33+SUM(D65:D70)+D72</f>
        <v>362269.56000000006</v>
      </c>
      <c r="E181" s="252">
        <f t="shared" si="49"/>
        <v>371957.79999999993</v>
      </c>
      <c r="F181" s="252">
        <f t="shared" si="49"/>
        <v>378420.9</v>
      </c>
      <c r="G181" s="252">
        <f t="shared" si="49"/>
        <v>373345.69999999995</v>
      </c>
    </row>
    <row r="182" spans="1:7">
      <c r="A182" s="251" t="s">
        <v>376</v>
      </c>
      <c r="B182" s="251"/>
      <c r="C182" s="251" t="s">
        <v>377</v>
      </c>
      <c r="D182" s="252">
        <f t="shared" ref="D182:G182" si="50">D181+D171</f>
        <v>370785.46000000008</v>
      </c>
      <c r="E182" s="252">
        <f t="shared" si="50"/>
        <v>382429.39999999991</v>
      </c>
      <c r="F182" s="252">
        <f t="shared" si="50"/>
        <v>390059.7</v>
      </c>
      <c r="G182" s="252">
        <f t="shared" si="50"/>
        <v>380140.69999999995</v>
      </c>
    </row>
    <row r="183" spans="1:7">
      <c r="A183" s="251" t="s">
        <v>378</v>
      </c>
      <c r="B183" s="251"/>
      <c r="C183" s="251" t="s">
        <v>379</v>
      </c>
      <c r="D183" s="252">
        <f t="shared" ref="D183" si="51">D4+D5-D7+D38+D39+D40+D41+D43+D13-D16+D57+D58+D60+D62</f>
        <v>367247</v>
      </c>
      <c r="E183" s="252">
        <f>E4+E5-E7+E38+E39+E40+E41+E43+E13-E16+E57+E58+E60+E62</f>
        <v>360761.4</v>
      </c>
      <c r="F183" s="252">
        <f>F4+F5-F7+F38+F39+F40+F41+F43+F13-F16+F57+F58+F60+F62</f>
        <v>365299.00000000006</v>
      </c>
      <c r="G183" s="252">
        <f>G4+G5-G7+G38+G39+G40+G41+G43+G13-G16+G57+G58+G60+G62</f>
        <v>361415.99999999994</v>
      </c>
    </row>
    <row r="184" spans="1:7">
      <c r="A184" s="251" t="s">
        <v>380</v>
      </c>
      <c r="B184" s="251"/>
      <c r="C184" s="251" t="s">
        <v>381</v>
      </c>
      <c r="D184" s="252">
        <f t="shared" ref="D184:G184" si="52">D183+D170</f>
        <v>396031.6</v>
      </c>
      <c r="E184" s="252">
        <f t="shared" si="52"/>
        <v>396504.4</v>
      </c>
      <c r="F184" s="252">
        <f t="shared" si="52"/>
        <v>393513.40000000008</v>
      </c>
      <c r="G184" s="252">
        <f t="shared" si="52"/>
        <v>395454.49999999994</v>
      </c>
    </row>
    <row r="185" spans="1:7">
      <c r="A185" s="251"/>
      <c r="B185" s="251"/>
      <c r="C185" s="251" t="s">
        <v>382</v>
      </c>
      <c r="D185" s="252">
        <f t="shared" ref="D185:G186" si="53">D181-D183</f>
        <v>-4977.4399999999441</v>
      </c>
      <c r="E185" s="252">
        <f t="shared" si="53"/>
        <v>11196.399999999907</v>
      </c>
      <c r="F185" s="252">
        <f t="shared" si="53"/>
        <v>13121.899999999965</v>
      </c>
      <c r="G185" s="252">
        <f t="shared" si="53"/>
        <v>11929.700000000012</v>
      </c>
    </row>
    <row r="186" spans="1:7">
      <c r="A186" s="251"/>
      <c r="B186" s="251"/>
      <c r="C186" s="251" t="s">
        <v>383</v>
      </c>
      <c r="D186" s="252">
        <f t="shared" si="53"/>
        <v>-25246.139999999898</v>
      </c>
      <c r="E186" s="252">
        <f t="shared" si="53"/>
        <v>-14075.000000000116</v>
      </c>
      <c r="F186" s="252">
        <f t="shared" si="53"/>
        <v>-3453.7000000000698</v>
      </c>
      <c r="G186" s="252">
        <f t="shared" si="53"/>
        <v>-15313.799999999988</v>
      </c>
    </row>
  </sheetData>
  <sheetProtection selectLockedCells="1" sort="0" autoFilter="0" pivotTables="0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8" man="1"/>
    <brk id="148" max="8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43"/>
  <sheetViews>
    <sheetView view="pageLayout" zoomScaleNormal="100" workbookViewId="0">
      <selection activeCell="D3" sqref="D3"/>
    </sheetView>
  </sheetViews>
  <sheetFormatPr baseColWidth="10" defaultRowHeight="13"/>
  <cols>
    <col min="2" max="2" width="52.5" bestFit="1" customWidth="1"/>
    <col min="8" max="8" width="11.5" style="49"/>
  </cols>
  <sheetData>
    <row r="1" spans="1:9">
      <c r="A1" s="3" t="s">
        <v>5</v>
      </c>
      <c r="B1" s="4" t="s">
        <v>142</v>
      </c>
      <c r="C1" s="43" t="s">
        <v>7</v>
      </c>
      <c r="D1" s="5" t="s">
        <v>8</v>
      </c>
      <c r="E1" s="43" t="s">
        <v>9</v>
      </c>
      <c r="F1" s="5" t="s">
        <v>8</v>
      </c>
      <c r="G1" s="43" t="s">
        <v>7</v>
      </c>
      <c r="H1" s="5" t="s">
        <v>8</v>
      </c>
      <c r="I1" s="44" t="s">
        <v>9</v>
      </c>
    </row>
    <row r="2" spans="1:9">
      <c r="A2" s="52">
        <v>0</v>
      </c>
      <c r="B2" s="55">
        <v>0</v>
      </c>
      <c r="C2" s="47">
        <v>2014</v>
      </c>
      <c r="D2" s="2" t="s">
        <v>10</v>
      </c>
      <c r="E2" s="47">
        <v>2015</v>
      </c>
      <c r="F2" s="2" t="s">
        <v>10</v>
      </c>
      <c r="G2" s="47">
        <v>2015</v>
      </c>
      <c r="H2" s="2" t="s">
        <v>10</v>
      </c>
      <c r="I2" s="48">
        <v>2016</v>
      </c>
    </row>
    <row r="3" spans="1:9">
      <c r="A3" s="52">
        <v>0</v>
      </c>
      <c r="B3" s="1" t="s">
        <v>11</v>
      </c>
      <c r="C3" s="54" t="s">
        <v>0</v>
      </c>
      <c r="D3" s="53">
        <v>0</v>
      </c>
      <c r="E3" s="54" t="s">
        <v>143</v>
      </c>
      <c r="F3" s="55">
        <v>0</v>
      </c>
      <c r="G3" s="54" t="s">
        <v>12</v>
      </c>
      <c r="H3" s="53">
        <v>0</v>
      </c>
      <c r="I3" s="50" t="s">
        <v>12</v>
      </c>
    </row>
    <row r="4" spans="1:9">
      <c r="A4" s="3" t="s">
        <v>13</v>
      </c>
      <c r="B4" s="7" t="s">
        <v>14</v>
      </c>
      <c r="C4" s="8">
        <v>21538.799999999999</v>
      </c>
      <c r="D4" s="9">
        <v>4.2235407729307145E-2</v>
      </c>
      <c r="E4" s="8">
        <v>22448.5</v>
      </c>
      <c r="F4" s="9">
        <v>1.0018486758580816E-2</v>
      </c>
      <c r="G4" s="8">
        <v>22673.4</v>
      </c>
      <c r="H4" s="66">
        <v>4.7505005865904476E-2</v>
      </c>
      <c r="I4" s="10">
        <v>23750.5</v>
      </c>
    </row>
    <row r="5" spans="1:9">
      <c r="A5" s="11" t="s">
        <v>15</v>
      </c>
      <c r="B5" s="1" t="s">
        <v>16</v>
      </c>
      <c r="C5" s="12">
        <v>11630.6</v>
      </c>
      <c r="D5" s="13">
        <v>7.8362251302598288E-2</v>
      </c>
      <c r="E5" s="12">
        <v>12542</v>
      </c>
      <c r="F5" s="13">
        <v>8.8662095359591769E-2</v>
      </c>
      <c r="G5" s="12">
        <v>13654</v>
      </c>
      <c r="H5" s="37">
        <v>0.1886773106781896</v>
      </c>
      <c r="I5" s="14">
        <v>16230.2</v>
      </c>
    </row>
    <row r="6" spans="1:9">
      <c r="A6" s="11" t="s">
        <v>17</v>
      </c>
      <c r="B6" s="1" t="s">
        <v>18</v>
      </c>
      <c r="C6" s="12">
        <v>1217.8</v>
      </c>
      <c r="D6" s="13">
        <v>1.0610937756610281</v>
      </c>
      <c r="E6" s="12">
        <v>2510</v>
      </c>
      <c r="F6" s="13">
        <v>0.19278884462151399</v>
      </c>
      <c r="G6" s="12">
        <v>2993.9</v>
      </c>
      <c r="H6" s="37">
        <v>0.57520291258893075</v>
      </c>
      <c r="I6" s="14">
        <v>4716</v>
      </c>
    </row>
    <row r="7" spans="1:9">
      <c r="A7" s="11" t="s">
        <v>19</v>
      </c>
      <c r="B7" s="1" t="s">
        <v>20</v>
      </c>
      <c r="C7" s="12">
        <v>17.7</v>
      </c>
      <c r="D7" s="13">
        <v>1.0338983050847459</v>
      </c>
      <c r="E7" s="12">
        <v>36</v>
      </c>
      <c r="F7" s="13">
        <v>-1</v>
      </c>
      <c r="G7" s="12">
        <v>0</v>
      </c>
      <c r="H7" s="37" t="s">
        <v>33</v>
      </c>
      <c r="I7" s="14">
        <v>0</v>
      </c>
    </row>
    <row r="8" spans="1:9">
      <c r="A8" s="11" t="s">
        <v>21</v>
      </c>
      <c r="B8" s="1" t="s">
        <v>22</v>
      </c>
      <c r="C8" s="12">
        <v>0</v>
      </c>
      <c r="D8" s="13" t="s">
        <v>33</v>
      </c>
      <c r="E8" s="12">
        <v>0</v>
      </c>
      <c r="F8" s="13" t="s">
        <v>33</v>
      </c>
      <c r="G8" s="12">
        <v>0</v>
      </c>
      <c r="H8" s="37" t="s">
        <v>33</v>
      </c>
      <c r="I8" s="14">
        <v>0</v>
      </c>
    </row>
    <row r="9" spans="1:9">
      <c r="A9" s="11" t="s">
        <v>23</v>
      </c>
      <c r="B9" s="1" t="s">
        <v>24</v>
      </c>
      <c r="C9" s="12">
        <v>11234.9</v>
      </c>
      <c r="D9" s="13">
        <v>-0.76920132800469965</v>
      </c>
      <c r="E9" s="12">
        <v>2593</v>
      </c>
      <c r="F9" s="13">
        <v>0.40289240262244497</v>
      </c>
      <c r="G9" s="12">
        <v>3637.7</v>
      </c>
      <c r="H9" s="37">
        <v>3.2795447672980232E-2</v>
      </c>
      <c r="I9" s="14">
        <v>3757</v>
      </c>
    </row>
    <row r="10" spans="1:9">
      <c r="A10" s="11" t="s">
        <v>25</v>
      </c>
      <c r="B10" s="1" t="s">
        <v>26</v>
      </c>
      <c r="C10" s="12">
        <v>102512.9</v>
      </c>
      <c r="D10" s="13">
        <v>-2.2090878318728583E-2</v>
      </c>
      <c r="E10" s="12">
        <v>100248.3</v>
      </c>
      <c r="F10" s="13">
        <v>-1.4028168058710251E-2</v>
      </c>
      <c r="G10" s="12">
        <v>98842</v>
      </c>
      <c r="H10" s="37">
        <v>-3.0540660852673936E-2</v>
      </c>
      <c r="I10" s="14">
        <v>95823.3</v>
      </c>
    </row>
    <row r="11" spans="1:9">
      <c r="A11" s="11" t="s">
        <v>27</v>
      </c>
      <c r="B11" s="1" t="s">
        <v>28</v>
      </c>
      <c r="C11" s="12">
        <v>17569.8</v>
      </c>
      <c r="D11" s="37">
        <v>-3.8384045350544564E-2</v>
      </c>
      <c r="E11" s="12">
        <v>16895.400000000001</v>
      </c>
      <c r="F11" s="13">
        <v>0.70754761651100284</v>
      </c>
      <c r="G11" s="12">
        <v>28849.7</v>
      </c>
      <c r="H11" s="37">
        <v>-0.12222657427980189</v>
      </c>
      <c r="I11" s="14">
        <v>25323.5</v>
      </c>
    </row>
    <row r="12" spans="1:9">
      <c r="A12" s="11" t="s">
        <v>29</v>
      </c>
      <c r="B12" s="1" t="s">
        <v>30</v>
      </c>
      <c r="C12" s="12">
        <v>530.5</v>
      </c>
      <c r="D12" s="37">
        <v>2.8275212064090482E-3</v>
      </c>
      <c r="E12" s="12">
        <v>532</v>
      </c>
      <c r="F12" s="13">
        <v>15.608082706766917</v>
      </c>
      <c r="G12" s="12">
        <v>8835.5</v>
      </c>
      <c r="H12" s="37">
        <v>-9.903231282892876E-3</v>
      </c>
      <c r="I12" s="14">
        <v>8748</v>
      </c>
    </row>
    <row r="13" spans="1:9">
      <c r="A13" s="11" t="s">
        <v>31</v>
      </c>
      <c r="B13" s="1" t="s">
        <v>32</v>
      </c>
      <c r="C13" s="12">
        <v>9827.4</v>
      </c>
      <c r="D13" s="37">
        <v>-1.8763864297779639E-2</v>
      </c>
      <c r="E13" s="12">
        <v>9643</v>
      </c>
      <c r="F13" s="37">
        <v>-1</v>
      </c>
      <c r="G13" s="12">
        <v>0</v>
      </c>
      <c r="H13" s="37" t="s">
        <v>33</v>
      </c>
      <c r="I13" s="14">
        <v>0</v>
      </c>
    </row>
    <row r="14" spans="1:9">
      <c r="A14" s="11" t="s">
        <v>34</v>
      </c>
      <c r="B14" s="1" t="s">
        <v>35</v>
      </c>
      <c r="C14" s="12">
        <v>0</v>
      </c>
      <c r="D14" s="37" t="s">
        <v>33</v>
      </c>
      <c r="E14" s="12">
        <v>0</v>
      </c>
      <c r="F14" s="13" t="s">
        <v>33</v>
      </c>
      <c r="G14" s="12">
        <v>0</v>
      </c>
      <c r="H14" s="37" t="s">
        <v>33</v>
      </c>
      <c r="I14" s="14">
        <v>0</v>
      </c>
    </row>
    <row r="15" spans="1:9">
      <c r="A15" s="11" t="s">
        <v>36</v>
      </c>
      <c r="B15" s="1" t="s">
        <v>37</v>
      </c>
      <c r="C15" s="12">
        <v>0</v>
      </c>
      <c r="D15" s="37" t="s">
        <v>33</v>
      </c>
      <c r="E15" s="12">
        <v>0</v>
      </c>
      <c r="F15" s="13" t="s">
        <v>33</v>
      </c>
      <c r="G15" s="12">
        <v>0</v>
      </c>
      <c r="H15" s="37" t="s">
        <v>33</v>
      </c>
      <c r="I15" s="14">
        <v>0</v>
      </c>
    </row>
    <row r="16" spans="1:9">
      <c r="A16" s="11" t="s">
        <v>38</v>
      </c>
      <c r="B16" s="1" t="s">
        <v>39</v>
      </c>
      <c r="C16" s="12">
        <v>270</v>
      </c>
      <c r="D16" s="37">
        <v>0</v>
      </c>
      <c r="E16" s="12">
        <v>270</v>
      </c>
      <c r="F16" s="37">
        <v>-1</v>
      </c>
      <c r="G16" s="12">
        <v>0</v>
      </c>
      <c r="H16" s="37" t="s">
        <v>33</v>
      </c>
      <c r="I16" s="14">
        <v>0</v>
      </c>
    </row>
    <row r="17" spans="1:9">
      <c r="A17" s="11" t="s">
        <v>40</v>
      </c>
      <c r="B17" s="1" t="s">
        <v>41</v>
      </c>
      <c r="C17" s="12">
        <v>3894.4</v>
      </c>
      <c r="D17" s="13">
        <v>-0.69764276910435497</v>
      </c>
      <c r="E17" s="12">
        <v>1177.5</v>
      </c>
      <c r="F17" s="13">
        <v>0.2457749469214438</v>
      </c>
      <c r="G17" s="12">
        <v>1466.9</v>
      </c>
      <c r="H17" s="37">
        <v>-0.69561660644897405</v>
      </c>
      <c r="I17" s="14">
        <v>446.5</v>
      </c>
    </row>
    <row r="18" spans="1:9">
      <c r="A18" s="11">
        <v>389</v>
      </c>
      <c r="B18" s="1" t="s">
        <v>42</v>
      </c>
      <c r="C18" s="12">
        <v>0</v>
      </c>
      <c r="D18" s="37" t="s">
        <v>33</v>
      </c>
      <c r="E18" s="12">
        <v>0</v>
      </c>
      <c r="F18" s="37" t="s">
        <v>33</v>
      </c>
      <c r="G18" s="12">
        <v>4300</v>
      </c>
      <c r="H18" s="37">
        <v>-1</v>
      </c>
      <c r="I18" s="14">
        <v>0</v>
      </c>
    </row>
    <row r="19" spans="1:9">
      <c r="A19" s="15" t="s">
        <v>43</v>
      </c>
      <c r="B19" s="16" t="s">
        <v>44</v>
      </c>
      <c r="C19" s="17">
        <v>7280.1</v>
      </c>
      <c r="D19" s="37">
        <v>-4.0123075232483117E-2</v>
      </c>
      <c r="E19" s="17">
        <v>6988</v>
      </c>
      <c r="F19" s="37">
        <v>0.11744419004006866</v>
      </c>
      <c r="G19" s="17">
        <v>7808.7</v>
      </c>
      <c r="H19" s="37">
        <v>2.6803437191850139E-2</v>
      </c>
      <c r="I19" s="18">
        <v>8018</v>
      </c>
    </row>
    <row r="20" spans="1:9">
      <c r="A20" s="19" t="s">
        <v>45</v>
      </c>
      <c r="B20" s="20" t="s">
        <v>46</v>
      </c>
      <c r="C20" s="21">
        <v>158109.39999999997</v>
      </c>
      <c r="D20" s="22">
        <v>-7.637812805563729E-2</v>
      </c>
      <c r="E20" s="21">
        <v>146033.29999999999</v>
      </c>
      <c r="F20" s="22">
        <v>4.3479124281927642E-2</v>
      </c>
      <c r="G20" s="21">
        <v>152382.70000000001</v>
      </c>
      <c r="H20" s="67">
        <v>-2.8593797064889986E-2</v>
      </c>
      <c r="I20" s="23">
        <v>148025.5</v>
      </c>
    </row>
    <row r="21" spans="1:9">
      <c r="A21" s="24" t="s">
        <v>47</v>
      </c>
      <c r="B21" s="25" t="s">
        <v>48</v>
      </c>
      <c r="C21" s="8">
        <v>42730.6</v>
      </c>
      <c r="D21" s="13">
        <v>-0.14286249198466669</v>
      </c>
      <c r="E21" s="8">
        <v>36626</v>
      </c>
      <c r="F21" s="13">
        <v>7.0299787036531503E-2</v>
      </c>
      <c r="G21" s="8">
        <v>39200.800000000003</v>
      </c>
      <c r="H21" s="37">
        <v>-6.6013958898798047E-2</v>
      </c>
      <c r="I21" s="10">
        <v>36613</v>
      </c>
    </row>
    <row r="22" spans="1:9">
      <c r="A22" s="6" t="s">
        <v>49</v>
      </c>
      <c r="B22" s="26" t="s">
        <v>50</v>
      </c>
      <c r="C22" s="12">
        <v>7333.1</v>
      </c>
      <c r="D22" s="13">
        <v>5.0033410153959394E-2</v>
      </c>
      <c r="E22" s="12">
        <v>7700</v>
      </c>
      <c r="F22" s="13">
        <v>0.41053246753246758</v>
      </c>
      <c r="G22" s="12">
        <v>10861.1</v>
      </c>
      <c r="H22" s="37">
        <v>-0.16177919363600374</v>
      </c>
      <c r="I22" s="14">
        <v>9104</v>
      </c>
    </row>
    <row r="23" spans="1:9">
      <c r="A23" s="6" t="s">
        <v>51</v>
      </c>
      <c r="B23" s="26" t="s">
        <v>52</v>
      </c>
      <c r="C23" s="12">
        <v>12317.9</v>
      </c>
      <c r="D23" s="13">
        <v>6.3087052176101471E-2</v>
      </c>
      <c r="E23" s="12">
        <v>13095</v>
      </c>
      <c r="F23" s="13">
        <v>-5.5311187476135872E-2</v>
      </c>
      <c r="G23" s="12">
        <v>12370.7</v>
      </c>
      <c r="H23" s="37">
        <v>-5.0013337967940434E-2</v>
      </c>
      <c r="I23" s="14">
        <v>11752</v>
      </c>
    </row>
    <row r="24" spans="1:9">
      <c r="A24" s="6" t="s">
        <v>53</v>
      </c>
      <c r="B24" s="26" t="s">
        <v>54</v>
      </c>
      <c r="C24" s="12">
        <v>13050.7</v>
      </c>
      <c r="D24" s="13">
        <v>-2.0742182411671459E-2</v>
      </c>
      <c r="E24" s="12">
        <v>12780</v>
      </c>
      <c r="F24" s="13">
        <v>0.3093348982785602</v>
      </c>
      <c r="G24" s="12">
        <v>16733.3</v>
      </c>
      <c r="H24" s="37">
        <v>-0.15560588766113076</v>
      </c>
      <c r="I24" s="14">
        <v>14129.5</v>
      </c>
    </row>
    <row r="25" spans="1:9">
      <c r="A25" s="6" t="s">
        <v>55</v>
      </c>
      <c r="B25" s="26" t="s">
        <v>56</v>
      </c>
      <c r="C25" s="12">
        <v>64046.400000000001</v>
      </c>
      <c r="D25" s="13">
        <v>-1.9960528616752876E-2</v>
      </c>
      <c r="E25" s="12">
        <v>62768</v>
      </c>
      <c r="F25" s="13">
        <v>0.11064395870507256</v>
      </c>
      <c r="G25" s="12">
        <v>69712.899999999994</v>
      </c>
      <c r="H25" s="37">
        <v>-6.1888115399015023E-2</v>
      </c>
      <c r="I25" s="14">
        <v>65398.5</v>
      </c>
    </row>
    <row r="26" spans="1:9">
      <c r="A26" s="45" t="s">
        <v>57</v>
      </c>
      <c r="B26" s="26" t="s">
        <v>58</v>
      </c>
      <c r="C26" s="12">
        <v>12047.9</v>
      </c>
      <c r="D26" s="13">
        <v>-0.89815652520356248</v>
      </c>
      <c r="E26" s="12">
        <v>1227</v>
      </c>
      <c r="F26" s="13">
        <v>-0.7214343928280359</v>
      </c>
      <c r="G26" s="12">
        <v>341.8</v>
      </c>
      <c r="H26" s="37">
        <v>2.0485664131070802</v>
      </c>
      <c r="I26" s="14">
        <v>1042</v>
      </c>
    </row>
    <row r="27" spans="1:9">
      <c r="A27" s="63">
        <v>489</v>
      </c>
      <c r="B27" s="26" t="s">
        <v>59</v>
      </c>
      <c r="C27" s="12">
        <v>0</v>
      </c>
      <c r="D27" s="13" t="s">
        <v>33</v>
      </c>
      <c r="E27" s="12">
        <v>0</v>
      </c>
      <c r="F27" s="13" t="s">
        <v>33</v>
      </c>
      <c r="G27" s="12">
        <v>52</v>
      </c>
      <c r="H27" s="37">
        <v>-1</v>
      </c>
      <c r="I27" s="14">
        <v>0</v>
      </c>
    </row>
    <row r="28" spans="1:9">
      <c r="A28" s="27" t="s">
        <v>60</v>
      </c>
      <c r="B28" s="28" t="s">
        <v>61</v>
      </c>
      <c r="C28" s="17">
        <v>7280.1</v>
      </c>
      <c r="D28" s="13">
        <v>-4.0123075232483117E-2</v>
      </c>
      <c r="E28" s="17">
        <v>6988</v>
      </c>
      <c r="F28" s="13">
        <v>0.11744419004006866</v>
      </c>
      <c r="G28" s="17">
        <v>7808.7</v>
      </c>
      <c r="H28" s="37">
        <v>2.6803437191850139E-2</v>
      </c>
      <c r="I28" s="18">
        <v>8018</v>
      </c>
    </row>
    <row r="29" spans="1:9">
      <c r="A29" s="39" t="s">
        <v>62</v>
      </c>
      <c r="B29" s="40" t="s">
        <v>63</v>
      </c>
      <c r="C29" s="21">
        <v>158806.70000000001</v>
      </c>
      <c r="D29" s="41">
        <v>-0.1109694993976955</v>
      </c>
      <c r="E29" s="21">
        <v>141184</v>
      </c>
      <c r="F29" s="41">
        <v>0.11259986967361732</v>
      </c>
      <c r="G29" s="21">
        <v>157081.29999999999</v>
      </c>
      <c r="H29" s="68">
        <v>-7.0182128617473818E-2</v>
      </c>
      <c r="I29" s="23">
        <v>146057</v>
      </c>
    </row>
    <row r="30" spans="1:9">
      <c r="A30" s="38" t="s">
        <v>64</v>
      </c>
      <c r="B30" s="29" t="s">
        <v>65</v>
      </c>
      <c r="C30" s="30">
        <v>697.30000000004657</v>
      </c>
      <c r="D30" s="56">
        <v>0</v>
      </c>
      <c r="E30" s="30">
        <v>-4849.2999999999884</v>
      </c>
      <c r="F30" s="56">
        <v>0</v>
      </c>
      <c r="G30" s="30">
        <v>4698.5999999999767</v>
      </c>
      <c r="H30" s="69">
        <v>0</v>
      </c>
      <c r="I30" s="31">
        <v>-1968.5</v>
      </c>
    </row>
    <row r="31" spans="1:9">
      <c r="A31" s="60">
        <v>0</v>
      </c>
      <c r="B31" s="25" t="s">
        <v>66</v>
      </c>
      <c r="C31" s="58">
        <v>0</v>
      </c>
      <c r="D31" s="55">
        <v>0</v>
      </c>
      <c r="E31" s="58">
        <v>0</v>
      </c>
      <c r="F31" s="55">
        <v>0</v>
      </c>
      <c r="G31" s="58">
        <v>0</v>
      </c>
      <c r="H31" s="70">
        <v>0</v>
      </c>
      <c r="I31" s="59">
        <v>0</v>
      </c>
    </row>
    <row r="32" spans="1:9">
      <c r="A32" s="45" t="s">
        <v>67</v>
      </c>
      <c r="B32" s="26" t="s">
        <v>68</v>
      </c>
      <c r="C32" s="12">
        <v>2731.1</v>
      </c>
      <c r="D32" s="13">
        <v>0.50269122331661242</v>
      </c>
      <c r="E32" s="12">
        <v>4104</v>
      </c>
      <c r="F32" s="13">
        <v>1.5919346978557503</v>
      </c>
      <c r="G32" s="12">
        <v>10637.3</v>
      </c>
      <c r="H32" s="37">
        <v>0.67006665225198137</v>
      </c>
      <c r="I32" s="14">
        <v>17765</v>
      </c>
    </row>
    <row r="33" spans="1:9">
      <c r="A33" s="45" t="s">
        <v>69</v>
      </c>
      <c r="B33" s="26" t="s">
        <v>70</v>
      </c>
      <c r="C33" s="12">
        <v>0</v>
      </c>
      <c r="D33" s="13" t="s">
        <v>33</v>
      </c>
      <c r="E33" s="12">
        <v>0</v>
      </c>
      <c r="F33" s="13" t="s">
        <v>33</v>
      </c>
      <c r="G33" s="12">
        <v>69.5</v>
      </c>
      <c r="H33" s="37">
        <v>-1</v>
      </c>
      <c r="I33" s="14">
        <v>0</v>
      </c>
    </row>
    <row r="34" spans="1:9">
      <c r="A34" s="6" t="s">
        <v>71</v>
      </c>
      <c r="B34" s="26" t="s">
        <v>72</v>
      </c>
      <c r="C34" s="12">
        <v>12926.8</v>
      </c>
      <c r="D34" s="13">
        <v>0.44660704892162029</v>
      </c>
      <c r="E34" s="12">
        <v>18700</v>
      </c>
      <c r="F34" s="13">
        <v>-0.85993582887700526</v>
      </c>
      <c r="G34" s="12">
        <v>2619.1999999999998</v>
      </c>
      <c r="H34" s="37">
        <v>0.22556505803298726</v>
      </c>
      <c r="I34" s="14">
        <v>3210</v>
      </c>
    </row>
    <row r="35" spans="1:9">
      <c r="A35" s="39" t="s">
        <v>73</v>
      </c>
      <c r="B35" s="40" t="s">
        <v>74</v>
      </c>
      <c r="C35" s="21">
        <v>15657.9</v>
      </c>
      <c r="D35" s="42">
        <v>0.45638942642372227</v>
      </c>
      <c r="E35" s="21">
        <v>22804</v>
      </c>
      <c r="F35" s="42">
        <v>-0.41562883704613224</v>
      </c>
      <c r="G35" s="21">
        <v>13326</v>
      </c>
      <c r="H35" s="68">
        <v>0.57399069488218524</v>
      </c>
      <c r="I35" s="23">
        <v>20975</v>
      </c>
    </row>
    <row r="36" spans="1:9">
      <c r="A36" s="6" t="s">
        <v>75</v>
      </c>
      <c r="B36" s="26" t="s">
        <v>76</v>
      </c>
      <c r="C36" s="12">
        <v>0</v>
      </c>
      <c r="D36" s="13" t="s">
        <v>33</v>
      </c>
      <c r="E36" s="12">
        <v>0</v>
      </c>
      <c r="F36" s="13" t="s">
        <v>33</v>
      </c>
      <c r="G36" s="12">
        <v>0</v>
      </c>
      <c r="H36" s="37" t="s">
        <v>33</v>
      </c>
      <c r="I36" s="14">
        <v>0</v>
      </c>
    </row>
    <row r="37" spans="1:9">
      <c r="A37" s="6" t="s">
        <v>77</v>
      </c>
      <c r="B37" s="26" t="s">
        <v>78</v>
      </c>
      <c r="C37" s="12">
        <v>13424</v>
      </c>
      <c r="D37" s="13">
        <v>-0.53084028605482714</v>
      </c>
      <c r="E37" s="12">
        <v>6298</v>
      </c>
      <c r="F37" s="13">
        <v>-0.49798348682121313</v>
      </c>
      <c r="G37" s="12">
        <v>3161.7</v>
      </c>
      <c r="H37" s="37">
        <v>-0.31049751715849067</v>
      </c>
      <c r="I37" s="14">
        <v>2180</v>
      </c>
    </row>
    <row r="38" spans="1:9">
      <c r="A38" s="39" t="s">
        <v>79</v>
      </c>
      <c r="B38" s="40" t="s">
        <v>80</v>
      </c>
      <c r="C38" s="21">
        <v>13424</v>
      </c>
      <c r="D38" s="42">
        <v>-0.53084028605482714</v>
      </c>
      <c r="E38" s="21">
        <v>6298</v>
      </c>
      <c r="F38" s="42">
        <v>-0.49798348682121313</v>
      </c>
      <c r="G38" s="21">
        <v>3161.7</v>
      </c>
      <c r="H38" s="68">
        <v>-0.31049751715849067</v>
      </c>
      <c r="I38" s="23">
        <v>2180</v>
      </c>
    </row>
    <row r="39" spans="1:9">
      <c r="A39" s="32" t="s">
        <v>81</v>
      </c>
      <c r="B39" s="33" t="s">
        <v>1</v>
      </c>
      <c r="C39" s="34">
        <v>2233.8999999999996</v>
      </c>
      <c r="D39" s="35">
        <v>6.3888714803706534</v>
      </c>
      <c r="E39" s="34">
        <v>16506</v>
      </c>
      <c r="F39" s="35">
        <v>-0.38420574336604874</v>
      </c>
      <c r="G39" s="34">
        <v>10164.299999999999</v>
      </c>
      <c r="H39" s="71">
        <v>0.84911897523685853</v>
      </c>
      <c r="I39" s="36">
        <v>18795</v>
      </c>
    </row>
    <row r="40" spans="1:9">
      <c r="A40" s="52" t="s">
        <v>0</v>
      </c>
      <c r="B40" s="26" t="s">
        <v>82</v>
      </c>
      <c r="C40" s="12">
        <v>11932.200000000046</v>
      </c>
      <c r="D40" s="13">
        <v>-1.1890933775833441</v>
      </c>
      <c r="E40" s="12">
        <v>-2256.2999999999884</v>
      </c>
      <c r="F40" s="13">
        <v>-6.5774054868590355</v>
      </c>
      <c r="G40" s="12">
        <v>12584.299999999977</v>
      </c>
      <c r="H40" s="37">
        <v>-0.85787846761440822</v>
      </c>
      <c r="I40" s="14">
        <v>1788.5</v>
      </c>
    </row>
    <row r="41" spans="1:9">
      <c r="A41" s="52" t="s">
        <v>0</v>
      </c>
      <c r="B41" s="26" t="s">
        <v>83</v>
      </c>
      <c r="C41" s="12">
        <v>9698.3000000000466</v>
      </c>
      <c r="D41" s="13">
        <v>-2.934596785003547</v>
      </c>
      <c r="E41" s="12">
        <v>-18762.299999999988</v>
      </c>
      <c r="F41" s="13">
        <v>-1.1289820544389537</v>
      </c>
      <c r="G41" s="12">
        <v>2419.9999999999782</v>
      </c>
      <c r="H41" s="37">
        <v>-8.0274793388430385</v>
      </c>
      <c r="I41" s="14">
        <v>-17006.5</v>
      </c>
    </row>
    <row r="42" spans="1:9">
      <c r="A42" s="61" t="s">
        <v>0</v>
      </c>
      <c r="B42" s="28" t="s">
        <v>84</v>
      </c>
      <c r="C42" s="17">
        <v>151357.89999999997</v>
      </c>
      <c r="D42" s="51">
        <v>4.4404025161554332E-2</v>
      </c>
      <c r="E42" s="17">
        <v>158078.79999999999</v>
      </c>
      <c r="F42" s="51">
        <v>-6.0624195021723309E-2</v>
      </c>
      <c r="G42" s="17">
        <v>148495.4</v>
      </c>
      <c r="H42" s="46">
        <v>5.5783546156985372E-2</v>
      </c>
      <c r="I42" s="18">
        <v>156779</v>
      </c>
    </row>
    <row r="43" spans="1:9">
      <c r="A43" s="61">
        <v>0</v>
      </c>
      <c r="B43" s="28" t="s">
        <v>3</v>
      </c>
      <c r="C43" s="46">
        <v>5.3414208335198747</v>
      </c>
      <c r="D43" s="62">
        <v>0</v>
      </c>
      <c r="E43" s="46" t="s">
        <v>89</v>
      </c>
      <c r="F43" s="64">
        <v>0</v>
      </c>
      <c r="G43" s="46">
        <v>1.2380882106982261</v>
      </c>
      <c r="H43" s="64">
        <v>0</v>
      </c>
      <c r="I43" s="65">
        <v>9.5158286778398507E-2</v>
      </c>
    </row>
  </sheetData>
  <phoneticPr fontId="6" type="noConversion"/>
  <pageMargins left="0.78740157480314965" right="0.43307086614173229" top="0.98425196850393704" bottom="0.51181102362204722" header="0.51181102362204722" footer="0.23622047244094491"/>
  <pageSetup paperSize="9" scale="89" orientation="landscape" r:id="rId1"/>
  <headerFooter alignWithMargins="0">
    <oddHeader>&amp;LFachgruppe für kantonale Finanzfragen (FkF)
Groupe d'études pour les finances cantonales&amp;CRechnung 2014 - Budget 2016
Compte 2014 - Budget 2016&amp;RZürich, 26.04.2015</oddHeader>
    <oddFooter>&amp;LQuelle: FkF Mai 2016&amp;RBlatt &amp;P /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AJ186"/>
  <sheetViews>
    <sheetView tabSelected="1" zoomScale="115" zoomScaleNormal="115" workbookViewId="0">
      <pane xSplit="3" ySplit="3" topLeftCell="D4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11.5" defaultRowHeight="13"/>
  <cols>
    <col min="1" max="1" width="17.1640625" style="84" customWidth="1"/>
    <col min="2" max="2" width="1.6640625" style="84" customWidth="1"/>
    <col min="3" max="3" width="44.6640625" style="84" customWidth="1"/>
    <col min="4" max="4" width="11.5" style="84" customWidth="1"/>
    <col min="5" max="16384" width="11.5" style="84"/>
  </cols>
  <sheetData>
    <row r="1" spans="1:36" s="77" customFormat="1" ht="18" customHeight="1">
      <c r="A1" s="72" t="s">
        <v>156</v>
      </c>
      <c r="B1" s="253" t="s">
        <v>384</v>
      </c>
      <c r="C1" s="254" t="s">
        <v>385</v>
      </c>
      <c r="D1" s="74" t="s">
        <v>7</v>
      </c>
      <c r="E1" s="75" t="s">
        <v>9</v>
      </c>
      <c r="F1" s="74" t="s">
        <v>7</v>
      </c>
      <c r="G1" s="75" t="s">
        <v>9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</row>
    <row r="2" spans="1:36" s="83" customFormat="1" ht="15" customHeight="1">
      <c r="A2" s="78"/>
      <c r="B2" s="79"/>
      <c r="C2" s="80" t="s">
        <v>158</v>
      </c>
      <c r="D2" s="81">
        <v>2014</v>
      </c>
      <c r="E2" s="82">
        <v>2015</v>
      </c>
      <c r="F2" s="81">
        <v>2015</v>
      </c>
      <c r="G2" s="82">
        <v>2016</v>
      </c>
    </row>
    <row r="3" spans="1:36" ht="15" customHeight="1">
      <c r="A3" s="678" t="s">
        <v>159</v>
      </c>
      <c r="B3" s="679"/>
      <c r="C3" s="679"/>
      <c r="E3" s="85"/>
      <c r="F3" s="85"/>
      <c r="G3" s="85"/>
    </row>
    <row r="4" spans="1:36" s="91" customFormat="1" ht="12.75" customHeight="1">
      <c r="A4" s="86">
        <v>30</v>
      </c>
      <c r="B4" s="87"/>
      <c r="C4" s="88" t="s">
        <v>14</v>
      </c>
      <c r="D4" s="89">
        <v>0</v>
      </c>
      <c r="E4" s="90">
        <v>22961.5</v>
      </c>
      <c r="F4" s="90">
        <v>22673.4</v>
      </c>
      <c r="G4" s="90">
        <v>23750.5</v>
      </c>
    </row>
    <row r="5" spans="1:36" s="91" customFormat="1" ht="12.75" customHeight="1">
      <c r="A5" s="92">
        <v>31</v>
      </c>
      <c r="B5" s="93"/>
      <c r="C5" s="94" t="s">
        <v>160</v>
      </c>
      <c r="D5" s="130">
        <v>0</v>
      </c>
      <c r="E5" s="255">
        <v>16270.7</v>
      </c>
      <c r="F5" s="96">
        <v>13597.6</v>
      </c>
      <c r="G5" s="96">
        <v>16026.2</v>
      </c>
    </row>
    <row r="6" spans="1:36" s="91" customFormat="1" ht="12.75" customHeight="1">
      <c r="A6" s="97" t="s">
        <v>17</v>
      </c>
      <c r="B6" s="98"/>
      <c r="C6" s="99" t="s">
        <v>161</v>
      </c>
      <c r="D6" s="130">
        <v>0</v>
      </c>
      <c r="E6" s="255">
        <v>5367</v>
      </c>
      <c r="F6" s="96">
        <v>2937.5</v>
      </c>
      <c r="G6" s="96">
        <v>4512</v>
      </c>
    </row>
    <row r="7" spans="1:36" s="91" customFormat="1" ht="12.75" customHeight="1">
      <c r="A7" s="97" t="s">
        <v>162</v>
      </c>
      <c r="B7" s="98"/>
      <c r="C7" s="99" t="s">
        <v>163</v>
      </c>
      <c r="D7" s="130">
        <v>0</v>
      </c>
      <c r="E7" s="96">
        <v>0</v>
      </c>
      <c r="F7" s="96">
        <v>521.6</v>
      </c>
      <c r="G7" s="96">
        <v>0</v>
      </c>
    </row>
    <row r="8" spans="1:36" s="91" customFormat="1" ht="12.75" customHeight="1">
      <c r="A8" s="101">
        <v>330</v>
      </c>
      <c r="B8" s="93"/>
      <c r="C8" s="94" t="s">
        <v>164</v>
      </c>
      <c r="D8" s="130">
        <v>0</v>
      </c>
      <c r="E8" s="96">
        <v>4261</v>
      </c>
      <c r="F8" s="96">
        <v>1410</v>
      </c>
      <c r="G8" s="96">
        <v>3757</v>
      </c>
    </row>
    <row r="9" spans="1:36" s="91" customFormat="1" ht="12.75" customHeight="1">
      <c r="A9" s="101">
        <v>332</v>
      </c>
      <c r="B9" s="93"/>
      <c r="C9" s="94" t="s">
        <v>165</v>
      </c>
      <c r="D9" s="130">
        <v>0</v>
      </c>
      <c r="E9" s="96">
        <v>0</v>
      </c>
      <c r="F9" s="96">
        <v>0</v>
      </c>
      <c r="G9" s="96">
        <v>0</v>
      </c>
    </row>
    <row r="10" spans="1:36" s="91" customFormat="1" ht="12.75" customHeight="1">
      <c r="A10" s="101">
        <v>339</v>
      </c>
      <c r="B10" s="93"/>
      <c r="C10" s="94" t="s">
        <v>166</v>
      </c>
      <c r="D10" s="130">
        <v>0</v>
      </c>
      <c r="E10" s="96">
        <v>0</v>
      </c>
      <c r="F10" s="96">
        <v>0</v>
      </c>
      <c r="G10" s="96">
        <v>0</v>
      </c>
    </row>
    <row r="11" spans="1:36" s="91" customFormat="1" ht="12.75" customHeight="1">
      <c r="A11" s="92">
        <v>350</v>
      </c>
      <c r="B11" s="93"/>
      <c r="C11" s="94" t="s">
        <v>167</v>
      </c>
      <c r="D11" s="130">
        <v>0</v>
      </c>
      <c r="E11" s="96">
        <v>0</v>
      </c>
      <c r="F11" s="96">
        <v>133.5</v>
      </c>
      <c r="G11" s="96">
        <v>0</v>
      </c>
    </row>
    <row r="12" spans="1:36" s="106" customFormat="1" ht="14">
      <c r="A12" s="102">
        <v>351</v>
      </c>
      <c r="B12" s="103"/>
      <c r="C12" s="104" t="s">
        <v>168</v>
      </c>
      <c r="D12" s="130">
        <v>0</v>
      </c>
      <c r="E12" s="96">
        <v>637.5</v>
      </c>
      <c r="F12" s="96">
        <v>1333.4</v>
      </c>
      <c r="G12" s="96">
        <v>446.5</v>
      </c>
    </row>
    <row r="13" spans="1:36" s="91" customFormat="1" ht="12.75" customHeight="1">
      <c r="A13" s="92">
        <v>36</v>
      </c>
      <c r="B13" s="93"/>
      <c r="C13" s="94" t="s">
        <v>169</v>
      </c>
      <c r="D13" s="130">
        <v>0</v>
      </c>
      <c r="E13" s="96">
        <v>72441.600000000006</v>
      </c>
      <c r="F13" s="96">
        <v>75826.3</v>
      </c>
      <c r="G13" s="96">
        <v>73292.3</v>
      </c>
    </row>
    <row r="14" spans="1:36" s="91" customFormat="1" ht="14">
      <c r="A14" s="107" t="s">
        <v>170</v>
      </c>
      <c r="B14" s="93"/>
      <c r="C14" s="108" t="s">
        <v>171</v>
      </c>
      <c r="D14" s="256">
        <v>0</v>
      </c>
      <c r="E14" s="257">
        <v>25296.400000000001</v>
      </c>
      <c r="F14" s="257">
        <v>28849.7</v>
      </c>
      <c r="G14" s="257">
        <v>25323.5</v>
      </c>
    </row>
    <row r="15" spans="1:36" s="91" customFormat="1" ht="14">
      <c r="A15" s="107" t="s">
        <v>172</v>
      </c>
      <c r="B15" s="93"/>
      <c r="C15" s="108" t="s">
        <v>173</v>
      </c>
      <c r="D15" s="256">
        <v>0</v>
      </c>
      <c r="E15" s="257">
        <v>8608</v>
      </c>
      <c r="F15" s="257">
        <v>8835.5</v>
      </c>
      <c r="G15" s="257">
        <v>8748</v>
      </c>
    </row>
    <row r="16" spans="1:36" s="111" customFormat="1" ht="26.25" customHeight="1">
      <c r="A16" s="107" t="s">
        <v>174</v>
      </c>
      <c r="B16" s="258"/>
      <c r="C16" s="108" t="s">
        <v>175</v>
      </c>
      <c r="D16" s="256">
        <v>0</v>
      </c>
      <c r="E16" s="259">
        <v>0</v>
      </c>
      <c r="F16" s="259">
        <v>120.1</v>
      </c>
      <c r="G16" s="259">
        <v>0</v>
      </c>
    </row>
    <row r="17" spans="1:7" s="113" customFormat="1">
      <c r="A17" s="92">
        <v>37</v>
      </c>
      <c r="B17" s="93"/>
      <c r="C17" s="94" t="s">
        <v>176</v>
      </c>
      <c r="D17" s="256">
        <v>0</v>
      </c>
      <c r="E17" s="96">
        <v>22991</v>
      </c>
      <c r="F17" s="96">
        <v>23135.8</v>
      </c>
      <c r="G17" s="96">
        <v>22531</v>
      </c>
    </row>
    <row r="18" spans="1:7" s="113" customFormat="1">
      <c r="A18" s="101" t="s">
        <v>177</v>
      </c>
      <c r="B18" s="93"/>
      <c r="C18" s="94" t="s">
        <v>178</v>
      </c>
      <c r="D18" s="256">
        <v>0</v>
      </c>
      <c r="E18" s="257">
        <v>0</v>
      </c>
      <c r="F18" s="257">
        <v>0</v>
      </c>
      <c r="G18" s="257">
        <v>0</v>
      </c>
    </row>
    <row r="19" spans="1:7" s="113" customFormat="1">
      <c r="A19" s="101" t="s">
        <v>179</v>
      </c>
      <c r="B19" s="93"/>
      <c r="C19" s="94" t="s">
        <v>180</v>
      </c>
      <c r="D19" s="256">
        <v>0</v>
      </c>
      <c r="E19" s="257">
        <v>0</v>
      </c>
      <c r="F19" s="257">
        <v>0</v>
      </c>
      <c r="G19" s="257">
        <v>0</v>
      </c>
    </row>
    <row r="20" spans="1:7" s="91" customFormat="1" ht="12.75" customHeight="1">
      <c r="A20" s="116">
        <v>39</v>
      </c>
      <c r="B20" s="117"/>
      <c r="C20" s="118" t="s">
        <v>181</v>
      </c>
      <c r="D20" s="177">
        <v>0</v>
      </c>
      <c r="E20" s="120">
        <v>7573</v>
      </c>
      <c r="F20" s="120">
        <v>7808.7</v>
      </c>
      <c r="G20" s="120">
        <v>8018</v>
      </c>
    </row>
    <row r="21" spans="1:7" ht="12.75" customHeight="1">
      <c r="A21" s="121"/>
      <c r="B21" s="121"/>
      <c r="C21" s="122" t="s">
        <v>182</v>
      </c>
      <c r="D21" s="123">
        <f t="shared" ref="D21:G21" si="0">D4+D5+SUM(D8:D13)+D17</f>
        <v>0</v>
      </c>
      <c r="E21" s="123">
        <f t="shared" si="0"/>
        <v>139563.29999999999</v>
      </c>
      <c r="F21" s="123">
        <f t="shared" si="0"/>
        <v>138110</v>
      </c>
      <c r="G21" s="123">
        <f t="shared" si="0"/>
        <v>139803.5</v>
      </c>
    </row>
    <row r="22" spans="1:7" s="91" customFormat="1" ht="12.75" customHeight="1">
      <c r="A22" s="101" t="s">
        <v>183</v>
      </c>
      <c r="B22" s="93"/>
      <c r="C22" s="94" t="s">
        <v>184</v>
      </c>
      <c r="D22" s="143">
        <v>0</v>
      </c>
      <c r="E22" s="143">
        <v>34696</v>
      </c>
      <c r="F22" s="143">
        <v>39200.800000000003</v>
      </c>
      <c r="G22" s="143">
        <v>36613</v>
      </c>
    </row>
    <row r="23" spans="1:7" s="91" customFormat="1" ht="12.75" customHeight="1">
      <c r="A23" s="101" t="s">
        <v>185</v>
      </c>
      <c r="B23" s="93"/>
      <c r="C23" s="94" t="s">
        <v>186</v>
      </c>
      <c r="D23" s="143">
        <v>0</v>
      </c>
      <c r="E23" s="143">
        <v>9704</v>
      </c>
      <c r="F23" s="143">
        <v>10861.1</v>
      </c>
      <c r="G23" s="143">
        <v>9104</v>
      </c>
    </row>
    <row r="24" spans="1:7" s="125" customFormat="1" ht="12.75" customHeight="1">
      <c r="A24" s="92">
        <v>41</v>
      </c>
      <c r="B24" s="93"/>
      <c r="C24" s="94" t="s">
        <v>187</v>
      </c>
      <c r="D24" s="143">
        <v>0</v>
      </c>
      <c r="E24" s="143">
        <v>2312</v>
      </c>
      <c r="F24" s="143">
        <v>3658.1</v>
      </c>
      <c r="G24" s="143">
        <v>2372</v>
      </c>
    </row>
    <row r="25" spans="1:7" s="91" customFormat="1" ht="12.75" customHeight="1">
      <c r="A25" s="126">
        <v>42</v>
      </c>
      <c r="B25" s="127"/>
      <c r="C25" s="94" t="s">
        <v>188</v>
      </c>
      <c r="D25" s="95">
        <v>0</v>
      </c>
      <c r="E25" s="95">
        <v>11047</v>
      </c>
      <c r="F25" s="95">
        <v>12947.7</v>
      </c>
      <c r="G25" s="95">
        <v>11645.5</v>
      </c>
    </row>
    <row r="26" spans="1:7" s="129" customFormat="1" ht="12.75" customHeight="1">
      <c r="A26" s="102">
        <v>430</v>
      </c>
      <c r="B26" s="93"/>
      <c r="C26" s="94" t="s">
        <v>189</v>
      </c>
      <c r="D26" s="112">
        <v>0</v>
      </c>
      <c r="E26" s="112">
        <v>2</v>
      </c>
      <c r="F26" s="112">
        <v>3.4</v>
      </c>
      <c r="G26" s="112">
        <v>102</v>
      </c>
    </row>
    <row r="27" spans="1:7" s="129" customFormat="1" ht="12.75" customHeight="1">
      <c r="A27" s="102">
        <v>431</v>
      </c>
      <c r="B27" s="93"/>
      <c r="C27" s="94" t="s">
        <v>190</v>
      </c>
      <c r="D27" s="112">
        <v>0</v>
      </c>
      <c r="E27" s="112">
        <v>0</v>
      </c>
      <c r="F27" s="112">
        <v>0</v>
      </c>
      <c r="G27" s="112">
        <v>0</v>
      </c>
    </row>
    <row r="28" spans="1:7" s="129" customFormat="1" ht="12.75" customHeight="1">
      <c r="A28" s="102">
        <v>432</v>
      </c>
      <c r="B28" s="93"/>
      <c r="C28" s="94" t="s">
        <v>191</v>
      </c>
      <c r="D28" s="112">
        <v>0</v>
      </c>
      <c r="E28" s="112">
        <v>0</v>
      </c>
      <c r="F28" s="112">
        <v>0</v>
      </c>
      <c r="G28" s="112">
        <v>0</v>
      </c>
    </row>
    <row r="29" spans="1:7" s="129" customFormat="1" ht="12.75" customHeight="1">
      <c r="A29" s="102">
        <v>439</v>
      </c>
      <c r="B29" s="93"/>
      <c r="C29" s="94" t="s">
        <v>192</v>
      </c>
      <c r="D29" s="112">
        <v>0</v>
      </c>
      <c r="E29" s="112">
        <v>10</v>
      </c>
      <c r="F29" s="112">
        <v>10.5</v>
      </c>
      <c r="G29" s="112">
        <v>10</v>
      </c>
    </row>
    <row r="30" spans="1:7" s="91" customFormat="1" ht="14">
      <c r="A30" s="102">
        <v>450</v>
      </c>
      <c r="B30" s="103"/>
      <c r="C30" s="104" t="s">
        <v>193</v>
      </c>
      <c r="D30" s="130">
        <v>0</v>
      </c>
      <c r="E30" s="130">
        <v>0</v>
      </c>
      <c r="F30" s="130">
        <v>0</v>
      </c>
      <c r="G30" s="130">
        <v>0</v>
      </c>
    </row>
    <row r="31" spans="1:7" s="106" customFormat="1" ht="14">
      <c r="A31" s="102">
        <v>451</v>
      </c>
      <c r="B31" s="103"/>
      <c r="C31" s="104" t="s">
        <v>194</v>
      </c>
      <c r="D31" s="131">
        <v>0</v>
      </c>
      <c r="E31" s="131">
        <v>786</v>
      </c>
      <c r="F31" s="131">
        <v>341.8</v>
      </c>
      <c r="G31" s="131">
        <v>1042</v>
      </c>
    </row>
    <row r="32" spans="1:7" s="91" customFormat="1" ht="12.75" customHeight="1">
      <c r="A32" s="92">
        <v>46</v>
      </c>
      <c r="B32" s="93"/>
      <c r="C32" s="94" t="s">
        <v>195</v>
      </c>
      <c r="D32" s="95">
        <v>0</v>
      </c>
      <c r="E32" s="95">
        <v>43922</v>
      </c>
      <c r="F32" s="95">
        <v>46577.1</v>
      </c>
      <c r="G32" s="95">
        <v>42867.5</v>
      </c>
    </row>
    <row r="33" spans="1:7" s="106" customFormat="1" ht="12.75" customHeight="1">
      <c r="A33" s="114" t="s">
        <v>196</v>
      </c>
      <c r="B33" s="98"/>
      <c r="C33" s="99" t="s">
        <v>197</v>
      </c>
      <c r="D33" s="95">
        <v>0</v>
      </c>
      <c r="E33" s="95">
        <v>0</v>
      </c>
      <c r="F33" s="95">
        <v>0</v>
      </c>
      <c r="G33" s="95">
        <v>0</v>
      </c>
    </row>
    <row r="34" spans="1:7" s="91" customFormat="1" ht="15" customHeight="1">
      <c r="A34" s="92">
        <v>47</v>
      </c>
      <c r="B34" s="93"/>
      <c r="C34" s="94" t="s">
        <v>176</v>
      </c>
      <c r="D34" s="95">
        <v>0</v>
      </c>
      <c r="E34" s="95">
        <v>22991</v>
      </c>
      <c r="F34" s="95">
        <v>23135.8</v>
      </c>
      <c r="G34" s="95">
        <v>22531</v>
      </c>
    </row>
    <row r="35" spans="1:7" s="91" customFormat="1" ht="15" customHeight="1">
      <c r="A35" s="116">
        <v>49</v>
      </c>
      <c r="B35" s="117"/>
      <c r="C35" s="118" t="s">
        <v>198</v>
      </c>
      <c r="D35" s="177">
        <v>0</v>
      </c>
      <c r="E35" s="177">
        <v>7573</v>
      </c>
      <c r="F35" s="177">
        <v>7808.7</v>
      </c>
      <c r="G35" s="177">
        <v>8018</v>
      </c>
    </row>
    <row r="36" spans="1:7" s="225" customFormat="1" ht="13.5" customHeight="1">
      <c r="A36" s="260"/>
      <c r="B36" s="261"/>
      <c r="C36" s="262" t="s">
        <v>199</v>
      </c>
      <c r="D36" s="263">
        <f t="shared" ref="D36:G36" si="1">D22+D23+D24+D25+D26+D27+D28+D29+D30+D31+D32+D34</f>
        <v>0</v>
      </c>
      <c r="E36" s="263">
        <f t="shared" si="1"/>
        <v>125470</v>
      </c>
      <c r="F36" s="263">
        <f t="shared" si="1"/>
        <v>136736.29999999999</v>
      </c>
      <c r="G36" s="263">
        <f t="shared" si="1"/>
        <v>126287</v>
      </c>
    </row>
    <row r="37" spans="1:7" s="76" customFormat="1" ht="15" customHeight="1">
      <c r="A37" s="260"/>
      <c r="B37" s="261"/>
      <c r="C37" s="262" t="s">
        <v>200</v>
      </c>
      <c r="D37" s="263">
        <f t="shared" ref="D37:G37" si="2">D36-D21</f>
        <v>0</v>
      </c>
      <c r="E37" s="263">
        <f t="shared" si="2"/>
        <v>-14093.299999999988</v>
      </c>
      <c r="F37" s="263">
        <f t="shared" si="2"/>
        <v>-1373.7000000000116</v>
      </c>
      <c r="G37" s="263">
        <f t="shared" si="2"/>
        <v>-13516.5</v>
      </c>
    </row>
    <row r="38" spans="1:7" s="106" customFormat="1" ht="15" customHeight="1">
      <c r="A38" s="101">
        <v>340</v>
      </c>
      <c r="B38" s="93"/>
      <c r="C38" s="94" t="s">
        <v>201</v>
      </c>
      <c r="D38" s="130">
        <v>0</v>
      </c>
      <c r="E38" s="124">
        <v>31</v>
      </c>
      <c r="F38" s="124">
        <v>0</v>
      </c>
      <c r="G38" s="124">
        <v>0</v>
      </c>
    </row>
    <row r="39" spans="1:7" s="106" customFormat="1" ht="15" customHeight="1">
      <c r="A39" s="101">
        <v>341</v>
      </c>
      <c r="B39" s="93"/>
      <c r="C39" s="94" t="s">
        <v>202</v>
      </c>
      <c r="D39" s="95">
        <v>0</v>
      </c>
      <c r="E39" s="124">
        <v>0</v>
      </c>
      <c r="F39" s="124">
        <v>0</v>
      </c>
      <c r="G39" s="124">
        <v>0</v>
      </c>
    </row>
    <row r="40" spans="1:7" s="106" customFormat="1" ht="15" customHeight="1">
      <c r="A40" s="101">
        <v>342</v>
      </c>
      <c r="B40" s="93"/>
      <c r="C40" s="94" t="s">
        <v>203</v>
      </c>
      <c r="D40" s="95">
        <v>0</v>
      </c>
      <c r="E40" s="124">
        <v>0</v>
      </c>
      <c r="F40" s="124">
        <v>0</v>
      </c>
      <c r="G40" s="124">
        <v>0</v>
      </c>
    </row>
    <row r="41" spans="1:7" s="106" customFormat="1" ht="15" customHeight="1">
      <c r="A41" s="101">
        <v>343</v>
      </c>
      <c r="B41" s="93"/>
      <c r="C41" s="94" t="s">
        <v>204</v>
      </c>
      <c r="D41" s="95">
        <v>0</v>
      </c>
      <c r="E41" s="124">
        <v>64</v>
      </c>
      <c r="F41" s="124">
        <v>56.4</v>
      </c>
      <c r="G41" s="124">
        <v>204</v>
      </c>
    </row>
    <row r="42" spans="1:7" s="106" customFormat="1" ht="15" customHeight="1">
      <c r="A42" s="101">
        <v>344</v>
      </c>
      <c r="B42" s="93"/>
      <c r="C42" s="94" t="s">
        <v>205</v>
      </c>
      <c r="D42" s="95">
        <v>0</v>
      </c>
      <c r="E42" s="124">
        <v>0</v>
      </c>
      <c r="F42" s="124">
        <v>0</v>
      </c>
      <c r="G42" s="124">
        <v>0</v>
      </c>
    </row>
    <row r="43" spans="1:7" s="106" customFormat="1" ht="15" customHeight="1">
      <c r="A43" s="101">
        <v>349</v>
      </c>
      <c r="B43" s="93"/>
      <c r="C43" s="94" t="s">
        <v>206</v>
      </c>
      <c r="D43" s="95">
        <v>0</v>
      </c>
      <c r="E43" s="124">
        <v>0</v>
      </c>
      <c r="F43" s="124">
        <v>0</v>
      </c>
      <c r="G43" s="124">
        <v>0</v>
      </c>
    </row>
    <row r="44" spans="1:7" s="91" customFormat="1" ht="15" customHeight="1">
      <c r="A44" s="92">
        <v>440</v>
      </c>
      <c r="B44" s="93"/>
      <c r="C44" s="94" t="s">
        <v>207</v>
      </c>
      <c r="D44" s="130">
        <v>0</v>
      </c>
      <c r="E44" s="124">
        <v>241</v>
      </c>
      <c r="F44" s="124">
        <v>247.1</v>
      </c>
      <c r="G44" s="124">
        <v>164</v>
      </c>
    </row>
    <row r="45" spans="1:7" s="91" customFormat="1" ht="15" customHeight="1">
      <c r="A45" s="92">
        <v>441</v>
      </c>
      <c r="B45" s="93"/>
      <c r="C45" s="94" t="s">
        <v>208</v>
      </c>
      <c r="D45" s="130">
        <v>0</v>
      </c>
      <c r="E45" s="124">
        <v>0</v>
      </c>
      <c r="F45" s="124">
        <v>438.4</v>
      </c>
      <c r="G45" s="124">
        <v>0</v>
      </c>
    </row>
    <row r="46" spans="1:7" s="91" customFormat="1" ht="15" customHeight="1">
      <c r="A46" s="92">
        <v>442</v>
      </c>
      <c r="B46" s="93"/>
      <c r="C46" s="94" t="s">
        <v>209</v>
      </c>
      <c r="D46" s="130">
        <v>0</v>
      </c>
      <c r="E46" s="124">
        <v>365</v>
      </c>
      <c r="F46" s="124">
        <v>376.9</v>
      </c>
      <c r="G46" s="124">
        <v>295</v>
      </c>
    </row>
    <row r="47" spans="1:7" s="91" customFormat="1" ht="15" customHeight="1">
      <c r="A47" s="92">
        <v>443</v>
      </c>
      <c r="B47" s="93"/>
      <c r="C47" s="94" t="s">
        <v>210</v>
      </c>
      <c r="D47" s="130">
        <v>0</v>
      </c>
      <c r="E47" s="124">
        <v>245</v>
      </c>
      <c r="F47" s="124">
        <v>249.5</v>
      </c>
      <c r="G47" s="124">
        <v>288</v>
      </c>
    </row>
    <row r="48" spans="1:7" s="91" customFormat="1" ht="15" customHeight="1">
      <c r="A48" s="92">
        <v>444</v>
      </c>
      <c r="B48" s="93"/>
      <c r="C48" s="94" t="s">
        <v>205</v>
      </c>
      <c r="D48" s="130">
        <v>0</v>
      </c>
      <c r="E48" s="124">
        <v>0</v>
      </c>
      <c r="F48" s="124">
        <v>0</v>
      </c>
      <c r="G48" s="124">
        <v>0</v>
      </c>
    </row>
    <row r="49" spans="1:7" s="91" customFormat="1" ht="15" customHeight="1">
      <c r="A49" s="92">
        <v>445</v>
      </c>
      <c r="B49" s="93"/>
      <c r="C49" s="94" t="s">
        <v>211</v>
      </c>
      <c r="D49" s="130">
        <v>0</v>
      </c>
      <c r="E49" s="124">
        <v>0</v>
      </c>
      <c r="F49" s="124">
        <v>0</v>
      </c>
      <c r="G49" s="124">
        <v>0</v>
      </c>
    </row>
    <row r="50" spans="1:7" s="91" customFormat="1" ht="15" customHeight="1">
      <c r="A50" s="92">
        <v>446</v>
      </c>
      <c r="B50" s="93"/>
      <c r="C50" s="94" t="s">
        <v>212</v>
      </c>
      <c r="D50" s="130">
        <v>0</v>
      </c>
      <c r="E50" s="124">
        <v>7540</v>
      </c>
      <c r="F50" s="124">
        <v>7546.1</v>
      </c>
      <c r="G50" s="124">
        <v>7545</v>
      </c>
    </row>
    <row r="51" spans="1:7" s="91" customFormat="1" ht="15" customHeight="1">
      <c r="A51" s="92">
        <v>447</v>
      </c>
      <c r="B51" s="93"/>
      <c r="C51" s="94" t="s">
        <v>213</v>
      </c>
      <c r="D51" s="130">
        <v>0</v>
      </c>
      <c r="E51" s="124">
        <v>3455</v>
      </c>
      <c r="F51" s="124">
        <v>3457.7</v>
      </c>
      <c r="G51" s="124">
        <v>3438</v>
      </c>
    </row>
    <row r="52" spans="1:7" s="91" customFormat="1" ht="15" customHeight="1">
      <c r="A52" s="92">
        <v>448</v>
      </c>
      <c r="B52" s="93"/>
      <c r="C52" s="94" t="s">
        <v>214</v>
      </c>
      <c r="D52" s="130">
        <v>0</v>
      </c>
      <c r="E52" s="124">
        <v>16</v>
      </c>
      <c r="F52" s="124">
        <v>55</v>
      </c>
      <c r="G52" s="124">
        <v>22</v>
      </c>
    </row>
    <row r="53" spans="1:7" s="91" customFormat="1" ht="15" customHeight="1">
      <c r="A53" s="92">
        <v>449</v>
      </c>
      <c r="B53" s="93"/>
      <c r="C53" s="94" t="s">
        <v>215</v>
      </c>
      <c r="D53" s="130">
        <v>0</v>
      </c>
      <c r="E53" s="124">
        <v>0</v>
      </c>
      <c r="F53" s="124">
        <v>0</v>
      </c>
      <c r="G53" s="124">
        <v>0</v>
      </c>
    </row>
    <row r="54" spans="1:7" s="106" customFormat="1" ht="13.5" customHeight="1">
      <c r="A54" s="136" t="s">
        <v>216</v>
      </c>
      <c r="B54" s="137"/>
      <c r="C54" s="137" t="s">
        <v>217</v>
      </c>
      <c r="D54" s="264">
        <v>0</v>
      </c>
      <c r="E54" s="139">
        <v>0</v>
      </c>
      <c r="F54" s="139">
        <v>0</v>
      </c>
      <c r="G54" s="139">
        <v>0</v>
      </c>
    </row>
    <row r="55" spans="1:7" ht="15" customHeight="1">
      <c r="A55" s="134"/>
      <c r="B55" s="134"/>
      <c r="C55" s="122" t="s">
        <v>218</v>
      </c>
      <c r="D55" s="123">
        <f t="shared" ref="D55:G55" si="3">SUM(D44:D53)-SUM(D38:D43)</f>
        <v>0</v>
      </c>
      <c r="E55" s="123">
        <f t="shared" si="3"/>
        <v>11767</v>
      </c>
      <c r="F55" s="123">
        <f t="shared" si="3"/>
        <v>12314.300000000001</v>
      </c>
      <c r="G55" s="123">
        <f t="shared" si="3"/>
        <v>11548</v>
      </c>
    </row>
    <row r="56" spans="1:7" ht="14.25" customHeight="1">
      <c r="A56" s="134"/>
      <c r="B56" s="134"/>
      <c r="C56" s="122" t="s">
        <v>219</v>
      </c>
      <c r="D56" s="123">
        <f t="shared" ref="D56:G56" si="4">D55+D37</f>
        <v>0</v>
      </c>
      <c r="E56" s="123">
        <f t="shared" si="4"/>
        <v>-2326.2999999999884</v>
      </c>
      <c r="F56" s="123">
        <f t="shared" si="4"/>
        <v>10940.599999999989</v>
      </c>
      <c r="G56" s="123">
        <f t="shared" si="4"/>
        <v>-1968.5</v>
      </c>
    </row>
    <row r="57" spans="1:7" s="91" customFormat="1" ht="15.75" customHeight="1">
      <c r="A57" s="140">
        <v>380</v>
      </c>
      <c r="B57" s="141"/>
      <c r="C57" s="142" t="s">
        <v>220</v>
      </c>
      <c r="D57" s="265">
        <v>0</v>
      </c>
      <c r="E57" s="266">
        <v>0</v>
      </c>
      <c r="F57" s="266">
        <v>0</v>
      </c>
      <c r="G57" s="266">
        <v>0</v>
      </c>
    </row>
    <row r="58" spans="1:7" s="91" customFormat="1" ht="15.75" customHeight="1">
      <c r="A58" s="140">
        <v>381</v>
      </c>
      <c r="B58" s="141"/>
      <c r="C58" s="142" t="s">
        <v>221</v>
      </c>
      <c r="D58" s="265">
        <v>0</v>
      </c>
      <c r="E58" s="266">
        <v>0</v>
      </c>
      <c r="F58" s="266">
        <v>0</v>
      </c>
      <c r="G58" s="266">
        <v>0</v>
      </c>
    </row>
    <row r="59" spans="1:7" s="106" customFormat="1" ht="14">
      <c r="A59" s="102">
        <v>383</v>
      </c>
      <c r="B59" s="103"/>
      <c r="C59" s="104" t="s">
        <v>222</v>
      </c>
      <c r="D59" s="267">
        <v>0</v>
      </c>
      <c r="E59" s="144">
        <v>0</v>
      </c>
      <c r="F59" s="144">
        <v>2107.6</v>
      </c>
      <c r="G59" s="144">
        <v>0</v>
      </c>
    </row>
    <row r="60" spans="1:7" s="106" customFormat="1" ht="14">
      <c r="A60" s="102">
        <v>3840</v>
      </c>
      <c r="B60" s="103"/>
      <c r="C60" s="104" t="s">
        <v>223</v>
      </c>
      <c r="D60" s="268">
        <v>0</v>
      </c>
      <c r="E60" s="269">
        <v>0</v>
      </c>
      <c r="F60" s="269">
        <v>0</v>
      </c>
      <c r="G60" s="269">
        <v>0</v>
      </c>
    </row>
    <row r="61" spans="1:7" s="106" customFormat="1" ht="14">
      <c r="A61" s="102">
        <v>3841</v>
      </c>
      <c r="B61" s="103"/>
      <c r="C61" s="104" t="s">
        <v>224</v>
      </c>
      <c r="D61" s="268">
        <v>0</v>
      </c>
      <c r="E61" s="269">
        <v>0</v>
      </c>
      <c r="F61" s="269">
        <v>0</v>
      </c>
      <c r="G61" s="269">
        <v>0</v>
      </c>
    </row>
    <row r="62" spans="1:7" s="106" customFormat="1" ht="14">
      <c r="A62" s="147">
        <v>386</v>
      </c>
      <c r="B62" s="148"/>
      <c r="C62" s="149" t="s">
        <v>225</v>
      </c>
      <c r="D62" s="268">
        <v>0</v>
      </c>
      <c r="E62" s="269">
        <v>0</v>
      </c>
      <c r="F62" s="269">
        <v>0</v>
      </c>
      <c r="G62" s="269">
        <v>0</v>
      </c>
    </row>
    <row r="63" spans="1:7" s="106" customFormat="1" ht="28">
      <c r="A63" s="102">
        <v>387</v>
      </c>
      <c r="B63" s="103"/>
      <c r="C63" s="104" t="s">
        <v>226</v>
      </c>
      <c r="D63" s="268">
        <v>0</v>
      </c>
      <c r="E63" s="269">
        <v>0</v>
      </c>
      <c r="F63" s="269">
        <v>0</v>
      </c>
      <c r="G63" s="269">
        <v>0</v>
      </c>
    </row>
    <row r="64" spans="1:7" s="106" customFormat="1">
      <c r="A64" s="101">
        <v>389</v>
      </c>
      <c r="B64" s="150"/>
      <c r="C64" s="94" t="s">
        <v>42</v>
      </c>
      <c r="D64" s="95">
        <v>0</v>
      </c>
      <c r="E64" s="124">
        <v>0</v>
      </c>
      <c r="F64" s="124">
        <v>4300</v>
      </c>
      <c r="G64" s="124">
        <v>0</v>
      </c>
    </row>
    <row r="65" spans="1:7" s="91" customFormat="1">
      <c r="A65" s="92" t="s">
        <v>227</v>
      </c>
      <c r="B65" s="93"/>
      <c r="C65" s="94" t="s">
        <v>228</v>
      </c>
      <c r="D65" s="95">
        <v>0</v>
      </c>
      <c r="E65" s="124">
        <v>0</v>
      </c>
      <c r="F65" s="124">
        <v>0</v>
      </c>
      <c r="G65" s="124">
        <v>0</v>
      </c>
    </row>
    <row r="66" spans="1:7" s="153" customFormat="1" ht="14">
      <c r="A66" s="154" t="s">
        <v>229</v>
      </c>
      <c r="B66" s="152"/>
      <c r="C66" s="104" t="s">
        <v>230</v>
      </c>
      <c r="D66" s="143">
        <v>0</v>
      </c>
      <c r="E66" s="144">
        <v>0</v>
      </c>
      <c r="F66" s="144">
        <v>0</v>
      </c>
      <c r="G66" s="144">
        <v>0</v>
      </c>
    </row>
    <row r="67" spans="1:7" s="91" customFormat="1">
      <c r="A67" s="154">
        <v>481</v>
      </c>
      <c r="B67" s="93"/>
      <c r="C67" s="94" t="s">
        <v>231</v>
      </c>
      <c r="D67" s="95">
        <v>0</v>
      </c>
      <c r="E67" s="124">
        <v>0</v>
      </c>
      <c r="F67" s="124">
        <v>0</v>
      </c>
      <c r="G67" s="124">
        <v>0</v>
      </c>
    </row>
    <row r="68" spans="1:7" s="91" customFormat="1">
      <c r="A68" s="154">
        <v>482</v>
      </c>
      <c r="B68" s="93"/>
      <c r="C68" s="94" t="s">
        <v>232</v>
      </c>
      <c r="D68" s="95">
        <v>0</v>
      </c>
      <c r="E68" s="124">
        <v>0</v>
      </c>
      <c r="F68" s="124">
        <v>0</v>
      </c>
      <c r="G68" s="124">
        <v>0</v>
      </c>
    </row>
    <row r="69" spans="1:7" s="91" customFormat="1">
      <c r="A69" s="154">
        <v>483</v>
      </c>
      <c r="B69" s="93"/>
      <c r="C69" s="94" t="s">
        <v>233</v>
      </c>
      <c r="D69" s="95">
        <v>0</v>
      </c>
      <c r="E69" s="124">
        <v>0</v>
      </c>
      <c r="F69" s="124">
        <v>113.6</v>
      </c>
      <c r="G69" s="124">
        <v>0</v>
      </c>
    </row>
    <row r="70" spans="1:7" s="91" customFormat="1">
      <c r="A70" s="154">
        <v>484</v>
      </c>
      <c r="B70" s="93"/>
      <c r="C70" s="94" t="s">
        <v>234</v>
      </c>
      <c r="D70" s="95">
        <v>0</v>
      </c>
      <c r="E70" s="124">
        <v>0</v>
      </c>
      <c r="F70" s="124">
        <v>0</v>
      </c>
      <c r="G70" s="124">
        <v>0</v>
      </c>
    </row>
    <row r="71" spans="1:7" s="91" customFormat="1">
      <c r="A71" s="154">
        <v>485</v>
      </c>
      <c r="B71" s="93"/>
      <c r="C71" s="94" t="s">
        <v>235</v>
      </c>
      <c r="D71" s="95">
        <v>0</v>
      </c>
      <c r="E71" s="124">
        <v>0</v>
      </c>
      <c r="F71" s="124">
        <v>0</v>
      </c>
      <c r="G71" s="124">
        <v>0</v>
      </c>
    </row>
    <row r="72" spans="1:7" s="91" customFormat="1">
      <c r="A72" s="154">
        <v>486</v>
      </c>
      <c r="B72" s="93"/>
      <c r="C72" s="94" t="s">
        <v>236</v>
      </c>
      <c r="D72" s="95">
        <v>0</v>
      </c>
      <c r="E72" s="124">
        <v>0</v>
      </c>
      <c r="F72" s="124">
        <v>0</v>
      </c>
      <c r="G72" s="124">
        <v>0</v>
      </c>
    </row>
    <row r="73" spans="1:7" s="106" customFormat="1">
      <c r="A73" s="154">
        <v>487</v>
      </c>
      <c r="B73" s="98"/>
      <c r="C73" s="94" t="s">
        <v>237</v>
      </c>
      <c r="D73" s="130">
        <v>0</v>
      </c>
      <c r="E73" s="124">
        <v>0</v>
      </c>
      <c r="F73" s="124">
        <v>0</v>
      </c>
      <c r="G73" s="124">
        <v>0</v>
      </c>
    </row>
    <row r="74" spans="1:7" s="106" customFormat="1">
      <c r="A74" s="154">
        <v>489</v>
      </c>
      <c r="B74" s="155"/>
      <c r="C74" s="118" t="s">
        <v>59</v>
      </c>
      <c r="D74" s="130">
        <v>0</v>
      </c>
      <c r="E74" s="124">
        <v>0</v>
      </c>
      <c r="F74" s="124">
        <v>52</v>
      </c>
      <c r="G74" s="124">
        <v>0</v>
      </c>
    </row>
    <row r="75" spans="1:7" s="106" customFormat="1">
      <c r="A75" s="156" t="s">
        <v>238</v>
      </c>
      <c r="B75" s="155"/>
      <c r="C75" s="137" t="s">
        <v>239</v>
      </c>
      <c r="D75" s="95">
        <v>0</v>
      </c>
      <c r="E75" s="124">
        <v>0</v>
      </c>
      <c r="F75" s="124">
        <v>0</v>
      </c>
      <c r="G75" s="124">
        <v>0</v>
      </c>
    </row>
    <row r="76" spans="1:7">
      <c r="A76" s="121"/>
      <c r="B76" s="121"/>
      <c r="C76" s="122" t="s">
        <v>240</v>
      </c>
      <c r="D76" s="123">
        <f t="shared" ref="D76:G76" si="5">SUM(D65:D74)-SUM(D57:D64)</f>
        <v>0</v>
      </c>
      <c r="E76" s="123">
        <f t="shared" si="5"/>
        <v>0</v>
      </c>
      <c r="F76" s="123">
        <f t="shared" si="5"/>
        <v>-6242</v>
      </c>
      <c r="G76" s="123">
        <f t="shared" si="5"/>
        <v>0</v>
      </c>
    </row>
    <row r="77" spans="1:7">
      <c r="A77" s="157"/>
      <c r="B77" s="157"/>
      <c r="C77" s="122" t="s">
        <v>241</v>
      </c>
      <c r="D77" s="123">
        <f t="shared" ref="D77:G77" si="6">D56+D76</f>
        <v>0</v>
      </c>
      <c r="E77" s="123">
        <f t="shared" si="6"/>
        <v>-2326.2999999999884</v>
      </c>
      <c r="F77" s="123">
        <f t="shared" si="6"/>
        <v>4698.5999999999894</v>
      </c>
      <c r="G77" s="123">
        <f t="shared" si="6"/>
        <v>-1968.5</v>
      </c>
    </row>
    <row r="78" spans="1:7">
      <c r="A78" s="158">
        <v>3</v>
      </c>
      <c r="B78" s="158"/>
      <c r="C78" s="159" t="s">
        <v>242</v>
      </c>
      <c r="D78" s="160">
        <f t="shared" ref="D78:G78" si="7">D20+D21+SUM(D38:D43)+SUM(D57:D64)</f>
        <v>0</v>
      </c>
      <c r="E78" s="160">
        <f t="shared" si="7"/>
        <v>147231.29999999999</v>
      </c>
      <c r="F78" s="160">
        <f t="shared" si="7"/>
        <v>152382.70000000001</v>
      </c>
      <c r="G78" s="160">
        <f t="shared" si="7"/>
        <v>148025.5</v>
      </c>
    </row>
    <row r="79" spans="1:7" ht="14" customHeight="1">
      <c r="A79" s="158">
        <v>4</v>
      </c>
      <c r="B79" s="158"/>
      <c r="C79" s="159" t="s">
        <v>243</v>
      </c>
      <c r="D79" s="160">
        <f t="shared" ref="D79:G79" si="8">D35+D36+SUM(D44:D53)+SUM(D65:D74)</f>
        <v>0</v>
      </c>
      <c r="E79" s="160">
        <f t="shared" si="8"/>
        <v>144905</v>
      </c>
      <c r="F79" s="160">
        <f t="shared" si="8"/>
        <v>157081.30000000002</v>
      </c>
      <c r="G79" s="160">
        <f t="shared" si="8"/>
        <v>146057</v>
      </c>
    </row>
    <row r="80" spans="1:7">
      <c r="C80" s="135"/>
    </row>
    <row r="81" spans="1:7">
      <c r="A81" s="680" t="s">
        <v>244</v>
      </c>
      <c r="B81" s="681"/>
      <c r="C81" s="681"/>
    </row>
    <row r="82" spans="1:7" s="91" customFormat="1">
      <c r="A82" s="164">
        <v>50</v>
      </c>
      <c r="B82" s="165"/>
      <c r="C82" s="165" t="s">
        <v>245</v>
      </c>
      <c r="D82" s="270">
        <v>0</v>
      </c>
      <c r="E82" s="271">
        <v>20161</v>
      </c>
      <c r="F82" s="272">
        <v>10637.3</v>
      </c>
      <c r="G82" s="272">
        <v>17765</v>
      </c>
    </row>
    <row r="83" spans="1:7" s="91" customFormat="1">
      <c r="A83" s="164">
        <v>51</v>
      </c>
      <c r="B83" s="165"/>
      <c r="C83" s="165" t="s">
        <v>246</v>
      </c>
      <c r="D83" s="95">
        <v>0</v>
      </c>
      <c r="E83" s="273">
        <v>0</v>
      </c>
      <c r="F83" s="124">
        <v>0</v>
      </c>
      <c r="G83" s="124">
        <v>0</v>
      </c>
    </row>
    <row r="84" spans="1:7" s="91" customFormat="1">
      <c r="A84" s="164">
        <v>52</v>
      </c>
      <c r="B84" s="165"/>
      <c r="C84" s="165" t="s">
        <v>247</v>
      </c>
      <c r="D84" s="95">
        <v>0</v>
      </c>
      <c r="E84" s="273">
        <v>13</v>
      </c>
      <c r="F84" s="124">
        <v>0</v>
      </c>
      <c r="G84" s="124">
        <v>0</v>
      </c>
    </row>
    <row r="85" spans="1:7" s="91" customFormat="1">
      <c r="A85" s="166">
        <v>54</v>
      </c>
      <c r="B85" s="167"/>
      <c r="C85" s="167" t="s">
        <v>248</v>
      </c>
      <c r="D85" s="100">
        <v>0</v>
      </c>
      <c r="E85" s="274">
        <v>0</v>
      </c>
      <c r="F85" s="132">
        <v>69.5</v>
      </c>
      <c r="G85" s="132">
        <v>0</v>
      </c>
    </row>
    <row r="86" spans="1:7" s="91" customFormat="1">
      <c r="A86" s="166">
        <v>55</v>
      </c>
      <c r="B86" s="167"/>
      <c r="C86" s="167" t="s">
        <v>249</v>
      </c>
      <c r="D86" s="100">
        <v>0</v>
      </c>
      <c r="E86" s="274">
        <v>0</v>
      </c>
      <c r="F86" s="132">
        <v>0</v>
      </c>
      <c r="G86" s="132">
        <v>0</v>
      </c>
    </row>
    <row r="87" spans="1:7" s="91" customFormat="1">
      <c r="A87" s="166">
        <v>56</v>
      </c>
      <c r="B87" s="167"/>
      <c r="C87" s="167" t="s">
        <v>250</v>
      </c>
      <c r="D87" s="100">
        <v>0</v>
      </c>
      <c r="E87" s="275">
        <v>4200</v>
      </c>
      <c r="F87" s="100">
        <v>2619.1999999999998</v>
      </c>
      <c r="G87" s="100">
        <v>3210</v>
      </c>
    </row>
    <row r="88" spans="1:7" s="91" customFormat="1">
      <c r="A88" s="164">
        <v>57</v>
      </c>
      <c r="B88" s="165"/>
      <c r="C88" s="165" t="s">
        <v>251</v>
      </c>
      <c r="D88" s="95">
        <v>0</v>
      </c>
      <c r="E88" s="273">
        <v>0</v>
      </c>
      <c r="F88" s="124">
        <v>0</v>
      </c>
      <c r="G88" s="124">
        <v>0</v>
      </c>
    </row>
    <row r="89" spans="1:7" s="91" customFormat="1">
      <c r="A89" s="164">
        <v>580</v>
      </c>
      <c r="B89" s="165"/>
      <c r="C89" s="165" t="s">
        <v>252</v>
      </c>
      <c r="D89" s="95">
        <v>0</v>
      </c>
      <c r="E89" s="273">
        <v>0</v>
      </c>
      <c r="F89" s="124">
        <v>0</v>
      </c>
      <c r="G89" s="124">
        <v>0</v>
      </c>
    </row>
    <row r="90" spans="1:7" s="91" customFormat="1">
      <c r="A90" s="164">
        <v>582</v>
      </c>
      <c r="B90" s="165"/>
      <c r="C90" s="165" t="s">
        <v>253</v>
      </c>
      <c r="D90" s="95">
        <v>0</v>
      </c>
      <c r="E90" s="273">
        <v>0</v>
      </c>
      <c r="F90" s="124">
        <v>0</v>
      </c>
      <c r="G90" s="124">
        <v>0</v>
      </c>
    </row>
    <row r="91" spans="1:7" s="91" customFormat="1">
      <c r="A91" s="164">
        <v>584</v>
      </c>
      <c r="B91" s="165"/>
      <c r="C91" s="165" t="s">
        <v>254</v>
      </c>
      <c r="D91" s="95">
        <v>0</v>
      </c>
      <c r="E91" s="273">
        <v>0</v>
      </c>
      <c r="F91" s="124">
        <v>0</v>
      </c>
      <c r="G91" s="124">
        <v>0</v>
      </c>
    </row>
    <row r="92" spans="1:7" s="91" customFormat="1">
      <c r="A92" s="164">
        <v>585</v>
      </c>
      <c r="B92" s="165"/>
      <c r="C92" s="165" t="s">
        <v>255</v>
      </c>
      <c r="D92" s="95">
        <v>0</v>
      </c>
      <c r="E92" s="273">
        <v>0</v>
      </c>
      <c r="F92" s="124">
        <v>0</v>
      </c>
      <c r="G92" s="124">
        <v>0</v>
      </c>
    </row>
    <row r="93" spans="1:7" s="91" customFormat="1">
      <c r="A93" s="164">
        <v>586</v>
      </c>
      <c r="B93" s="165"/>
      <c r="C93" s="165" t="s">
        <v>256</v>
      </c>
      <c r="D93" s="95">
        <v>0</v>
      </c>
      <c r="E93" s="273">
        <v>0</v>
      </c>
      <c r="F93" s="124">
        <v>0</v>
      </c>
      <c r="G93" s="124">
        <v>0</v>
      </c>
    </row>
    <row r="94" spans="1:7" s="91" customFormat="1">
      <c r="A94" s="168">
        <v>589</v>
      </c>
      <c r="B94" s="169"/>
      <c r="C94" s="169" t="s">
        <v>257</v>
      </c>
      <c r="D94" s="119">
        <v>0</v>
      </c>
      <c r="E94" s="276">
        <v>0</v>
      </c>
      <c r="F94" s="133">
        <v>0</v>
      </c>
      <c r="G94" s="133">
        <v>0</v>
      </c>
    </row>
    <row r="95" spans="1:7">
      <c r="A95" s="170">
        <v>5</v>
      </c>
      <c r="B95" s="171"/>
      <c r="C95" s="171" t="s">
        <v>258</v>
      </c>
      <c r="D95" s="172">
        <f t="shared" ref="D95:G95" si="9">SUM(D82:D94)</f>
        <v>0</v>
      </c>
      <c r="E95" s="172">
        <f t="shared" si="9"/>
        <v>24374</v>
      </c>
      <c r="F95" s="172">
        <f t="shared" si="9"/>
        <v>13326</v>
      </c>
      <c r="G95" s="172">
        <f t="shared" si="9"/>
        <v>20975</v>
      </c>
    </row>
    <row r="96" spans="1:7" s="91" customFormat="1">
      <c r="A96" s="164">
        <v>60</v>
      </c>
      <c r="B96" s="165"/>
      <c r="C96" s="165" t="s">
        <v>259</v>
      </c>
      <c r="D96" s="95">
        <v>0</v>
      </c>
      <c r="E96" s="124">
        <v>0</v>
      </c>
      <c r="F96" s="124">
        <v>0</v>
      </c>
      <c r="G96" s="124">
        <v>0</v>
      </c>
    </row>
    <row r="97" spans="1:7" s="91" customFormat="1">
      <c r="A97" s="164">
        <v>61</v>
      </c>
      <c r="B97" s="165"/>
      <c r="C97" s="165" t="s">
        <v>260</v>
      </c>
      <c r="D97" s="95">
        <v>0</v>
      </c>
      <c r="E97" s="124">
        <v>250</v>
      </c>
      <c r="F97" s="124">
        <v>8.6999999999999993</v>
      </c>
      <c r="G97" s="124">
        <v>250</v>
      </c>
    </row>
    <row r="98" spans="1:7" s="91" customFormat="1">
      <c r="A98" s="164">
        <v>62</v>
      </c>
      <c r="B98" s="165"/>
      <c r="C98" s="165" t="s">
        <v>261</v>
      </c>
      <c r="D98" s="95">
        <v>0</v>
      </c>
      <c r="E98" s="124">
        <v>0</v>
      </c>
      <c r="F98" s="124">
        <v>0</v>
      </c>
      <c r="G98" s="124">
        <v>0</v>
      </c>
    </row>
    <row r="99" spans="1:7" s="91" customFormat="1">
      <c r="A99" s="164">
        <v>63</v>
      </c>
      <c r="B99" s="165"/>
      <c r="C99" s="165" t="s">
        <v>262</v>
      </c>
      <c r="D99" s="95">
        <v>0</v>
      </c>
      <c r="E99" s="95">
        <v>950</v>
      </c>
      <c r="F99" s="95">
        <v>1711.1</v>
      </c>
      <c r="G99" s="95">
        <v>955</v>
      </c>
    </row>
    <row r="100" spans="1:7" s="91" customFormat="1">
      <c r="A100" s="164">
        <v>64</v>
      </c>
      <c r="B100" s="165"/>
      <c r="C100" s="165" t="s">
        <v>263</v>
      </c>
      <c r="D100" s="95">
        <v>0</v>
      </c>
      <c r="E100" s="124">
        <v>0</v>
      </c>
      <c r="F100" s="124">
        <v>111.5</v>
      </c>
      <c r="G100" s="124">
        <v>0</v>
      </c>
    </row>
    <row r="101" spans="1:7" s="91" customFormat="1">
      <c r="A101" s="164">
        <v>65</v>
      </c>
      <c r="B101" s="165"/>
      <c r="C101" s="165" t="s">
        <v>264</v>
      </c>
      <c r="D101" s="95">
        <v>0</v>
      </c>
      <c r="E101" s="124">
        <v>0</v>
      </c>
      <c r="F101" s="124">
        <v>0</v>
      </c>
      <c r="G101" s="124">
        <v>0</v>
      </c>
    </row>
    <row r="102" spans="1:7" s="91" customFormat="1">
      <c r="A102" s="164">
        <v>66</v>
      </c>
      <c r="B102" s="165"/>
      <c r="C102" s="165" t="s">
        <v>265</v>
      </c>
      <c r="D102" s="95">
        <v>0</v>
      </c>
      <c r="E102" s="124">
        <v>498</v>
      </c>
      <c r="F102" s="124">
        <v>1330.4</v>
      </c>
      <c r="G102" s="124">
        <v>975</v>
      </c>
    </row>
    <row r="103" spans="1:7" s="91" customFormat="1">
      <c r="A103" s="164">
        <v>67</v>
      </c>
      <c r="B103" s="165"/>
      <c r="C103" s="165" t="s">
        <v>251</v>
      </c>
      <c r="D103" s="130">
        <v>0</v>
      </c>
      <c r="E103" s="96">
        <v>0</v>
      </c>
      <c r="F103" s="96">
        <v>0</v>
      </c>
      <c r="G103" s="96">
        <v>0</v>
      </c>
    </row>
    <row r="104" spans="1:7" s="91" customFormat="1" ht="28">
      <c r="A104" s="173" t="s">
        <v>266</v>
      </c>
      <c r="B104" s="165"/>
      <c r="C104" s="174" t="s">
        <v>267</v>
      </c>
      <c r="D104" s="267">
        <v>0</v>
      </c>
      <c r="E104" s="277">
        <v>0</v>
      </c>
      <c r="F104" s="277">
        <v>0</v>
      </c>
      <c r="G104" s="277">
        <v>0</v>
      </c>
    </row>
    <row r="105" spans="1:7" s="91" customFormat="1" ht="42">
      <c r="A105" s="175" t="s">
        <v>268</v>
      </c>
      <c r="B105" s="169"/>
      <c r="C105" s="176" t="s">
        <v>269</v>
      </c>
      <c r="D105" s="278">
        <v>0</v>
      </c>
      <c r="E105" s="279">
        <v>0</v>
      </c>
      <c r="F105" s="279">
        <v>0</v>
      </c>
      <c r="G105" s="279">
        <v>0</v>
      </c>
    </row>
    <row r="106" spans="1:7">
      <c r="A106" s="170">
        <v>6</v>
      </c>
      <c r="B106" s="171"/>
      <c r="C106" s="171" t="s">
        <v>270</v>
      </c>
      <c r="D106" s="172">
        <f t="shared" ref="D106:G106" si="10">SUM(D96:D105)</f>
        <v>0</v>
      </c>
      <c r="E106" s="172">
        <f t="shared" si="10"/>
        <v>1698</v>
      </c>
      <c r="F106" s="172">
        <f t="shared" si="10"/>
        <v>3161.7</v>
      </c>
      <c r="G106" s="172">
        <f t="shared" si="10"/>
        <v>2180</v>
      </c>
    </row>
    <row r="107" spans="1:7">
      <c r="A107" s="178" t="s">
        <v>271</v>
      </c>
      <c r="B107" s="178"/>
      <c r="C107" s="171" t="s">
        <v>1</v>
      </c>
      <c r="D107" s="172">
        <f t="shared" ref="D107:G107" si="11">(D95-D88)-(D106-D103)</f>
        <v>0</v>
      </c>
      <c r="E107" s="172">
        <f t="shared" si="11"/>
        <v>22676</v>
      </c>
      <c r="F107" s="172">
        <f t="shared" si="11"/>
        <v>10164.299999999999</v>
      </c>
      <c r="G107" s="172">
        <f t="shared" si="11"/>
        <v>18795</v>
      </c>
    </row>
    <row r="108" spans="1:7">
      <c r="A108" s="179" t="s">
        <v>272</v>
      </c>
      <c r="B108" s="179"/>
      <c r="C108" s="180" t="s">
        <v>273</v>
      </c>
      <c r="D108" s="280">
        <f t="shared" ref="D108:G108" si="12">D107-D85-D86+D100+D101</f>
        <v>0</v>
      </c>
      <c r="E108" s="280">
        <f t="shared" si="12"/>
        <v>22676</v>
      </c>
      <c r="F108" s="280">
        <f t="shared" si="12"/>
        <v>10206.299999999999</v>
      </c>
      <c r="G108" s="280">
        <f t="shared" si="12"/>
        <v>18795</v>
      </c>
    </row>
    <row r="109" spans="1:7">
      <c r="C109" s="135"/>
    </row>
    <row r="110" spans="1:7">
      <c r="A110" s="181" t="s">
        <v>274</v>
      </c>
      <c r="B110" s="182"/>
      <c r="C110" s="181"/>
    </row>
    <row r="111" spans="1:7" s="91" customFormat="1">
      <c r="A111" s="183">
        <v>10</v>
      </c>
      <c r="B111" s="184"/>
      <c r="C111" s="184" t="s">
        <v>275</v>
      </c>
      <c r="D111" s="186">
        <f t="shared" ref="D111:G111" si="13">D112+D117</f>
        <v>0</v>
      </c>
      <c r="E111" s="186">
        <f t="shared" si="13"/>
        <v>0</v>
      </c>
      <c r="F111" s="186">
        <f t="shared" si="13"/>
        <v>139989.9</v>
      </c>
      <c r="G111" s="186">
        <f t="shared" si="13"/>
        <v>0</v>
      </c>
    </row>
    <row r="112" spans="1:7" s="91" customFormat="1">
      <c r="A112" s="187" t="s">
        <v>276</v>
      </c>
      <c r="B112" s="188"/>
      <c r="C112" s="188" t="s">
        <v>277</v>
      </c>
      <c r="D112" s="186">
        <f t="shared" ref="D112:G112" si="14">D113+D114+D115+D116</f>
        <v>0</v>
      </c>
      <c r="E112" s="186">
        <f t="shared" si="14"/>
        <v>0</v>
      </c>
      <c r="F112" s="186">
        <f t="shared" si="14"/>
        <v>96931.199999999997</v>
      </c>
      <c r="G112" s="186">
        <f t="shared" si="14"/>
        <v>0</v>
      </c>
    </row>
    <row r="113" spans="1:7" s="91" customFormat="1">
      <c r="A113" s="281" t="s">
        <v>278</v>
      </c>
      <c r="B113" s="208"/>
      <c r="C113" s="208" t="s">
        <v>279</v>
      </c>
      <c r="D113" s="100">
        <v>0</v>
      </c>
      <c r="E113" s="100">
        <v>0</v>
      </c>
      <c r="F113" s="100">
        <v>61363.8</v>
      </c>
      <c r="G113" s="100"/>
    </row>
    <row r="114" spans="1:7" s="153" customFormat="1" ht="15" customHeight="1">
      <c r="A114" s="282">
        <v>102</v>
      </c>
      <c r="B114" s="283"/>
      <c r="C114" s="283" t="s">
        <v>280</v>
      </c>
      <c r="D114" s="284">
        <v>0</v>
      </c>
      <c r="E114" s="100">
        <v>0</v>
      </c>
      <c r="F114" s="284">
        <v>32000</v>
      </c>
      <c r="G114" s="284"/>
    </row>
    <row r="115" spans="1:7" s="91" customFormat="1">
      <c r="A115" s="281">
        <v>104</v>
      </c>
      <c r="B115" s="208"/>
      <c r="C115" s="208" t="s">
        <v>281</v>
      </c>
      <c r="D115" s="100">
        <v>0</v>
      </c>
      <c r="E115" s="100">
        <v>0</v>
      </c>
      <c r="F115" s="100">
        <v>3467.4</v>
      </c>
      <c r="G115" s="100"/>
    </row>
    <row r="116" spans="1:7" s="91" customFormat="1">
      <c r="A116" s="281">
        <v>106</v>
      </c>
      <c r="B116" s="208"/>
      <c r="C116" s="208" t="s">
        <v>282</v>
      </c>
      <c r="D116" s="100">
        <v>0</v>
      </c>
      <c r="E116" s="100">
        <v>0</v>
      </c>
      <c r="F116" s="100">
        <v>100</v>
      </c>
      <c r="G116" s="100"/>
    </row>
    <row r="117" spans="1:7" s="91" customFormat="1">
      <c r="A117" s="187" t="s">
        <v>283</v>
      </c>
      <c r="B117" s="188"/>
      <c r="C117" s="188" t="s">
        <v>284</v>
      </c>
      <c r="D117" s="186">
        <f t="shared" ref="D117:G117" si="15">D118+D119+D120</f>
        <v>0</v>
      </c>
      <c r="E117" s="186">
        <f t="shared" si="15"/>
        <v>0</v>
      </c>
      <c r="F117" s="186">
        <f t="shared" si="15"/>
        <v>43058.7</v>
      </c>
      <c r="G117" s="186">
        <f t="shared" si="15"/>
        <v>0</v>
      </c>
    </row>
    <row r="118" spans="1:7" s="91" customFormat="1">
      <c r="A118" s="281">
        <v>107</v>
      </c>
      <c r="B118" s="208"/>
      <c r="C118" s="208" t="s">
        <v>285</v>
      </c>
      <c r="D118" s="100">
        <v>0</v>
      </c>
      <c r="E118" s="100">
        <v>0</v>
      </c>
      <c r="F118" s="100">
        <v>29436</v>
      </c>
      <c r="G118" s="100"/>
    </row>
    <row r="119" spans="1:7" s="91" customFormat="1">
      <c r="A119" s="281">
        <v>108</v>
      </c>
      <c r="B119" s="208"/>
      <c r="C119" s="208" t="s">
        <v>286</v>
      </c>
      <c r="D119" s="100">
        <v>0</v>
      </c>
      <c r="E119" s="100">
        <v>0</v>
      </c>
      <c r="F119" s="100">
        <v>13622.7</v>
      </c>
      <c r="G119" s="100"/>
    </row>
    <row r="120" spans="1:7" s="195" customFormat="1" ht="14">
      <c r="A120" s="282">
        <v>109</v>
      </c>
      <c r="B120" s="285"/>
      <c r="C120" s="285" t="s">
        <v>287</v>
      </c>
      <c r="D120" s="286">
        <v>0</v>
      </c>
      <c r="E120" s="286">
        <v>0</v>
      </c>
      <c r="F120" s="286">
        <v>0</v>
      </c>
      <c r="G120" s="286"/>
    </row>
    <row r="121" spans="1:7" s="91" customFormat="1">
      <c r="A121" s="187">
        <v>14</v>
      </c>
      <c r="B121" s="188"/>
      <c r="C121" s="188" t="s">
        <v>288</v>
      </c>
      <c r="D121" s="185">
        <f t="shared" ref="D121:G121" si="16">SUM(D122:D130)</f>
        <v>0</v>
      </c>
      <c r="E121" s="185">
        <f t="shared" si="16"/>
        <v>0</v>
      </c>
      <c r="F121" s="185">
        <f t="shared" si="16"/>
        <v>46485.8</v>
      </c>
      <c r="G121" s="185">
        <f t="shared" si="16"/>
        <v>0</v>
      </c>
    </row>
    <row r="122" spans="1:7" s="91" customFormat="1">
      <c r="A122" s="189" t="s">
        <v>289</v>
      </c>
      <c r="B122" s="190"/>
      <c r="C122" s="190" t="s">
        <v>290</v>
      </c>
      <c r="D122" s="95">
        <v>0</v>
      </c>
      <c r="E122" s="95">
        <v>0</v>
      </c>
      <c r="F122" s="95">
        <v>14655.5</v>
      </c>
      <c r="G122" s="95"/>
    </row>
    <row r="123" spans="1:7" s="91" customFormat="1">
      <c r="A123" s="189">
        <v>144</v>
      </c>
      <c r="B123" s="190"/>
      <c r="C123" s="190" t="s">
        <v>248</v>
      </c>
      <c r="D123" s="100">
        <v>0</v>
      </c>
      <c r="E123" s="100">
        <v>0</v>
      </c>
      <c r="F123" s="100">
        <v>30418.400000000001</v>
      </c>
      <c r="G123" s="100"/>
    </row>
    <row r="124" spans="1:7" s="91" customFormat="1">
      <c r="A124" s="189">
        <v>145</v>
      </c>
      <c r="B124" s="190"/>
      <c r="C124" s="190" t="s">
        <v>291</v>
      </c>
      <c r="D124" s="100">
        <v>0</v>
      </c>
      <c r="E124" s="100">
        <v>0</v>
      </c>
      <c r="F124" s="100">
        <v>1726</v>
      </c>
      <c r="G124" s="100"/>
    </row>
    <row r="125" spans="1:7" s="91" customFormat="1">
      <c r="A125" s="189">
        <v>146</v>
      </c>
      <c r="B125" s="190"/>
      <c r="C125" s="190" t="s">
        <v>292</v>
      </c>
      <c r="D125" s="100">
        <v>0</v>
      </c>
      <c r="E125" s="100">
        <v>0</v>
      </c>
      <c r="F125" s="100">
        <v>1793.5</v>
      </c>
      <c r="G125" s="100"/>
    </row>
    <row r="126" spans="1:7" s="195" customFormat="1" ht="29.5" customHeight="1">
      <c r="A126" s="191" t="s">
        <v>293</v>
      </c>
      <c r="B126" s="193"/>
      <c r="C126" s="193" t="s">
        <v>294</v>
      </c>
      <c r="D126" s="131">
        <v>0</v>
      </c>
      <c r="E126" s="131">
        <v>0</v>
      </c>
      <c r="F126" s="131">
        <v>-2107.6</v>
      </c>
      <c r="G126" s="131"/>
    </row>
    <row r="127" spans="1:7" s="91" customFormat="1">
      <c r="A127" s="189">
        <v>1484</v>
      </c>
      <c r="B127" s="190"/>
      <c r="C127" s="190" t="s">
        <v>295</v>
      </c>
      <c r="D127" s="95">
        <v>0</v>
      </c>
      <c r="E127" s="95">
        <v>0</v>
      </c>
      <c r="F127" s="95">
        <v>0</v>
      </c>
      <c r="G127" s="95"/>
    </row>
    <row r="128" spans="1:7" s="91" customFormat="1">
      <c r="A128" s="189">
        <v>1485</v>
      </c>
      <c r="B128" s="190"/>
      <c r="C128" s="190" t="s">
        <v>296</v>
      </c>
      <c r="D128" s="95">
        <v>0</v>
      </c>
      <c r="E128" s="95">
        <v>0</v>
      </c>
      <c r="F128" s="95">
        <v>0</v>
      </c>
      <c r="G128" s="95">
        <v>0</v>
      </c>
    </row>
    <row r="129" spans="1:7" s="91" customFormat="1">
      <c r="A129" s="189">
        <v>1486</v>
      </c>
      <c r="B129" s="190"/>
      <c r="C129" s="190" t="s">
        <v>297</v>
      </c>
      <c r="D129" s="95">
        <v>0</v>
      </c>
      <c r="E129" s="95">
        <v>0</v>
      </c>
      <c r="F129" s="95">
        <v>0</v>
      </c>
      <c r="G129" s="95">
        <v>0</v>
      </c>
    </row>
    <row r="130" spans="1:7" s="91" customFormat="1">
      <c r="A130" s="198">
        <v>1489</v>
      </c>
      <c r="B130" s="199"/>
      <c r="C130" s="199" t="s">
        <v>298</v>
      </c>
      <c r="D130" s="119">
        <v>0</v>
      </c>
      <c r="E130" s="119">
        <v>0</v>
      </c>
      <c r="F130" s="119">
        <v>0</v>
      </c>
      <c r="G130" s="119">
        <v>0</v>
      </c>
    </row>
    <row r="131" spans="1:7">
      <c r="A131" s="201">
        <v>1</v>
      </c>
      <c r="B131" s="202"/>
      <c r="C131" s="201" t="s">
        <v>299</v>
      </c>
      <c r="D131" s="203">
        <f t="shared" ref="D131:G131" si="17">D111+D121</f>
        <v>0</v>
      </c>
      <c r="E131" s="203">
        <f t="shared" si="17"/>
        <v>0</v>
      </c>
      <c r="F131" s="203">
        <f t="shared" si="17"/>
        <v>186475.7</v>
      </c>
      <c r="G131" s="203">
        <f t="shared" si="17"/>
        <v>0</v>
      </c>
    </row>
    <row r="132" spans="1:7">
      <c r="C132" s="135"/>
    </row>
    <row r="133" spans="1:7" s="91" customFormat="1">
      <c r="A133" s="183">
        <v>20</v>
      </c>
      <c r="B133" s="184"/>
      <c r="C133" s="184" t="s">
        <v>300</v>
      </c>
      <c r="D133" s="204">
        <f>D134+D140</f>
        <v>0</v>
      </c>
      <c r="E133" s="204">
        <f t="shared" ref="E133:G133" si="18">E134+E140</f>
        <v>0</v>
      </c>
      <c r="F133" s="204">
        <f t="shared" si="18"/>
        <v>64098.2</v>
      </c>
      <c r="G133" s="204">
        <f t="shared" si="18"/>
        <v>0</v>
      </c>
    </row>
    <row r="134" spans="1:7" s="91" customFormat="1">
      <c r="A134" s="205" t="s">
        <v>301</v>
      </c>
      <c r="B134" s="188"/>
      <c r="C134" s="188" t="s">
        <v>302</v>
      </c>
      <c r="D134" s="185">
        <f t="shared" ref="D134:G134" si="19">D135+D136+D138+D139</f>
        <v>0</v>
      </c>
      <c r="E134" s="186">
        <f t="shared" si="19"/>
        <v>0</v>
      </c>
      <c r="F134" s="186">
        <f t="shared" si="19"/>
        <v>34072.199999999997</v>
      </c>
      <c r="G134" s="186">
        <f t="shared" si="19"/>
        <v>0</v>
      </c>
    </row>
    <row r="135" spans="1:7" s="106" customFormat="1">
      <c r="A135" s="206">
        <v>200</v>
      </c>
      <c r="B135" s="190"/>
      <c r="C135" s="190" t="s">
        <v>303</v>
      </c>
      <c r="D135" s="100">
        <v>0</v>
      </c>
      <c r="E135" s="100">
        <v>0</v>
      </c>
      <c r="F135" s="100">
        <v>28169.5</v>
      </c>
      <c r="G135" s="100"/>
    </row>
    <row r="136" spans="1:7" s="106" customFormat="1">
      <c r="A136" s="206">
        <v>201</v>
      </c>
      <c r="B136" s="190"/>
      <c r="C136" s="190" t="s">
        <v>304</v>
      </c>
      <c r="D136" s="100">
        <v>0</v>
      </c>
      <c r="E136" s="100">
        <v>0</v>
      </c>
      <c r="F136" s="100">
        <v>625</v>
      </c>
      <c r="G136" s="100"/>
    </row>
    <row r="137" spans="1:7" s="106" customFormat="1">
      <c r="A137" s="207" t="s">
        <v>305</v>
      </c>
      <c r="B137" s="208"/>
      <c r="C137" s="208" t="s">
        <v>306</v>
      </c>
      <c r="D137" s="100">
        <v>0</v>
      </c>
      <c r="E137" s="100">
        <v>0</v>
      </c>
      <c r="F137" s="100">
        <v>0</v>
      </c>
      <c r="G137" s="100"/>
    </row>
    <row r="138" spans="1:7" s="106" customFormat="1">
      <c r="A138" s="206">
        <v>204</v>
      </c>
      <c r="B138" s="190"/>
      <c r="C138" s="190" t="s">
        <v>307</v>
      </c>
      <c r="D138" s="100">
        <v>0</v>
      </c>
      <c r="E138" s="100">
        <v>0</v>
      </c>
      <c r="F138" s="100">
        <v>5277.7</v>
      </c>
      <c r="G138" s="100"/>
    </row>
    <row r="139" spans="1:7" s="106" customFormat="1">
      <c r="A139" s="206">
        <v>205</v>
      </c>
      <c r="B139" s="190"/>
      <c r="C139" s="190" t="s">
        <v>308</v>
      </c>
      <c r="D139" s="100">
        <v>0</v>
      </c>
      <c r="E139" s="100">
        <v>0</v>
      </c>
      <c r="F139" s="100">
        <v>0</v>
      </c>
      <c r="G139" s="100"/>
    </row>
    <row r="140" spans="1:7" s="106" customFormat="1">
      <c r="A140" s="205" t="s">
        <v>309</v>
      </c>
      <c r="B140" s="188"/>
      <c r="C140" s="188" t="s">
        <v>310</v>
      </c>
      <c r="D140" s="186">
        <f t="shared" ref="D140:G140" si="20">D141+D143+D144</f>
        <v>0</v>
      </c>
      <c r="E140" s="186">
        <f t="shared" si="20"/>
        <v>0</v>
      </c>
      <c r="F140" s="186">
        <f t="shared" si="20"/>
        <v>30026</v>
      </c>
      <c r="G140" s="186">
        <f t="shared" si="20"/>
        <v>0</v>
      </c>
    </row>
    <row r="141" spans="1:7" s="106" customFormat="1">
      <c r="A141" s="206">
        <v>206</v>
      </c>
      <c r="B141" s="190"/>
      <c r="C141" s="190" t="s">
        <v>311</v>
      </c>
      <c r="D141" s="100">
        <v>0</v>
      </c>
      <c r="E141" s="100">
        <v>0</v>
      </c>
      <c r="F141" s="100">
        <v>27747.9</v>
      </c>
      <c r="G141" s="100"/>
    </row>
    <row r="142" spans="1:7" s="106" customFormat="1">
      <c r="A142" s="207" t="s">
        <v>312</v>
      </c>
      <c r="B142" s="208"/>
      <c r="C142" s="208" t="s">
        <v>313</v>
      </c>
      <c r="D142" s="100">
        <v>0</v>
      </c>
      <c r="E142" s="100">
        <v>0</v>
      </c>
      <c r="F142" s="100">
        <v>0</v>
      </c>
      <c r="G142" s="100"/>
    </row>
    <row r="143" spans="1:7" s="106" customFormat="1">
      <c r="A143" s="206">
        <v>208</v>
      </c>
      <c r="B143" s="190"/>
      <c r="C143" s="190" t="s">
        <v>314</v>
      </c>
      <c r="D143" s="100">
        <v>0</v>
      </c>
      <c r="E143" s="100">
        <v>0</v>
      </c>
      <c r="F143" s="100">
        <v>320</v>
      </c>
      <c r="G143" s="100"/>
    </row>
    <row r="144" spans="1:7" s="111" customFormat="1" ht="28">
      <c r="A144" s="191">
        <v>209</v>
      </c>
      <c r="B144" s="193"/>
      <c r="C144" s="193" t="s">
        <v>315</v>
      </c>
      <c r="D144" s="284">
        <v>0</v>
      </c>
      <c r="E144" s="284">
        <v>0</v>
      </c>
      <c r="F144" s="284">
        <v>1958.1</v>
      </c>
      <c r="G144" s="284"/>
    </row>
    <row r="145" spans="1:7" s="91" customFormat="1">
      <c r="A145" s="205">
        <v>29</v>
      </c>
      <c r="B145" s="188"/>
      <c r="C145" s="188" t="s">
        <v>316</v>
      </c>
      <c r="D145" s="100">
        <v>0</v>
      </c>
      <c r="E145" s="100">
        <v>0</v>
      </c>
      <c r="F145" s="100">
        <v>122377.4</v>
      </c>
      <c r="G145" s="100"/>
    </row>
    <row r="146" spans="1:7" s="91" customFormat="1">
      <c r="A146" s="211" t="s">
        <v>317</v>
      </c>
      <c r="B146" s="212"/>
      <c r="C146" s="212" t="s">
        <v>318</v>
      </c>
      <c r="D146" s="138">
        <v>0</v>
      </c>
      <c r="E146" s="138">
        <v>0</v>
      </c>
      <c r="F146" s="138">
        <v>67963.8</v>
      </c>
      <c r="G146" s="138"/>
    </row>
    <row r="147" spans="1:7">
      <c r="A147" s="201">
        <v>2</v>
      </c>
      <c r="B147" s="202"/>
      <c r="C147" s="287" t="s">
        <v>319</v>
      </c>
      <c r="D147" s="203">
        <f t="shared" ref="D147:G147" si="21">D133+D145</f>
        <v>0</v>
      </c>
      <c r="E147" s="203">
        <f t="shared" si="21"/>
        <v>0</v>
      </c>
      <c r="F147" s="203">
        <f t="shared" si="21"/>
        <v>186475.59999999998</v>
      </c>
      <c r="G147" s="203">
        <f t="shared" si="21"/>
        <v>0</v>
      </c>
    </row>
    <row r="148" spans="1:7" ht="7.5" customHeight="1"/>
    <row r="149" spans="1:7" ht="13.5" customHeight="1">
      <c r="A149" s="213" t="s">
        <v>320</v>
      </c>
      <c r="B149" s="214"/>
      <c r="C149" s="288" t="s">
        <v>321</v>
      </c>
      <c r="D149" s="214"/>
      <c r="E149" s="214"/>
      <c r="F149" s="214"/>
      <c r="G149" s="214"/>
    </row>
    <row r="150" spans="1:7">
      <c r="A150" s="289" t="s">
        <v>322</v>
      </c>
      <c r="B150" s="290"/>
      <c r="C150" s="291" t="s">
        <v>82</v>
      </c>
      <c r="D150" s="218">
        <f t="shared" ref="D150:G150" si="22">D77+SUM(D8:D12)-D30-D31+D16-D33+D59+D63-D73+D64-D74-D54+D20-D35</f>
        <v>0</v>
      </c>
      <c r="E150" s="218">
        <f t="shared" si="22"/>
        <v>1786.2000000000116</v>
      </c>
      <c r="F150" s="218">
        <f t="shared" si="22"/>
        <v>13709.399999999987</v>
      </c>
      <c r="G150" s="218">
        <f t="shared" si="22"/>
        <v>1193</v>
      </c>
    </row>
    <row r="151" spans="1:7">
      <c r="A151" s="215" t="s">
        <v>323</v>
      </c>
      <c r="B151" s="214"/>
      <c r="C151" s="292" t="s">
        <v>324</v>
      </c>
      <c r="D151" s="221">
        <f t="shared" ref="D151:G151" si="23">IF(D177=0,0,D150/D177)</f>
        <v>0</v>
      </c>
      <c r="E151" s="221">
        <f t="shared" si="23"/>
        <v>1.5621693006008444E-2</v>
      </c>
      <c r="F151" s="221">
        <f t="shared" si="23"/>
        <v>0.1087315838229508</v>
      </c>
      <c r="G151" s="221">
        <f t="shared" si="23"/>
        <v>1.0328288949683139E-2</v>
      </c>
    </row>
    <row r="152" spans="1:7" s="296" customFormat="1" ht="28">
      <c r="A152" s="229" t="s">
        <v>325</v>
      </c>
      <c r="B152" s="293"/>
      <c r="C152" s="294" t="s">
        <v>326</v>
      </c>
      <c r="D152" s="295">
        <f t="shared" ref="D152:G152" si="24">IF(D107=0,0,D150/D107)</f>
        <v>0</v>
      </c>
      <c r="E152" s="295">
        <f t="shared" si="24"/>
        <v>7.8770506262127879E-2</v>
      </c>
      <c r="F152" s="295">
        <f t="shared" si="24"/>
        <v>1.3487795519612751</v>
      </c>
      <c r="G152" s="295">
        <f t="shared" si="24"/>
        <v>6.3474328278797551E-2</v>
      </c>
    </row>
    <row r="153" spans="1:7" s="296" customFormat="1" ht="28">
      <c r="A153" s="222" t="s">
        <v>325</v>
      </c>
      <c r="B153" s="297"/>
      <c r="C153" s="298" t="s">
        <v>327</v>
      </c>
      <c r="D153" s="241">
        <f t="shared" ref="D153:G153" si="25">IF(0=D108,0,D150/D108)</f>
        <v>0</v>
      </c>
      <c r="E153" s="241">
        <f t="shared" si="25"/>
        <v>7.8770506262127879E-2</v>
      </c>
      <c r="F153" s="241">
        <f t="shared" si="25"/>
        <v>1.3432291819758373</v>
      </c>
      <c r="G153" s="241">
        <f t="shared" si="25"/>
        <v>6.3474328278797551E-2</v>
      </c>
    </row>
    <row r="154" spans="1:7" ht="28">
      <c r="A154" s="226" t="s">
        <v>328</v>
      </c>
      <c r="B154" s="299"/>
      <c r="C154" s="300" t="s">
        <v>329</v>
      </c>
      <c r="D154" s="234">
        <f t="shared" ref="D154:G154" si="26">D150-D107</f>
        <v>0</v>
      </c>
      <c r="E154" s="234">
        <f t="shared" si="26"/>
        <v>-20889.799999999988</v>
      </c>
      <c r="F154" s="234">
        <f t="shared" si="26"/>
        <v>3545.0999999999876</v>
      </c>
      <c r="G154" s="234">
        <f t="shared" si="26"/>
        <v>-17602</v>
      </c>
    </row>
    <row r="155" spans="1:7" ht="28">
      <c r="A155" s="222" t="s">
        <v>330</v>
      </c>
      <c r="B155" s="297"/>
      <c r="C155" s="298" t="s">
        <v>331</v>
      </c>
      <c r="D155" s="231">
        <f t="shared" ref="D155:G155" si="27">D150-D108</f>
        <v>0</v>
      </c>
      <c r="E155" s="231">
        <f t="shared" si="27"/>
        <v>-20889.799999999988</v>
      </c>
      <c r="F155" s="231">
        <f t="shared" si="27"/>
        <v>3503.0999999999876</v>
      </c>
      <c r="G155" s="231">
        <f t="shared" si="27"/>
        <v>-17602</v>
      </c>
    </row>
    <row r="156" spans="1:7">
      <c r="A156" s="289" t="s">
        <v>332</v>
      </c>
      <c r="B156" s="290"/>
      <c r="C156" s="291" t="s">
        <v>333</v>
      </c>
      <c r="D156" s="235">
        <f t="shared" ref="D156:G156" si="28">D135+D136-D137+D141-D142</f>
        <v>0</v>
      </c>
      <c r="E156" s="235">
        <f t="shared" si="28"/>
        <v>0</v>
      </c>
      <c r="F156" s="235">
        <f t="shared" si="28"/>
        <v>56542.400000000001</v>
      </c>
      <c r="G156" s="235">
        <f t="shared" si="28"/>
        <v>0</v>
      </c>
    </row>
    <row r="157" spans="1:7">
      <c r="A157" s="301" t="s">
        <v>334</v>
      </c>
      <c r="B157" s="302"/>
      <c r="C157" s="303" t="s">
        <v>335</v>
      </c>
      <c r="D157" s="238">
        <f t="shared" ref="D157:G157" si="29">IF(D177=0,0,D156/D177)</f>
        <v>0</v>
      </c>
      <c r="E157" s="238">
        <f t="shared" si="29"/>
        <v>0</v>
      </c>
      <c r="F157" s="238">
        <f t="shared" si="29"/>
        <v>0.44844739413474105</v>
      </c>
      <c r="G157" s="238">
        <f t="shared" si="29"/>
        <v>0</v>
      </c>
    </row>
    <row r="158" spans="1:7">
      <c r="A158" s="289" t="s">
        <v>336</v>
      </c>
      <c r="B158" s="290"/>
      <c r="C158" s="291" t="s">
        <v>337</v>
      </c>
      <c r="D158" s="235">
        <f t="shared" ref="D158:G158" si="30">D133-D142-D111</f>
        <v>0</v>
      </c>
      <c r="E158" s="235">
        <f t="shared" si="30"/>
        <v>0</v>
      </c>
      <c r="F158" s="235">
        <f t="shared" si="30"/>
        <v>-75891.7</v>
      </c>
      <c r="G158" s="235">
        <f t="shared" si="30"/>
        <v>0</v>
      </c>
    </row>
    <row r="159" spans="1:7">
      <c r="A159" s="215" t="s">
        <v>338</v>
      </c>
      <c r="B159" s="214"/>
      <c r="C159" s="292" t="s">
        <v>339</v>
      </c>
      <c r="D159" s="239">
        <f t="shared" ref="D159:G159" si="31">D121-D123-D124-D142-D145</f>
        <v>0</v>
      </c>
      <c r="E159" s="239">
        <f t="shared" si="31"/>
        <v>0</v>
      </c>
      <c r="F159" s="239">
        <f t="shared" si="31"/>
        <v>-108036</v>
      </c>
      <c r="G159" s="239">
        <f t="shared" si="31"/>
        <v>0</v>
      </c>
    </row>
    <row r="160" spans="1:7">
      <c r="A160" s="215" t="s">
        <v>340</v>
      </c>
      <c r="B160" s="214"/>
      <c r="C160" s="292" t="s">
        <v>341</v>
      </c>
      <c r="D160" s="240">
        <f t="shared" ref="D160:G160" si="32">IF(D175=0,"-",1000*D158/D175)</f>
        <v>0</v>
      </c>
      <c r="E160" s="240">
        <f t="shared" si="32"/>
        <v>0</v>
      </c>
      <c r="F160" s="240">
        <f t="shared" si="32"/>
        <v>-4732.5829383886257</v>
      </c>
      <c r="G160" s="240" t="str">
        <f t="shared" si="32"/>
        <v>-</v>
      </c>
    </row>
    <row r="161" spans="1:7">
      <c r="A161" s="215" t="s">
        <v>340</v>
      </c>
      <c r="B161" s="214"/>
      <c r="C161" s="292" t="s">
        <v>342</v>
      </c>
      <c r="D161" s="239">
        <f t="shared" ref="D161:G161" si="33">IF(D175=0,0,1000*(D159/D175))</f>
        <v>0</v>
      </c>
      <c r="E161" s="239">
        <f t="shared" si="33"/>
        <v>0</v>
      </c>
      <c r="F161" s="239">
        <f t="shared" si="33"/>
        <v>-6737.0915440259423</v>
      </c>
      <c r="G161" s="239">
        <f t="shared" si="33"/>
        <v>0</v>
      </c>
    </row>
    <row r="162" spans="1:7">
      <c r="A162" s="301" t="s">
        <v>343</v>
      </c>
      <c r="B162" s="302"/>
      <c r="C162" s="303" t="s">
        <v>344</v>
      </c>
      <c r="D162" s="238">
        <f t="shared" ref="D162:G162" si="34">IF((D22+D23+D65+D66)=0,0,D158/(D22+D23+D65+D66))</f>
        <v>0</v>
      </c>
      <c r="E162" s="238">
        <f t="shared" si="34"/>
        <v>0</v>
      </c>
      <c r="F162" s="238">
        <f t="shared" si="34"/>
        <v>-1.5159572449307757</v>
      </c>
      <c r="G162" s="238">
        <f t="shared" si="34"/>
        <v>0</v>
      </c>
    </row>
    <row r="163" spans="1:7">
      <c r="A163" s="215" t="s">
        <v>345</v>
      </c>
      <c r="B163" s="214"/>
      <c r="C163" s="292" t="s">
        <v>386</v>
      </c>
      <c r="D163" s="218">
        <f t="shared" ref="D163:G163" si="35">D145</f>
        <v>0</v>
      </c>
      <c r="E163" s="218">
        <f t="shared" si="35"/>
        <v>0</v>
      </c>
      <c r="F163" s="218">
        <f t="shared" si="35"/>
        <v>122377.4</v>
      </c>
      <c r="G163" s="218">
        <f t="shared" si="35"/>
        <v>0</v>
      </c>
    </row>
    <row r="164" spans="1:7" ht="28">
      <c r="A164" s="222" t="s">
        <v>346</v>
      </c>
      <c r="B164" s="304"/>
      <c r="C164" s="305" t="s">
        <v>347</v>
      </c>
      <c r="D164" s="241">
        <f t="shared" ref="D164:G164" si="36">IF(D178=0,0,D146/D178)</f>
        <v>0</v>
      </c>
      <c r="E164" s="241">
        <f t="shared" si="36"/>
        <v>0</v>
      </c>
      <c r="F164" s="241">
        <f t="shared" si="36"/>
        <v>0.59083235243491727</v>
      </c>
      <c r="G164" s="241">
        <f t="shared" si="36"/>
        <v>0</v>
      </c>
    </row>
    <row r="165" spans="1:7">
      <c r="A165" s="306" t="s">
        <v>348</v>
      </c>
      <c r="B165" s="307"/>
      <c r="C165" s="308" t="s">
        <v>349</v>
      </c>
      <c r="D165" s="244">
        <f t="shared" ref="D165:G165" si="37">IF(D177=0,0,D180/D177)</f>
        <v>0</v>
      </c>
      <c r="E165" s="244">
        <f t="shared" si="37"/>
        <v>3.5429111167472736E-2</v>
      </c>
      <c r="F165" s="244">
        <f t="shared" si="37"/>
        <v>1.0175691280788803E-2</v>
      </c>
      <c r="G165" s="244">
        <f t="shared" si="37"/>
        <v>3.1106070575198253E-2</v>
      </c>
    </row>
    <row r="166" spans="1:7">
      <c r="A166" s="215" t="s">
        <v>350</v>
      </c>
      <c r="B166" s="214"/>
      <c r="C166" s="292" t="s">
        <v>218</v>
      </c>
      <c r="D166" s="218">
        <f t="shared" ref="D166:G166" si="38">D55</f>
        <v>0</v>
      </c>
      <c r="E166" s="218">
        <f t="shared" si="38"/>
        <v>11767</v>
      </c>
      <c r="F166" s="218">
        <f t="shared" si="38"/>
        <v>12314.300000000001</v>
      </c>
      <c r="G166" s="218">
        <f t="shared" si="38"/>
        <v>11548</v>
      </c>
    </row>
    <row r="167" spans="1:7">
      <c r="A167" s="301" t="s">
        <v>351</v>
      </c>
      <c r="B167" s="302"/>
      <c r="C167" s="303" t="s">
        <v>352</v>
      </c>
      <c r="D167" s="238">
        <f t="shared" ref="D167:G167" si="39">IF(0=D111,0,(D44+D45+D46+D47+D48)/D111)</f>
        <v>0</v>
      </c>
      <c r="E167" s="238">
        <f t="shared" si="39"/>
        <v>0</v>
      </c>
      <c r="F167" s="238">
        <f t="shared" si="39"/>
        <v>9.3713903645905889E-3</v>
      </c>
      <c r="G167" s="238">
        <f t="shared" si="39"/>
        <v>0</v>
      </c>
    </row>
    <row r="168" spans="1:7">
      <c r="A168" s="215" t="s">
        <v>353</v>
      </c>
      <c r="B168" s="290"/>
      <c r="C168" s="291" t="s">
        <v>354</v>
      </c>
      <c r="D168" s="218">
        <f t="shared" ref="D168:G168" si="40">D38-D44</f>
        <v>0</v>
      </c>
      <c r="E168" s="218">
        <f t="shared" si="40"/>
        <v>-210</v>
      </c>
      <c r="F168" s="218">
        <f t="shared" si="40"/>
        <v>-247.1</v>
      </c>
      <c r="G168" s="218">
        <f t="shared" si="40"/>
        <v>-164</v>
      </c>
    </row>
    <row r="169" spans="1:7">
      <c r="A169" s="301" t="s">
        <v>355</v>
      </c>
      <c r="B169" s="302"/>
      <c r="C169" s="303" t="s">
        <v>356</v>
      </c>
      <c r="D169" s="221">
        <f t="shared" ref="D169:G169" si="41">IF(D177=0,0,D168/D177)</f>
        <v>0</v>
      </c>
      <c r="E169" s="221">
        <f t="shared" si="41"/>
        <v>-1.8366115391679275E-3</v>
      </c>
      <c r="F169" s="221">
        <f t="shared" si="41"/>
        <v>-1.959792139893151E-3</v>
      </c>
      <c r="G169" s="221">
        <f t="shared" si="41"/>
        <v>-1.419815077743533E-3</v>
      </c>
    </row>
    <row r="170" spans="1:7">
      <c r="A170" s="215" t="s">
        <v>357</v>
      </c>
      <c r="B170" s="214"/>
      <c r="C170" s="292" t="s">
        <v>358</v>
      </c>
      <c r="D170" s="218">
        <f t="shared" ref="D170:G170" si="42">SUM(D82:D87)+SUM(D89:D94)</f>
        <v>0</v>
      </c>
      <c r="E170" s="218">
        <f t="shared" si="42"/>
        <v>24374</v>
      </c>
      <c r="F170" s="218">
        <f t="shared" si="42"/>
        <v>13326</v>
      </c>
      <c r="G170" s="218">
        <f t="shared" si="42"/>
        <v>20975</v>
      </c>
    </row>
    <row r="171" spans="1:7">
      <c r="A171" s="215" t="s">
        <v>359</v>
      </c>
      <c r="B171" s="214"/>
      <c r="C171" s="292" t="s">
        <v>360</v>
      </c>
      <c r="D171" s="239">
        <f t="shared" ref="D171:G171" si="43">SUM(D96:D102)+SUM(D104:D105)</f>
        <v>0</v>
      </c>
      <c r="E171" s="239">
        <f t="shared" si="43"/>
        <v>1698</v>
      </c>
      <c r="F171" s="239">
        <f t="shared" si="43"/>
        <v>3161.7</v>
      </c>
      <c r="G171" s="239">
        <f t="shared" si="43"/>
        <v>2180</v>
      </c>
    </row>
    <row r="172" spans="1:7">
      <c r="A172" s="306" t="s">
        <v>361</v>
      </c>
      <c r="B172" s="307"/>
      <c r="C172" s="308" t="s">
        <v>362</v>
      </c>
      <c r="D172" s="244">
        <f t="shared" ref="D172:G172" si="44">IF(D184=0,0,D170/D184)</f>
        <v>0</v>
      </c>
      <c r="E172" s="244">
        <f t="shared" si="44"/>
        <v>0.179032604001093</v>
      </c>
      <c r="F172" s="244">
        <f t="shared" si="44"/>
        <v>0.10674634326086609</v>
      </c>
      <c r="G172" s="244">
        <f t="shared" si="44"/>
        <v>0.15624068887432216</v>
      </c>
    </row>
    <row r="173" spans="1:7">
      <c r="C173" s="309"/>
    </row>
    <row r="174" spans="1:7">
      <c r="A174" s="310" t="s">
        <v>363</v>
      </c>
      <c r="B174" s="248"/>
      <c r="C174" s="311"/>
      <c r="D174" s="161"/>
      <c r="E174" s="161"/>
      <c r="F174" s="161"/>
      <c r="G174" s="161"/>
    </row>
    <row r="175" spans="1:7" s="91" customFormat="1">
      <c r="A175" s="312" t="s">
        <v>364</v>
      </c>
      <c r="B175" s="248"/>
      <c r="C175" s="313" t="s">
        <v>387</v>
      </c>
      <c r="D175" s="314">
        <v>15898</v>
      </c>
      <c r="E175" s="314">
        <v>15898</v>
      </c>
      <c r="F175" s="314">
        <v>16036</v>
      </c>
      <c r="G175" s="314"/>
    </row>
    <row r="176" spans="1:7">
      <c r="A176" s="310" t="s">
        <v>366</v>
      </c>
      <c r="B176" s="248"/>
      <c r="C176" s="313"/>
      <c r="D176" s="248"/>
      <c r="E176" s="248"/>
      <c r="F176" s="248"/>
      <c r="G176" s="248"/>
    </row>
    <row r="177" spans="1:7">
      <c r="A177" s="312" t="s">
        <v>367</v>
      </c>
      <c r="B177" s="248"/>
      <c r="C177" s="313" t="s">
        <v>368</v>
      </c>
      <c r="D177" s="249">
        <f t="shared" ref="D177:G177" si="45">SUM(D22:D32)+SUM(D44:D53)+SUM(D65:D72)+D75</f>
        <v>0</v>
      </c>
      <c r="E177" s="249">
        <f t="shared" si="45"/>
        <v>114341</v>
      </c>
      <c r="F177" s="249">
        <f t="shared" si="45"/>
        <v>126084.8</v>
      </c>
      <c r="G177" s="249">
        <f t="shared" si="45"/>
        <v>115508</v>
      </c>
    </row>
    <row r="178" spans="1:7">
      <c r="A178" s="312" t="s">
        <v>369</v>
      </c>
      <c r="B178" s="248"/>
      <c r="C178" s="313" t="s">
        <v>370</v>
      </c>
      <c r="D178" s="249">
        <f t="shared" ref="D178:G178" si="46">D78-D17-D20-D59-D63-D64</f>
        <v>0</v>
      </c>
      <c r="E178" s="249">
        <f t="shared" si="46"/>
        <v>116667.29999999999</v>
      </c>
      <c r="F178" s="249">
        <f t="shared" si="46"/>
        <v>115030.6</v>
      </c>
      <c r="G178" s="249">
        <f t="shared" si="46"/>
        <v>117476.5</v>
      </c>
    </row>
    <row r="179" spans="1:7">
      <c r="A179" s="312"/>
      <c r="B179" s="248"/>
      <c r="C179" s="313" t="s">
        <v>371</v>
      </c>
      <c r="D179" s="249">
        <f t="shared" ref="D179:G179" si="47">D178+D170</f>
        <v>0</v>
      </c>
      <c r="E179" s="249">
        <f t="shared" si="47"/>
        <v>141041.29999999999</v>
      </c>
      <c r="F179" s="249">
        <f t="shared" si="47"/>
        <v>128356.6</v>
      </c>
      <c r="G179" s="249">
        <f t="shared" si="47"/>
        <v>138451.5</v>
      </c>
    </row>
    <row r="180" spans="1:7">
      <c r="A180" s="312" t="s">
        <v>372</v>
      </c>
      <c r="B180" s="248"/>
      <c r="C180" s="313" t="s">
        <v>373</v>
      </c>
      <c r="D180" s="249">
        <f t="shared" ref="D180:G180" si="48">D38-D44+D8+D9+D10+D16-D33</f>
        <v>0</v>
      </c>
      <c r="E180" s="249">
        <f t="shared" si="48"/>
        <v>4051</v>
      </c>
      <c r="F180" s="249">
        <f t="shared" si="48"/>
        <v>1283</v>
      </c>
      <c r="G180" s="249">
        <f t="shared" si="48"/>
        <v>3593</v>
      </c>
    </row>
    <row r="181" spans="1:7" ht="27.5" customHeight="1">
      <c r="A181" s="315" t="s">
        <v>374</v>
      </c>
      <c r="B181" s="251"/>
      <c r="C181" s="316" t="s">
        <v>375</v>
      </c>
      <c r="D181" s="252">
        <f t="shared" ref="D181:G181" si="49">D22+D23+D24+D25+D26+D29+SUM(D44:D47)+SUM(D49:D53)-D54+D32-D33+SUM(D65:D70)+D72</f>
        <v>0</v>
      </c>
      <c r="E181" s="252">
        <f t="shared" si="49"/>
        <v>113555</v>
      </c>
      <c r="F181" s="252">
        <f t="shared" si="49"/>
        <v>125743</v>
      </c>
      <c r="G181" s="252">
        <f t="shared" si="49"/>
        <v>114466</v>
      </c>
    </row>
    <row r="182" spans="1:7">
      <c r="A182" s="317" t="s">
        <v>376</v>
      </c>
      <c r="B182" s="251"/>
      <c r="C182" s="316" t="s">
        <v>377</v>
      </c>
      <c r="D182" s="252">
        <f t="shared" ref="D182:G182" si="50">D181+D171</f>
        <v>0</v>
      </c>
      <c r="E182" s="252">
        <f t="shared" si="50"/>
        <v>115253</v>
      </c>
      <c r="F182" s="252">
        <f t="shared" si="50"/>
        <v>128904.7</v>
      </c>
      <c r="G182" s="252">
        <f t="shared" si="50"/>
        <v>116646</v>
      </c>
    </row>
    <row r="183" spans="1:7">
      <c r="A183" s="317" t="s">
        <v>378</v>
      </c>
      <c r="B183" s="251"/>
      <c r="C183" s="316" t="s">
        <v>379</v>
      </c>
      <c r="D183" s="252">
        <f t="shared" ref="D183" si="51">D4+D5-D7+D38+D39+D40+D41+D43+D13-D16+D57+D58+D60+D62</f>
        <v>0</v>
      </c>
      <c r="E183" s="252">
        <f>E4+E5-E7+E38+E39+E40+E41+E43+E13-E16+E57+E58+E60+E62</f>
        <v>111768.8</v>
      </c>
      <c r="F183" s="252">
        <f>F4+F5-F7+F38+F39+F40+F41+F43+F13-F16+F57+F58+F60+F62</f>
        <v>111512</v>
      </c>
      <c r="G183" s="252">
        <f>G4+G5-G7+G38+G39+G40+G41+G43+G13-G16+G57+G58+G60+G62</f>
        <v>113273</v>
      </c>
    </row>
    <row r="184" spans="1:7">
      <c r="A184" s="317" t="s">
        <v>380</v>
      </c>
      <c r="B184" s="251"/>
      <c r="C184" s="316" t="s">
        <v>381</v>
      </c>
      <c r="D184" s="252">
        <f t="shared" ref="D184:G184" si="52">D183+D170</f>
        <v>0</v>
      </c>
      <c r="E184" s="252">
        <f t="shared" si="52"/>
        <v>136142.79999999999</v>
      </c>
      <c r="F184" s="252">
        <f t="shared" si="52"/>
        <v>124838</v>
      </c>
      <c r="G184" s="252">
        <f t="shared" si="52"/>
        <v>134248</v>
      </c>
    </row>
    <row r="185" spans="1:7">
      <c r="A185" s="317"/>
      <c r="B185" s="251"/>
      <c r="C185" s="316" t="s">
        <v>382</v>
      </c>
      <c r="D185" s="252">
        <f t="shared" ref="D185:G186" si="53">D181-D183</f>
        <v>0</v>
      </c>
      <c r="E185" s="252">
        <f t="shared" si="53"/>
        <v>1786.1999999999971</v>
      </c>
      <c r="F185" s="252">
        <f t="shared" si="53"/>
        <v>14231</v>
      </c>
      <c r="G185" s="252">
        <f t="shared" si="53"/>
        <v>1193</v>
      </c>
    </row>
    <row r="186" spans="1:7">
      <c r="A186" s="317"/>
      <c r="B186" s="251"/>
      <c r="C186" s="316" t="s">
        <v>383</v>
      </c>
      <c r="D186" s="252">
        <f t="shared" si="53"/>
        <v>0</v>
      </c>
      <c r="E186" s="252">
        <f t="shared" si="53"/>
        <v>-20889.799999999988</v>
      </c>
      <c r="F186" s="252">
        <f t="shared" si="53"/>
        <v>4066.6999999999971</v>
      </c>
      <c r="G186" s="252">
        <f t="shared" si="53"/>
        <v>-17602</v>
      </c>
    </row>
  </sheetData>
  <sheetProtection selectLockedCells="1" sort="0" autoFilter="0" pivotTables="0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0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17" man="1"/>
    <brk id="148" max="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AN193"/>
  <sheetViews>
    <sheetView tabSelected="1" zoomScale="115" zoomScaleNormal="115" workbookViewId="0">
      <pane xSplit="3" ySplit="2" topLeftCell="D3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11.5" defaultRowHeight="13"/>
  <cols>
    <col min="1" max="1" width="15.1640625" style="84" customWidth="1"/>
    <col min="2" max="2" width="3.6640625" style="84" customWidth="1"/>
    <col min="3" max="3" width="39.1640625" style="84" customWidth="1"/>
    <col min="4" max="5" width="11.5" style="84"/>
    <col min="6" max="7" width="11.5" style="84" customWidth="1"/>
    <col min="8" max="16384" width="11.5" style="84"/>
  </cols>
  <sheetData>
    <row r="1" spans="1:40" s="77" customFormat="1" ht="18" customHeight="1">
      <c r="A1" s="319" t="s">
        <v>156</v>
      </c>
      <c r="B1" s="437" t="s">
        <v>623</v>
      </c>
      <c r="C1" s="437" t="s">
        <v>144</v>
      </c>
      <c r="D1" s="74" t="s">
        <v>7</v>
      </c>
      <c r="E1" s="75" t="s">
        <v>9</v>
      </c>
      <c r="F1" s="74" t="s">
        <v>7</v>
      </c>
      <c r="G1" s="75" t="s">
        <v>9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</row>
    <row r="2" spans="1:40" s="83" customFormat="1" ht="15" customHeight="1">
      <c r="A2" s="78"/>
      <c r="B2" s="79"/>
      <c r="C2" s="80" t="s">
        <v>158</v>
      </c>
      <c r="D2" s="81">
        <v>2014</v>
      </c>
      <c r="E2" s="82">
        <v>2015</v>
      </c>
      <c r="F2" s="81">
        <v>2015</v>
      </c>
      <c r="G2" s="82">
        <v>2016</v>
      </c>
    </row>
    <row r="3" spans="1:40" ht="15" customHeight="1">
      <c r="A3" s="678" t="s">
        <v>159</v>
      </c>
      <c r="B3" s="679"/>
      <c r="C3" s="679"/>
      <c r="D3" s="91"/>
      <c r="E3" s="394" t="s">
        <v>389</v>
      </c>
      <c r="F3" s="85"/>
      <c r="G3" s="85"/>
    </row>
    <row r="4" spans="1:40" s="91" customFormat="1" ht="12.75" customHeight="1">
      <c r="A4" s="86">
        <v>30</v>
      </c>
      <c r="B4" s="87"/>
      <c r="C4" s="88" t="s">
        <v>14</v>
      </c>
      <c r="D4" s="89">
        <v>699397.4</v>
      </c>
      <c r="E4" s="90">
        <v>704988.3</v>
      </c>
      <c r="F4" s="90">
        <v>698368.8</v>
      </c>
      <c r="G4" s="90">
        <v>719003</v>
      </c>
    </row>
    <row r="5" spans="1:40" s="91" customFormat="1" ht="12.75" customHeight="1">
      <c r="A5" s="92">
        <v>31</v>
      </c>
      <c r="B5" s="93"/>
      <c r="C5" s="94" t="s">
        <v>160</v>
      </c>
      <c r="D5" s="95">
        <v>411371</v>
      </c>
      <c r="E5" s="96">
        <v>439659.6</v>
      </c>
      <c r="F5" s="96">
        <v>428279</v>
      </c>
      <c r="G5" s="96">
        <v>439972.9</v>
      </c>
    </row>
    <row r="6" spans="1:40" s="91" customFormat="1" ht="12.75" customHeight="1">
      <c r="A6" s="97" t="s">
        <v>17</v>
      </c>
      <c r="B6" s="98"/>
      <c r="C6" s="99" t="s">
        <v>161</v>
      </c>
      <c r="D6" s="100">
        <v>75634.100000000006</v>
      </c>
      <c r="E6" s="96">
        <v>77896.5</v>
      </c>
      <c r="F6" s="96">
        <v>75565.3</v>
      </c>
      <c r="G6" s="96">
        <v>82351.3</v>
      </c>
    </row>
    <row r="7" spans="1:40" s="91" customFormat="1" ht="12.75" customHeight="1">
      <c r="A7" s="97" t="s">
        <v>162</v>
      </c>
      <c r="B7" s="98"/>
      <c r="C7" s="99" t="s">
        <v>163</v>
      </c>
      <c r="D7" s="100">
        <v>2035</v>
      </c>
      <c r="E7" s="96">
        <v>0</v>
      </c>
      <c r="F7" s="96">
        <v>3674</v>
      </c>
      <c r="G7" s="96">
        <v>0</v>
      </c>
    </row>
    <row r="8" spans="1:40" s="91" customFormat="1" ht="12.75" customHeight="1">
      <c r="A8" s="101">
        <v>330</v>
      </c>
      <c r="B8" s="93"/>
      <c r="C8" s="94" t="s">
        <v>164</v>
      </c>
      <c r="D8" s="95">
        <v>97848.9</v>
      </c>
      <c r="E8" s="96">
        <v>120893.1</v>
      </c>
      <c r="F8" s="96">
        <v>103828.7</v>
      </c>
      <c r="G8" s="96">
        <v>156408.6</v>
      </c>
    </row>
    <row r="9" spans="1:40" s="91" customFormat="1" ht="12.75" customHeight="1">
      <c r="A9" s="101">
        <v>332</v>
      </c>
      <c r="B9" s="93"/>
      <c r="C9" s="94" t="s">
        <v>165</v>
      </c>
      <c r="D9" s="95">
        <v>6283.4</v>
      </c>
      <c r="E9" s="96">
        <v>13172.8</v>
      </c>
      <c r="F9" s="96">
        <v>13028.7</v>
      </c>
      <c r="G9" s="96">
        <v>10928.7</v>
      </c>
    </row>
    <row r="10" spans="1:40" s="91" customFormat="1" ht="12.75" customHeight="1">
      <c r="A10" s="101">
        <v>339</v>
      </c>
      <c r="B10" s="93"/>
      <c r="C10" s="94" t="s">
        <v>166</v>
      </c>
      <c r="D10" s="95">
        <v>0</v>
      </c>
      <c r="E10" s="96">
        <v>0</v>
      </c>
      <c r="F10" s="96">
        <v>0</v>
      </c>
      <c r="G10" s="96">
        <v>0</v>
      </c>
    </row>
    <row r="11" spans="1:40" s="91" customFormat="1" ht="12.75" customHeight="1">
      <c r="A11" s="92">
        <v>350</v>
      </c>
      <c r="B11" s="93"/>
      <c r="C11" s="94" t="s">
        <v>167</v>
      </c>
      <c r="D11" s="95">
        <v>14502.3</v>
      </c>
      <c r="E11" s="96">
        <v>14140.7</v>
      </c>
      <c r="F11" s="96">
        <v>32015</v>
      </c>
      <c r="G11" s="96">
        <v>14500.8</v>
      </c>
    </row>
    <row r="12" spans="1:40" s="106" customFormat="1" ht="14">
      <c r="A12" s="102">
        <v>351</v>
      </c>
      <c r="B12" s="103"/>
      <c r="C12" s="104" t="s">
        <v>168</v>
      </c>
      <c r="D12" s="105">
        <v>8417.7000000000007</v>
      </c>
      <c r="E12" s="96">
        <v>913.9</v>
      </c>
      <c r="F12" s="96">
        <v>1382.6</v>
      </c>
      <c r="G12" s="96">
        <v>364.5</v>
      </c>
    </row>
    <row r="13" spans="1:40" s="91" customFormat="1" ht="12.75" customHeight="1">
      <c r="A13" s="92">
        <v>36</v>
      </c>
      <c r="B13" s="93"/>
      <c r="C13" s="94" t="s">
        <v>169</v>
      </c>
      <c r="D13" s="130">
        <v>2586473.1</v>
      </c>
      <c r="E13" s="96">
        <v>2639610.2999999998</v>
      </c>
      <c r="F13" s="96">
        <v>2668243.2000000002</v>
      </c>
      <c r="G13" s="96">
        <v>2755017</v>
      </c>
    </row>
    <row r="14" spans="1:40" s="91" customFormat="1" ht="12.75" customHeight="1">
      <c r="A14" s="107" t="s">
        <v>170</v>
      </c>
      <c r="B14" s="93"/>
      <c r="C14" s="108" t="s">
        <v>171</v>
      </c>
      <c r="D14" s="130">
        <v>643381.9</v>
      </c>
      <c r="E14" s="96">
        <v>665599.80000000005</v>
      </c>
      <c r="F14" s="96">
        <v>658428.19999999995</v>
      </c>
      <c r="G14" s="96">
        <v>678129.7</v>
      </c>
    </row>
    <row r="15" spans="1:40" s="91" customFormat="1" ht="12.75" customHeight="1">
      <c r="A15" s="107" t="s">
        <v>172</v>
      </c>
      <c r="B15" s="93"/>
      <c r="C15" s="108" t="s">
        <v>173</v>
      </c>
      <c r="D15" s="130">
        <v>0</v>
      </c>
      <c r="E15" s="96">
        <v>0</v>
      </c>
      <c r="F15" s="96">
        <v>0</v>
      </c>
      <c r="G15" s="96">
        <v>0</v>
      </c>
    </row>
    <row r="16" spans="1:40" s="111" customFormat="1" ht="26.25" customHeight="1">
      <c r="A16" s="107" t="s">
        <v>174</v>
      </c>
      <c r="B16" s="109"/>
      <c r="C16" s="108" t="s">
        <v>175</v>
      </c>
      <c r="D16" s="395">
        <v>21663.200000000001</v>
      </c>
      <c r="E16" s="96">
        <v>20066.599999999999</v>
      </c>
      <c r="F16" s="96">
        <v>19947.5</v>
      </c>
      <c r="G16" s="96">
        <v>21211.5</v>
      </c>
    </row>
    <row r="17" spans="1:7" s="113" customFormat="1">
      <c r="A17" s="92">
        <v>37</v>
      </c>
      <c r="B17" s="93"/>
      <c r="C17" s="94" t="s">
        <v>176</v>
      </c>
      <c r="D17" s="130">
        <v>264658.5</v>
      </c>
      <c r="E17" s="96">
        <v>256012.4</v>
      </c>
      <c r="F17" s="96">
        <v>248194.7</v>
      </c>
      <c r="G17" s="96">
        <v>233866.7</v>
      </c>
    </row>
    <row r="18" spans="1:7" s="113" customFormat="1">
      <c r="A18" s="101" t="s">
        <v>177</v>
      </c>
      <c r="B18" s="93"/>
      <c r="C18" s="94" t="s">
        <v>178</v>
      </c>
      <c r="D18" s="130">
        <v>0</v>
      </c>
      <c r="E18" s="96">
        <v>0</v>
      </c>
      <c r="F18" s="96">
        <v>0</v>
      </c>
      <c r="G18" s="96">
        <v>0</v>
      </c>
    </row>
    <row r="19" spans="1:7" s="113" customFormat="1">
      <c r="A19" s="101" t="s">
        <v>179</v>
      </c>
      <c r="B19" s="93"/>
      <c r="C19" s="94" t="s">
        <v>180</v>
      </c>
      <c r="D19" s="130">
        <v>0</v>
      </c>
      <c r="E19" s="96">
        <v>0</v>
      </c>
      <c r="F19" s="96">
        <v>0</v>
      </c>
      <c r="G19" s="96">
        <v>0</v>
      </c>
    </row>
    <row r="20" spans="1:7" s="91" customFormat="1" ht="12.75" customHeight="1">
      <c r="A20" s="116">
        <v>39</v>
      </c>
      <c r="B20" s="117"/>
      <c r="C20" s="118" t="s">
        <v>181</v>
      </c>
      <c r="D20" s="177">
        <v>429967.1</v>
      </c>
      <c r="E20" s="120">
        <v>479393.1</v>
      </c>
      <c r="F20" s="120">
        <v>451179.6</v>
      </c>
      <c r="G20" s="120">
        <v>564568.5</v>
      </c>
    </row>
    <row r="21" spans="1:7" ht="12.75" customHeight="1">
      <c r="A21" s="121"/>
      <c r="B21" s="121"/>
      <c r="C21" s="122" t="s">
        <v>182</v>
      </c>
      <c r="D21" s="123">
        <f t="shared" ref="D21:G21" si="0">D4+D5+SUM(D8:D13)+D17</f>
        <v>4088952.3</v>
      </c>
      <c r="E21" s="123">
        <f t="shared" si="0"/>
        <v>4189391.0999999996</v>
      </c>
      <c r="F21" s="123">
        <f t="shared" si="0"/>
        <v>4193340.7</v>
      </c>
      <c r="G21" s="123">
        <f t="shared" si="0"/>
        <v>4330062.2</v>
      </c>
    </row>
    <row r="22" spans="1:7" s="91" customFormat="1" ht="12.75" customHeight="1">
      <c r="A22" s="101" t="s">
        <v>183</v>
      </c>
      <c r="B22" s="93"/>
      <c r="C22" s="94" t="s">
        <v>184</v>
      </c>
      <c r="D22" s="95">
        <v>1696610.9</v>
      </c>
      <c r="E22" s="124">
        <v>1733800</v>
      </c>
      <c r="F22" s="124">
        <v>1748877.7000000002</v>
      </c>
      <c r="G22" s="124">
        <v>1788000</v>
      </c>
    </row>
    <row r="23" spans="1:7" s="91" customFormat="1" ht="12.75" customHeight="1">
      <c r="A23" s="101" t="s">
        <v>185</v>
      </c>
      <c r="B23" s="93"/>
      <c r="C23" s="94" t="s">
        <v>186</v>
      </c>
      <c r="D23" s="95">
        <v>335906.30000000005</v>
      </c>
      <c r="E23" s="124">
        <v>324930</v>
      </c>
      <c r="F23" s="124">
        <v>360634.5</v>
      </c>
      <c r="G23" s="124">
        <v>355445</v>
      </c>
    </row>
    <row r="24" spans="1:7" s="125" customFormat="1" ht="12.75" customHeight="1">
      <c r="A24" s="92">
        <v>41</v>
      </c>
      <c r="B24" s="93"/>
      <c r="C24" s="94" t="s">
        <v>187</v>
      </c>
      <c r="D24" s="95">
        <v>37736</v>
      </c>
      <c r="E24" s="124">
        <v>37030.5</v>
      </c>
      <c r="F24" s="124">
        <v>120862.9</v>
      </c>
      <c r="G24" s="124">
        <v>57685.5</v>
      </c>
    </row>
    <row r="25" spans="1:7" s="91" customFormat="1" ht="12.75" customHeight="1">
      <c r="A25" s="126">
        <v>42</v>
      </c>
      <c r="B25" s="127"/>
      <c r="C25" s="94" t="s">
        <v>188</v>
      </c>
      <c r="D25" s="95">
        <v>296962.8</v>
      </c>
      <c r="E25" s="124">
        <v>284087.3</v>
      </c>
      <c r="F25" s="124">
        <v>302917.3</v>
      </c>
      <c r="G25" s="124">
        <v>285481.90000000002</v>
      </c>
    </row>
    <row r="26" spans="1:7" s="129" customFormat="1" ht="12.75" customHeight="1">
      <c r="A26" s="102">
        <v>430</v>
      </c>
      <c r="B26" s="93"/>
      <c r="C26" s="94" t="s">
        <v>189</v>
      </c>
      <c r="D26" s="112">
        <v>13619.4</v>
      </c>
      <c r="E26" s="128">
        <v>3738.4</v>
      </c>
      <c r="F26" s="128">
        <v>12492.1</v>
      </c>
      <c r="G26" s="128">
        <v>3507.4</v>
      </c>
    </row>
    <row r="27" spans="1:7" s="129" customFormat="1" ht="12.75" customHeight="1">
      <c r="A27" s="102">
        <v>431</v>
      </c>
      <c r="B27" s="93"/>
      <c r="C27" s="94" t="s">
        <v>190</v>
      </c>
      <c r="D27" s="112">
        <v>7976.8</v>
      </c>
      <c r="E27" s="128">
        <v>15774.7</v>
      </c>
      <c r="F27" s="128">
        <v>16168.5</v>
      </c>
      <c r="G27" s="128">
        <v>8090.1</v>
      </c>
    </row>
    <row r="28" spans="1:7" s="129" customFormat="1" ht="12.75" customHeight="1">
      <c r="A28" s="102">
        <v>432</v>
      </c>
      <c r="B28" s="93"/>
      <c r="C28" s="94" t="s">
        <v>191</v>
      </c>
      <c r="D28" s="112"/>
      <c r="E28" s="128">
        <v>0</v>
      </c>
      <c r="F28" s="128">
        <v>0</v>
      </c>
      <c r="G28" s="128">
        <v>0</v>
      </c>
    </row>
    <row r="29" spans="1:7" s="129" customFormat="1" ht="12.75" customHeight="1">
      <c r="A29" s="102">
        <v>439</v>
      </c>
      <c r="B29" s="93"/>
      <c r="C29" s="94" t="s">
        <v>192</v>
      </c>
      <c r="D29" s="112"/>
      <c r="E29" s="128">
        <v>0</v>
      </c>
      <c r="F29" s="128">
        <v>0</v>
      </c>
      <c r="G29" s="128">
        <v>0</v>
      </c>
    </row>
    <row r="30" spans="1:7" s="91" customFormat="1" ht="28">
      <c r="A30" s="102">
        <v>450</v>
      </c>
      <c r="B30" s="103"/>
      <c r="C30" s="104" t="s">
        <v>193</v>
      </c>
      <c r="D30" s="130">
        <v>6495.9</v>
      </c>
      <c r="E30" s="96">
        <v>9060.7000000000007</v>
      </c>
      <c r="F30" s="96">
        <v>29919.599999999999</v>
      </c>
      <c r="G30" s="96">
        <v>7058</v>
      </c>
    </row>
    <row r="31" spans="1:7" s="106" customFormat="1" ht="28">
      <c r="A31" s="102">
        <v>451</v>
      </c>
      <c r="B31" s="103"/>
      <c r="C31" s="104" t="s">
        <v>194</v>
      </c>
      <c r="D31" s="131">
        <v>833.3</v>
      </c>
      <c r="E31" s="124">
        <v>31416.9</v>
      </c>
      <c r="F31" s="124">
        <v>7367.4</v>
      </c>
      <c r="G31" s="124">
        <v>55187.8</v>
      </c>
    </row>
    <row r="32" spans="1:7" s="91" customFormat="1" ht="12.75" customHeight="1">
      <c r="A32" s="92">
        <v>46</v>
      </c>
      <c r="B32" s="93"/>
      <c r="C32" s="94" t="s">
        <v>195</v>
      </c>
      <c r="D32" s="95">
        <v>1312213</v>
      </c>
      <c r="E32" s="124">
        <v>1335035.1000000001</v>
      </c>
      <c r="F32" s="124">
        <v>1365923</v>
      </c>
      <c r="G32" s="124">
        <v>1384761.6</v>
      </c>
    </row>
    <row r="33" spans="1:7" s="106" customFormat="1" ht="12.75" customHeight="1">
      <c r="A33" s="114" t="s">
        <v>196</v>
      </c>
      <c r="B33" s="98"/>
      <c r="C33" s="99" t="s">
        <v>197</v>
      </c>
      <c r="D33" s="95"/>
      <c r="E33" s="132">
        <v>0</v>
      </c>
      <c r="F33" s="132">
        <v>0</v>
      </c>
      <c r="G33" s="132">
        <v>0</v>
      </c>
    </row>
    <row r="34" spans="1:7" s="91" customFormat="1" ht="15" customHeight="1">
      <c r="A34" s="92">
        <v>47</v>
      </c>
      <c r="B34" s="93"/>
      <c r="C34" s="94" t="s">
        <v>176</v>
      </c>
      <c r="D34" s="95">
        <v>264658.5</v>
      </c>
      <c r="E34" s="124">
        <v>256012.4</v>
      </c>
      <c r="F34" s="124">
        <v>248194.7</v>
      </c>
      <c r="G34" s="124">
        <v>233866.7</v>
      </c>
    </row>
    <row r="35" spans="1:7" s="91" customFormat="1" ht="15" customHeight="1">
      <c r="A35" s="116">
        <v>49</v>
      </c>
      <c r="B35" s="117"/>
      <c r="C35" s="118" t="s">
        <v>198</v>
      </c>
      <c r="D35" s="177">
        <v>429967.1</v>
      </c>
      <c r="E35" s="133">
        <v>479393.1</v>
      </c>
      <c r="F35" s="133">
        <v>451179.6</v>
      </c>
      <c r="G35" s="133">
        <v>564568.5</v>
      </c>
    </row>
    <row r="36" spans="1:7" ht="13.5" customHeight="1">
      <c r="A36" s="121"/>
      <c r="B36" s="134"/>
      <c r="C36" s="122" t="s">
        <v>199</v>
      </c>
      <c r="D36" s="123">
        <f t="shared" ref="D36:G36" si="1">D22+D23+D24+D25+D26+D27+D28+D29+D30+D31+D32+D34</f>
        <v>3973012.8999999994</v>
      </c>
      <c r="E36" s="123">
        <f t="shared" si="1"/>
        <v>4030886</v>
      </c>
      <c r="F36" s="123">
        <f t="shared" si="1"/>
        <v>4213357.7</v>
      </c>
      <c r="G36" s="123">
        <f t="shared" si="1"/>
        <v>4179084</v>
      </c>
    </row>
    <row r="37" spans="1:7" s="135" customFormat="1" ht="15" customHeight="1">
      <c r="A37" s="121"/>
      <c r="B37" s="134"/>
      <c r="C37" s="122" t="s">
        <v>200</v>
      </c>
      <c r="D37" s="123">
        <f t="shared" ref="D37:G37" si="2">D36-D21</f>
        <v>-115939.40000000037</v>
      </c>
      <c r="E37" s="123">
        <f t="shared" si="2"/>
        <v>-158505.09999999963</v>
      </c>
      <c r="F37" s="123">
        <f t="shared" si="2"/>
        <v>20017</v>
      </c>
      <c r="G37" s="123">
        <f t="shared" si="2"/>
        <v>-150978.20000000019</v>
      </c>
    </row>
    <row r="38" spans="1:7" s="106" customFormat="1" ht="15" customHeight="1">
      <c r="A38" s="101">
        <v>340</v>
      </c>
      <c r="B38" s="93"/>
      <c r="C38" s="94" t="s">
        <v>201</v>
      </c>
      <c r="D38" s="130">
        <v>30244.2</v>
      </c>
      <c r="E38" s="124">
        <v>28968.2</v>
      </c>
      <c r="F38" s="124">
        <v>29089.5</v>
      </c>
      <c r="G38" s="124">
        <v>32780.699999999997</v>
      </c>
    </row>
    <row r="39" spans="1:7" s="106" customFormat="1" ht="15" customHeight="1">
      <c r="A39" s="101">
        <v>341</v>
      </c>
      <c r="B39" s="93"/>
      <c r="C39" s="94" t="s">
        <v>202</v>
      </c>
      <c r="D39" s="95"/>
      <c r="E39" s="124">
        <v>0</v>
      </c>
      <c r="F39" s="124">
        <v>27.8</v>
      </c>
      <c r="G39" s="124">
        <v>0</v>
      </c>
    </row>
    <row r="40" spans="1:7" s="106" customFormat="1" ht="15" customHeight="1">
      <c r="A40" s="101">
        <v>342</v>
      </c>
      <c r="B40" s="93"/>
      <c r="C40" s="94" t="s">
        <v>203</v>
      </c>
      <c r="D40" s="95">
        <v>775.8</v>
      </c>
      <c r="E40" s="124">
        <v>799.9</v>
      </c>
      <c r="F40" s="124">
        <v>779.5</v>
      </c>
      <c r="G40" s="124">
        <v>764.9</v>
      </c>
    </row>
    <row r="41" spans="1:7" s="106" customFormat="1" ht="15" customHeight="1">
      <c r="A41" s="101">
        <v>343</v>
      </c>
      <c r="B41" s="93"/>
      <c r="C41" s="94" t="s">
        <v>204</v>
      </c>
      <c r="D41" s="95"/>
      <c r="E41" s="124">
        <v>0</v>
      </c>
      <c r="F41" s="124">
        <v>0</v>
      </c>
      <c r="G41" s="124">
        <v>0</v>
      </c>
    </row>
    <row r="42" spans="1:7" s="106" customFormat="1" ht="15" customHeight="1">
      <c r="A42" s="101">
        <v>344</v>
      </c>
      <c r="B42" s="93"/>
      <c r="C42" s="94" t="s">
        <v>205</v>
      </c>
      <c r="D42" s="95">
        <v>300.10000000000002</v>
      </c>
      <c r="E42" s="124">
        <v>337.5</v>
      </c>
      <c r="F42" s="124">
        <v>1386.9</v>
      </c>
      <c r="G42" s="124">
        <v>376.2</v>
      </c>
    </row>
    <row r="43" spans="1:7" s="106" customFormat="1" ht="15" customHeight="1">
      <c r="A43" s="101">
        <v>349</v>
      </c>
      <c r="B43" s="93"/>
      <c r="C43" s="94" t="s">
        <v>206</v>
      </c>
      <c r="D43" s="95"/>
      <c r="E43" s="124">
        <v>0</v>
      </c>
      <c r="F43" s="124">
        <v>460.2</v>
      </c>
      <c r="G43" s="124">
        <v>0</v>
      </c>
    </row>
    <row r="44" spans="1:7" s="91" customFormat="1" ht="15" customHeight="1">
      <c r="A44" s="92">
        <v>440</v>
      </c>
      <c r="B44" s="93"/>
      <c r="C44" s="94" t="s">
        <v>207</v>
      </c>
      <c r="D44" s="130">
        <v>8288</v>
      </c>
      <c r="E44" s="124">
        <v>6559</v>
      </c>
      <c r="F44" s="124">
        <v>8888.2999999999993</v>
      </c>
      <c r="G44" s="124">
        <v>5853.5</v>
      </c>
    </row>
    <row r="45" spans="1:7" s="91" customFormat="1" ht="15" customHeight="1">
      <c r="A45" s="92">
        <v>441</v>
      </c>
      <c r="B45" s="93"/>
      <c r="C45" s="94" t="s">
        <v>208</v>
      </c>
      <c r="D45" s="130">
        <v>3205.1</v>
      </c>
      <c r="E45" s="124">
        <v>500</v>
      </c>
      <c r="F45" s="124">
        <v>1601.5</v>
      </c>
      <c r="G45" s="124">
        <v>500</v>
      </c>
    </row>
    <row r="46" spans="1:7" s="91" customFormat="1" ht="15" customHeight="1">
      <c r="A46" s="92">
        <v>442</v>
      </c>
      <c r="B46" s="93"/>
      <c r="C46" s="94" t="s">
        <v>209</v>
      </c>
      <c r="D46" s="130">
        <v>3309.5</v>
      </c>
      <c r="E46" s="124">
        <v>3236.9</v>
      </c>
      <c r="F46" s="124">
        <v>3235</v>
      </c>
      <c r="G46" s="124">
        <v>3235</v>
      </c>
    </row>
    <row r="47" spans="1:7" s="91" customFormat="1" ht="15" customHeight="1">
      <c r="A47" s="92">
        <v>443</v>
      </c>
      <c r="B47" s="93"/>
      <c r="C47" s="94" t="s">
        <v>210</v>
      </c>
      <c r="D47" s="130">
        <v>4481.7</v>
      </c>
      <c r="E47" s="124">
        <v>4868.5</v>
      </c>
      <c r="F47" s="124">
        <v>5238.5</v>
      </c>
      <c r="G47" s="124">
        <v>5455.7</v>
      </c>
    </row>
    <row r="48" spans="1:7" s="91" customFormat="1" ht="15" customHeight="1">
      <c r="A48" s="92">
        <v>444</v>
      </c>
      <c r="B48" s="93"/>
      <c r="C48" s="94" t="s">
        <v>205</v>
      </c>
      <c r="D48" s="130">
        <v>3044.6</v>
      </c>
      <c r="E48" s="124">
        <v>0</v>
      </c>
      <c r="F48" s="124">
        <v>1290</v>
      </c>
      <c r="G48" s="124">
        <v>0</v>
      </c>
    </row>
    <row r="49" spans="1:7" s="91" customFormat="1" ht="15" customHeight="1">
      <c r="A49" s="92">
        <v>445</v>
      </c>
      <c r="B49" s="93"/>
      <c r="C49" s="94" t="s">
        <v>211</v>
      </c>
      <c r="D49" s="130">
        <v>42976.3</v>
      </c>
      <c r="E49" s="124">
        <v>43778.400000000001</v>
      </c>
      <c r="F49" s="124">
        <v>42944.6</v>
      </c>
      <c r="G49" s="124">
        <v>43272</v>
      </c>
    </row>
    <row r="50" spans="1:7" s="91" customFormat="1" ht="15" customHeight="1">
      <c r="A50" s="92">
        <v>446</v>
      </c>
      <c r="B50" s="93"/>
      <c r="C50" s="94" t="s">
        <v>212</v>
      </c>
      <c r="D50" s="130">
        <v>16162.9</v>
      </c>
      <c r="E50" s="124">
        <v>10226</v>
      </c>
      <c r="F50" s="124">
        <v>13346.3</v>
      </c>
      <c r="G50" s="124">
        <v>15546.4</v>
      </c>
    </row>
    <row r="51" spans="1:7" s="91" customFormat="1" ht="15" customHeight="1">
      <c r="A51" s="92">
        <v>447</v>
      </c>
      <c r="B51" s="93"/>
      <c r="C51" s="94" t="s">
        <v>213</v>
      </c>
      <c r="D51" s="130">
        <v>44216.1</v>
      </c>
      <c r="E51" s="124">
        <v>43647.4</v>
      </c>
      <c r="F51" s="124">
        <v>42946</v>
      </c>
      <c r="G51" s="124">
        <v>37539.300000000003</v>
      </c>
    </row>
    <row r="52" spans="1:7" s="91" customFormat="1" ht="15" customHeight="1">
      <c r="A52" s="92">
        <v>448</v>
      </c>
      <c r="B52" s="93"/>
      <c r="C52" s="94" t="s">
        <v>214</v>
      </c>
      <c r="D52" s="130"/>
      <c r="E52" s="124">
        <v>0</v>
      </c>
      <c r="F52" s="124">
        <v>0</v>
      </c>
      <c r="G52" s="124">
        <v>0</v>
      </c>
    </row>
    <row r="53" spans="1:7" s="91" customFormat="1" ht="15" customHeight="1">
      <c r="A53" s="92">
        <v>449</v>
      </c>
      <c r="B53" s="93"/>
      <c r="C53" s="94" t="s">
        <v>215</v>
      </c>
      <c r="D53" s="130"/>
      <c r="E53" s="124">
        <v>0</v>
      </c>
      <c r="F53" s="124">
        <v>0</v>
      </c>
      <c r="G53" s="124">
        <v>0</v>
      </c>
    </row>
    <row r="54" spans="1:7" s="106" customFormat="1" ht="13.5" customHeight="1">
      <c r="A54" s="136" t="s">
        <v>216</v>
      </c>
      <c r="B54" s="137"/>
      <c r="C54" s="137" t="s">
        <v>217</v>
      </c>
      <c r="D54" s="264"/>
      <c r="E54" s="139">
        <v>0</v>
      </c>
      <c r="F54" s="139">
        <v>0</v>
      </c>
      <c r="G54" s="139">
        <v>0</v>
      </c>
    </row>
    <row r="55" spans="1:7" ht="15" customHeight="1">
      <c r="A55" s="134"/>
      <c r="B55" s="134"/>
      <c r="C55" s="122" t="s">
        <v>218</v>
      </c>
      <c r="D55" s="123">
        <f t="shared" ref="D55:G55" si="3">SUM(D44:D53)-SUM(D38:D43)</f>
        <v>94364.099999999977</v>
      </c>
      <c r="E55" s="123">
        <f t="shared" si="3"/>
        <v>82710.600000000006</v>
      </c>
      <c r="F55" s="123">
        <f t="shared" si="3"/>
        <v>87746.299999999988</v>
      </c>
      <c r="G55" s="123">
        <f t="shared" si="3"/>
        <v>77480.100000000006</v>
      </c>
    </row>
    <row r="56" spans="1:7" ht="14.25" customHeight="1">
      <c r="A56" s="134"/>
      <c r="B56" s="134"/>
      <c r="C56" s="122" t="s">
        <v>219</v>
      </c>
      <c r="D56" s="123">
        <f t="shared" ref="D56:G56" si="4">D55+D37</f>
        <v>-21575.300000000396</v>
      </c>
      <c r="E56" s="123">
        <f t="shared" si="4"/>
        <v>-75794.499999999622</v>
      </c>
      <c r="F56" s="123">
        <f t="shared" si="4"/>
        <v>107763.29999999999</v>
      </c>
      <c r="G56" s="123">
        <f t="shared" si="4"/>
        <v>-73498.10000000018</v>
      </c>
    </row>
    <row r="57" spans="1:7" s="91" customFormat="1" ht="15.75" customHeight="1">
      <c r="A57" s="140">
        <v>380</v>
      </c>
      <c r="B57" s="141"/>
      <c r="C57" s="142" t="s">
        <v>220</v>
      </c>
      <c r="D57" s="265">
        <v>24900</v>
      </c>
      <c r="E57" s="266">
        <v>0</v>
      </c>
      <c r="F57" s="266">
        <v>0</v>
      </c>
      <c r="G57" s="266">
        <v>0</v>
      </c>
    </row>
    <row r="58" spans="1:7" s="91" customFormat="1" ht="15.75" customHeight="1">
      <c r="A58" s="140">
        <v>381</v>
      </c>
      <c r="B58" s="141"/>
      <c r="C58" s="142" t="s">
        <v>221</v>
      </c>
      <c r="D58" s="265">
        <v>8440</v>
      </c>
      <c r="E58" s="266">
        <v>0</v>
      </c>
      <c r="F58" s="266">
        <v>4000</v>
      </c>
      <c r="G58" s="266">
        <v>0</v>
      </c>
    </row>
    <row r="59" spans="1:7" s="106" customFormat="1" ht="28">
      <c r="A59" s="102">
        <v>383</v>
      </c>
      <c r="B59" s="103"/>
      <c r="C59" s="104" t="s">
        <v>222</v>
      </c>
      <c r="D59" s="267"/>
      <c r="E59" s="144">
        <v>0</v>
      </c>
      <c r="F59" s="144">
        <v>0</v>
      </c>
      <c r="G59" s="144">
        <v>0</v>
      </c>
    </row>
    <row r="60" spans="1:7" s="106" customFormat="1" ht="14">
      <c r="A60" s="102">
        <v>3840</v>
      </c>
      <c r="B60" s="103"/>
      <c r="C60" s="104" t="s">
        <v>223</v>
      </c>
      <c r="D60" s="145"/>
      <c r="E60" s="146">
        <v>0</v>
      </c>
      <c r="F60" s="146">
        <v>0</v>
      </c>
      <c r="G60" s="146">
        <v>0</v>
      </c>
    </row>
    <row r="61" spans="1:7" s="106" customFormat="1" ht="14">
      <c r="A61" s="102">
        <v>3841</v>
      </c>
      <c r="B61" s="103"/>
      <c r="C61" s="104" t="s">
        <v>224</v>
      </c>
      <c r="D61" s="145"/>
      <c r="E61" s="146">
        <v>0</v>
      </c>
      <c r="F61" s="146">
        <v>0</v>
      </c>
      <c r="G61" s="146">
        <v>0</v>
      </c>
    </row>
    <row r="62" spans="1:7" s="106" customFormat="1" ht="14">
      <c r="A62" s="147">
        <v>386</v>
      </c>
      <c r="B62" s="148"/>
      <c r="C62" s="149" t="s">
        <v>225</v>
      </c>
      <c r="D62" s="145"/>
      <c r="E62" s="146">
        <v>0</v>
      </c>
      <c r="F62" s="146">
        <v>0</v>
      </c>
      <c r="G62" s="146">
        <v>0</v>
      </c>
    </row>
    <row r="63" spans="1:7" s="106" customFormat="1" ht="28">
      <c r="A63" s="102">
        <v>387</v>
      </c>
      <c r="B63" s="103"/>
      <c r="C63" s="104" t="s">
        <v>226</v>
      </c>
      <c r="D63" s="145"/>
      <c r="E63" s="146">
        <v>0</v>
      </c>
      <c r="F63" s="146">
        <v>0</v>
      </c>
      <c r="G63" s="146">
        <v>0</v>
      </c>
    </row>
    <row r="64" spans="1:7" s="106" customFormat="1">
      <c r="A64" s="101">
        <v>389</v>
      </c>
      <c r="B64" s="150"/>
      <c r="C64" s="94" t="s">
        <v>42</v>
      </c>
      <c r="D64" s="95">
        <v>190.7</v>
      </c>
      <c r="E64" s="124">
        <v>0</v>
      </c>
      <c r="F64" s="124">
        <v>2406</v>
      </c>
      <c r="G64" s="124">
        <v>0</v>
      </c>
    </row>
    <row r="65" spans="1:7" s="91" customFormat="1">
      <c r="A65" s="101" t="s">
        <v>227</v>
      </c>
      <c r="B65" s="93"/>
      <c r="C65" s="94" t="s">
        <v>228</v>
      </c>
      <c r="D65" s="95"/>
      <c r="E65" s="124">
        <v>0</v>
      </c>
      <c r="F65" s="124">
        <v>0</v>
      </c>
      <c r="G65" s="124">
        <v>0</v>
      </c>
    </row>
    <row r="66" spans="1:7" s="153" customFormat="1" ht="28">
      <c r="A66" s="151" t="s">
        <v>229</v>
      </c>
      <c r="B66" s="152"/>
      <c r="C66" s="104" t="s">
        <v>230</v>
      </c>
      <c r="D66" s="143"/>
      <c r="E66" s="144">
        <v>0</v>
      </c>
      <c r="F66" s="144">
        <v>0</v>
      </c>
      <c r="G66" s="144">
        <v>0</v>
      </c>
    </row>
    <row r="67" spans="1:7" s="91" customFormat="1">
      <c r="A67" s="154">
        <v>481</v>
      </c>
      <c r="B67" s="93"/>
      <c r="C67" s="94" t="s">
        <v>231</v>
      </c>
      <c r="D67" s="95"/>
      <c r="E67" s="124">
        <v>0</v>
      </c>
      <c r="F67" s="124">
        <v>0</v>
      </c>
      <c r="G67" s="124">
        <v>0</v>
      </c>
    </row>
    <row r="68" spans="1:7" s="91" customFormat="1">
      <c r="A68" s="154">
        <v>482</v>
      </c>
      <c r="B68" s="93"/>
      <c r="C68" s="94" t="s">
        <v>232</v>
      </c>
      <c r="D68" s="95"/>
      <c r="E68" s="124">
        <v>0</v>
      </c>
      <c r="F68" s="124">
        <v>0</v>
      </c>
      <c r="G68" s="124">
        <v>0</v>
      </c>
    </row>
    <row r="69" spans="1:7" s="91" customFormat="1">
      <c r="A69" s="154">
        <v>483</v>
      </c>
      <c r="B69" s="93"/>
      <c r="C69" s="94" t="s">
        <v>233</v>
      </c>
      <c r="D69" s="95">
        <v>2622.7</v>
      </c>
      <c r="E69" s="124">
        <v>0</v>
      </c>
      <c r="F69" s="124">
        <v>0</v>
      </c>
      <c r="G69" s="124">
        <v>0</v>
      </c>
    </row>
    <row r="70" spans="1:7" s="91" customFormat="1">
      <c r="A70" s="154">
        <v>484</v>
      </c>
      <c r="B70" s="93"/>
      <c r="C70" s="94" t="s">
        <v>234</v>
      </c>
      <c r="D70" s="95"/>
      <c r="E70" s="124">
        <v>0</v>
      </c>
      <c r="F70" s="124">
        <v>0</v>
      </c>
      <c r="G70" s="124">
        <v>0</v>
      </c>
    </row>
    <row r="71" spans="1:7" s="91" customFormat="1">
      <c r="A71" s="154">
        <v>485</v>
      </c>
      <c r="B71" s="93"/>
      <c r="C71" s="94" t="s">
        <v>235</v>
      </c>
      <c r="D71" s="95"/>
      <c r="E71" s="124">
        <v>0</v>
      </c>
      <c r="F71" s="124">
        <v>0</v>
      </c>
      <c r="G71" s="124">
        <v>0</v>
      </c>
    </row>
    <row r="72" spans="1:7" s="91" customFormat="1">
      <c r="A72" s="154">
        <v>486</v>
      </c>
      <c r="B72" s="93"/>
      <c r="C72" s="94" t="s">
        <v>236</v>
      </c>
      <c r="D72" s="95"/>
      <c r="E72" s="124">
        <v>0</v>
      </c>
      <c r="F72" s="124">
        <v>0</v>
      </c>
      <c r="G72" s="124">
        <v>0</v>
      </c>
    </row>
    <row r="73" spans="1:7" s="106" customFormat="1">
      <c r="A73" s="154">
        <v>487</v>
      </c>
      <c r="B73" s="98"/>
      <c r="C73" s="94" t="s">
        <v>237</v>
      </c>
      <c r="D73" s="130"/>
      <c r="E73" s="124">
        <v>0</v>
      </c>
      <c r="F73" s="124">
        <v>0</v>
      </c>
      <c r="G73" s="124">
        <v>0</v>
      </c>
    </row>
    <row r="74" spans="1:7" s="106" customFormat="1">
      <c r="A74" s="154">
        <v>489</v>
      </c>
      <c r="B74" s="155"/>
      <c r="C74" s="118" t="s">
        <v>59</v>
      </c>
      <c r="D74" s="130">
        <v>76282.600000000006</v>
      </c>
      <c r="E74" s="124">
        <v>50600</v>
      </c>
      <c r="F74" s="124">
        <v>53138</v>
      </c>
      <c r="G74" s="124">
        <v>42600</v>
      </c>
    </row>
    <row r="75" spans="1:7" s="106" customFormat="1">
      <c r="A75" s="156" t="s">
        <v>238</v>
      </c>
      <c r="B75" s="155"/>
      <c r="C75" s="137" t="s">
        <v>239</v>
      </c>
      <c r="D75" s="95"/>
      <c r="E75" s="124">
        <v>0</v>
      </c>
      <c r="F75" s="124">
        <v>0</v>
      </c>
      <c r="G75" s="124">
        <v>0</v>
      </c>
    </row>
    <row r="76" spans="1:7">
      <c r="A76" s="121"/>
      <c r="B76" s="121"/>
      <c r="C76" s="122" t="s">
        <v>240</v>
      </c>
      <c r="D76" s="123">
        <f t="shared" ref="D76:G76" si="5">SUM(D65:D74)-SUM(D57:D64)</f>
        <v>45374.600000000006</v>
      </c>
      <c r="E76" s="123">
        <f t="shared" si="5"/>
        <v>50600</v>
      </c>
      <c r="F76" s="123">
        <f t="shared" si="5"/>
        <v>46732</v>
      </c>
      <c r="G76" s="123">
        <f t="shared" si="5"/>
        <v>42600</v>
      </c>
    </row>
    <row r="77" spans="1:7">
      <c r="A77" s="157"/>
      <c r="B77" s="157"/>
      <c r="C77" s="122" t="s">
        <v>241</v>
      </c>
      <c r="D77" s="123">
        <f t="shared" ref="D77:G77" si="6">D56+D76</f>
        <v>23799.29999999961</v>
      </c>
      <c r="E77" s="123">
        <f t="shared" si="6"/>
        <v>-25194.499999999622</v>
      </c>
      <c r="F77" s="123">
        <f t="shared" si="6"/>
        <v>154495.29999999999</v>
      </c>
      <c r="G77" s="123">
        <f t="shared" si="6"/>
        <v>-30898.10000000018</v>
      </c>
    </row>
    <row r="78" spans="1:7">
      <c r="A78" s="158">
        <v>3</v>
      </c>
      <c r="B78" s="158"/>
      <c r="C78" s="159" t="s">
        <v>242</v>
      </c>
      <c r="D78" s="160">
        <f t="shared" ref="D78:G78" si="7">D20+D21+SUM(D38:D43)+SUM(D57:D64)</f>
        <v>4583770.1999999993</v>
      </c>
      <c r="E78" s="160">
        <f t="shared" si="7"/>
        <v>4698889.7999999989</v>
      </c>
      <c r="F78" s="160">
        <f t="shared" si="7"/>
        <v>4682670.2</v>
      </c>
      <c r="G78" s="160">
        <f t="shared" si="7"/>
        <v>4928552.5</v>
      </c>
    </row>
    <row r="79" spans="1:7">
      <c r="A79" s="158">
        <v>4</v>
      </c>
      <c r="B79" s="158"/>
      <c r="C79" s="159" t="s">
        <v>243</v>
      </c>
      <c r="D79" s="160">
        <f t="shared" ref="D79:G79" si="8">D35+D36+SUM(D44:D53)+SUM(D65:D74)</f>
        <v>4607569.4999999991</v>
      </c>
      <c r="E79" s="160">
        <f t="shared" si="8"/>
        <v>4673695.3</v>
      </c>
      <c r="F79" s="160">
        <f t="shared" si="8"/>
        <v>4837165.5</v>
      </c>
      <c r="G79" s="160">
        <f t="shared" si="8"/>
        <v>4897654.4000000004</v>
      </c>
    </row>
    <row r="80" spans="1:7">
      <c r="C80" s="135"/>
      <c r="D80" s="161"/>
      <c r="E80" s="161"/>
      <c r="F80" s="161"/>
      <c r="G80" s="161"/>
    </row>
    <row r="81" spans="1:7">
      <c r="A81" s="680" t="s">
        <v>244</v>
      </c>
      <c r="B81" s="681"/>
      <c r="C81" s="681"/>
      <c r="D81" s="162"/>
      <c r="E81" s="163"/>
      <c r="F81" s="163"/>
      <c r="G81" s="163"/>
    </row>
    <row r="82" spans="1:7" s="91" customFormat="1">
      <c r="A82" s="164">
        <v>50</v>
      </c>
      <c r="B82" s="165"/>
      <c r="C82" s="165" t="s">
        <v>245</v>
      </c>
      <c r="D82" s="95">
        <v>113270</v>
      </c>
      <c r="E82" s="124">
        <v>268920</v>
      </c>
      <c r="F82" s="124">
        <v>151149.70000000001</v>
      </c>
      <c r="G82" s="124">
        <v>263550</v>
      </c>
    </row>
    <row r="83" spans="1:7" s="91" customFormat="1">
      <c r="A83" s="164">
        <v>51</v>
      </c>
      <c r="B83" s="165"/>
      <c r="C83" s="165" t="s">
        <v>246</v>
      </c>
      <c r="D83" s="95"/>
      <c r="E83" s="124">
        <v>0</v>
      </c>
      <c r="F83" s="124">
        <v>0</v>
      </c>
      <c r="G83" s="124">
        <v>0</v>
      </c>
    </row>
    <row r="84" spans="1:7" s="91" customFormat="1">
      <c r="A84" s="164">
        <v>52</v>
      </c>
      <c r="B84" s="165"/>
      <c r="C84" s="165" t="s">
        <v>247</v>
      </c>
      <c r="D84" s="95">
        <v>11173</v>
      </c>
      <c r="E84" s="124">
        <v>13108</v>
      </c>
      <c r="F84" s="124">
        <v>19450.900000000001</v>
      </c>
      <c r="G84" s="124">
        <v>10019</v>
      </c>
    </row>
    <row r="85" spans="1:7" s="91" customFormat="1">
      <c r="A85" s="166">
        <v>54</v>
      </c>
      <c r="B85" s="167"/>
      <c r="C85" s="167" t="s">
        <v>248</v>
      </c>
      <c r="D85" s="95">
        <v>291288</v>
      </c>
      <c r="E85" s="124">
        <v>101152</v>
      </c>
      <c r="F85" s="124">
        <v>6544.7</v>
      </c>
      <c r="G85" s="124">
        <v>35699</v>
      </c>
    </row>
    <row r="86" spans="1:7" s="91" customFormat="1">
      <c r="A86" s="166">
        <v>55</v>
      </c>
      <c r="B86" s="167"/>
      <c r="C86" s="167" t="s">
        <v>249</v>
      </c>
      <c r="D86" s="95"/>
      <c r="E86" s="124">
        <v>0</v>
      </c>
      <c r="F86" s="124">
        <v>0</v>
      </c>
      <c r="G86" s="124">
        <v>0</v>
      </c>
    </row>
    <row r="87" spans="1:7" s="91" customFormat="1">
      <c r="A87" s="166">
        <v>56</v>
      </c>
      <c r="B87" s="167"/>
      <c r="C87" s="167" t="s">
        <v>250</v>
      </c>
      <c r="D87" s="95">
        <v>12956</v>
      </c>
      <c r="E87" s="124">
        <v>17232.5</v>
      </c>
      <c r="F87" s="124">
        <v>13418.6</v>
      </c>
      <c r="G87" s="124">
        <v>11428.1</v>
      </c>
    </row>
    <row r="88" spans="1:7" s="91" customFormat="1">
      <c r="A88" s="164">
        <v>57</v>
      </c>
      <c r="B88" s="165"/>
      <c r="C88" s="165" t="s">
        <v>251</v>
      </c>
      <c r="D88" s="95">
        <v>436</v>
      </c>
      <c r="E88" s="124">
        <v>0</v>
      </c>
      <c r="F88" s="124">
        <v>3240.9</v>
      </c>
      <c r="G88" s="124">
        <v>0</v>
      </c>
    </row>
    <row r="89" spans="1:7" s="91" customFormat="1">
      <c r="A89" s="164">
        <v>580</v>
      </c>
      <c r="B89" s="165"/>
      <c r="C89" s="165" t="s">
        <v>252</v>
      </c>
      <c r="D89" s="95"/>
      <c r="E89" s="124">
        <v>0</v>
      </c>
      <c r="F89" s="124">
        <v>0</v>
      </c>
      <c r="G89" s="124">
        <v>0</v>
      </c>
    </row>
    <row r="90" spans="1:7" s="91" customFormat="1">
      <c r="A90" s="164">
        <v>582</v>
      </c>
      <c r="B90" s="165"/>
      <c r="C90" s="165" t="s">
        <v>253</v>
      </c>
      <c r="D90" s="95"/>
      <c r="E90" s="124">
        <v>0</v>
      </c>
      <c r="F90" s="124">
        <v>0</v>
      </c>
      <c r="G90" s="124">
        <v>0</v>
      </c>
    </row>
    <row r="91" spans="1:7" s="91" customFormat="1">
      <c r="A91" s="164">
        <v>584</v>
      </c>
      <c r="B91" s="165"/>
      <c r="C91" s="165" t="s">
        <v>254</v>
      </c>
      <c r="D91" s="95"/>
      <c r="E91" s="124">
        <v>0</v>
      </c>
      <c r="F91" s="124">
        <v>0</v>
      </c>
      <c r="G91" s="124">
        <v>0</v>
      </c>
    </row>
    <row r="92" spans="1:7" s="91" customFormat="1">
      <c r="A92" s="164">
        <v>585</v>
      </c>
      <c r="B92" s="165"/>
      <c r="C92" s="165" t="s">
        <v>255</v>
      </c>
      <c r="D92" s="95"/>
      <c r="E92" s="124">
        <v>0</v>
      </c>
      <c r="F92" s="124">
        <v>0</v>
      </c>
      <c r="G92" s="124">
        <v>0</v>
      </c>
    </row>
    <row r="93" spans="1:7" s="91" customFormat="1">
      <c r="A93" s="164">
        <v>586</v>
      </c>
      <c r="B93" s="165"/>
      <c r="C93" s="165" t="s">
        <v>256</v>
      </c>
      <c r="D93" s="95"/>
      <c r="E93" s="124">
        <v>0</v>
      </c>
      <c r="F93" s="124">
        <v>0</v>
      </c>
      <c r="G93" s="124">
        <v>0</v>
      </c>
    </row>
    <row r="94" spans="1:7" s="91" customFormat="1">
      <c r="A94" s="168">
        <v>589</v>
      </c>
      <c r="B94" s="169"/>
      <c r="C94" s="169" t="s">
        <v>257</v>
      </c>
      <c r="D94" s="119"/>
      <c r="E94" s="133">
        <v>0</v>
      </c>
      <c r="F94" s="133">
        <v>0</v>
      </c>
      <c r="G94" s="133">
        <v>0</v>
      </c>
    </row>
    <row r="95" spans="1:7">
      <c r="A95" s="170">
        <v>5</v>
      </c>
      <c r="B95" s="171"/>
      <c r="C95" s="171" t="s">
        <v>258</v>
      </c>
      <c r="D95" s="172">
        <f t="shared" ref="D95:G95" si="9">SUM(D82:D94)</f>
        <v>429123</v>
      </c>
      <c r="E95" s="172">
        <f t="shared" si="9"/>
        <v>400412.5</v>
      </c>
      <c r="F95" s="172">
        <f t="shared" si="9"/>
        <v>193804.80000000002</v>
      </c>
      <c r="G95" s="172">
        <f t="shared" si="9"/>
        <v>320696.09999999998</v>
      </c>
    </row>
    <row r="96" spans="1:7" s="91" customFormat="1">
      <c r="A96" s="164">
        <v>60</v>
      </c>
      <c r="B96" s="165"/>
      <c r="C96" s="165" t="s">
        <v>259</v>
      </c>
      <c r="D96" s="95">
        <v>7</v>
      </c>
      <c r="E96" s="95">
        <v>68640</v>
      </c>
      <c r="F96" s="95">
        <v>72.099999999999994</v>
      </c>
      <c r="G96" s="95">
        <v>0</v>
      </c>
    </row>
    <row r="97" spans="1:7" s="91" customFormat="1">
      <c r="A97" s="164">
        <v>61</v>
      </c>
      <c r="B97" s="165"/>
      <c r="C97" s="165" t="s">
        <v>260</v>
      </c>
      <c r="D97" s="95">
        <v>3370</v>
      </c>
      <c r="E97" s="95">
        <v>5186.7</v>
      </c>
      <c r="F97" s="95">
        <v>4969.3999999999996</v>
      </c>
      <c r="G97" s="95">
        <v>3992.4</v>
      </c>
    </row>
    <row r="98" spans="1:7" s="91" customFormat="1">
      <c r="A98" s="164">
        <v>62</v>
      </c>
      <c r="B98" s="165"/>
      <c r="C98" s="165" t="s">
        <v>261</v>
      </c>
      <c r="D98" s="95"/>
      <c r="E98" s="95"/>
      <c r="F98" s="95">
        <v>0</v>
      </c>
      <c r="G98" s="95">
        <v>0</v>
      </c>
    </row>
    <row r="99" spans="1:7" s="91" customFormat="1">
      <c r="A99" s="164">
        <v>63</v>
      </c>
      <c r="B99" s="165"/>
      <c r="C99" s="165" t="s">
        <v>262</v>
      </c>
      <c r="D99" s="95">
        <v>25278.799999999999</v>
      </c>
      <c r="E99" s="95">
        <v>33658.1</v>
      </c>
      <c r="F99" s="95">
        <v>23810</v>
      </c>
      <c r="G99" s="95">
        <v>30143.7</v>
      </c>
    </row>
    <row r="100" spans="1:7" s="91" customFormat="1">
      <c r="A100" s="164">
        <v>64</v>
      </c>
      <c r="B100" s="165"/>
      <c r="C100" s="165" t="s">
        <v>263</v>
      </c>
      <c r="D100" s="95">
        <v>18995.599999999999</v>
      </c>
      <c r="E100" s="95">
        <v>18032.099999999999</v>
      </c>
      <c r="F100" s="95">
        <v>19082.3</v>
      </c>
      <c r="G100" s="95">
        <v>20310.2</v>
      </c>
    </row>
    <row r="101" spans="1:7" s="91" customFormat="1">
      <c r="A101" s="164">
        <v>65</v>
      </c>
      <c r="B101" s="165"/>
      <c r="C101" s="165" t="s">
        <v>264</v>
      </c>
      <c r="D101" s="95">
        <v>113</v>
      </c>
      <c r="E101" s="95"/>
      <c r="F101" s="95">
        <v>0</v>
      </c>
      <c r="G101" s="95">
        <v>0</v>
      </c>
    </row>
    <row r="102" spans="1:7" s="91" customFormat="1">
      <c r="A102" s="164">
        <v>66</v>
      </c>
      <c r="B102" s="165"/>
      <c r="C102" s="165" t="s">
        <v>265</v>
      </c>
      <c r="D102" s="95">
        <v>57.3</v>
      </c>
      <c r="E102" s="95"/>
      <c r="F102" s="95">
        <v>0</v>
      </c>
      <c r="G102" s="95">
        <v>0</v>
      </c>
    </row>
    <row r="103" spans="1:7" s="91" customFormat="1">
      <c r="A103" s="164">
        <v>67</v>
      </c>
      <c r="B103" s="165"/>
      <c r="C103" s="165" t="s">
        <v>251</v>
      </c>
      <c r="D103" s="130">
        <v>436</v>
      </c>
      <c r="E103" s="130"/>
      <c r="F103" s="130">
        <v>3240.9</v>
      </c>
      <c r="G103" s="130">
        <v>0</v>
      </c>
    </row>
    <row r="104" spans="1:7" s="91" customFormat="1" ht="28">
      <c r="A104" s="173" t="s">
        <v>266</v>
      </c>
      <c r="B104" s="165"/>
      <c r="C104" s="174" t="s">
        <v>267</v>
      </c>
      <c r="D104" s="130"/>
      <c r="E104" s="130"/>
      <c r="F104" s="130">
        <v>0</v>
      </c>
      <c r="G104" s="130">
        <v>0</v>
      </c>
    </row>
    <row r="105" spans="1:7" s="91" customFormat="1" ht="42">
      <c r="A105" s="175" t="s">
        <v>268</v>
      </c>
      <c r="B105" s="169"/>
      <c r="C105" s="176" t="s">
        <v>269</v>
      </c>
      <c r="D105" s="177"/>
      <c r="E105" s="177"/>
      <c r="F105" s="177">
        <v>0</v>
      </c>
      <c r="G105" s="177">
        <v>0</v>
      </c>
    </row>
    <row r="106" spans="1:7">
      <c r="A106" s="170">
        <v>6</v>
      </c>
      <c r="B106" s="171"/>
      <c r="C106" s="171" t="s">
        <v>270</v>
      </c>
      <c r="D106" s="172">
        <f t="shared" ref="D106:G106" si="10">SUM(D96:D105)</f>
        <v>48257.7</v>
      </c>
      <c r="E106" s="172">
        <f t="shared" si="10"/>
        <v>125516.9</v>
      </c>
      <c r="F106" s="172">
        <f t="shared" si="10"/>
        <v>51174.700000000004</v>
      </c>
      <c r="G106" s="172">
        <f t="shared" si="10"/>
        <v>54446.3</v>
      </c>
    </row>
    <row r="107" spans="1:7">
      <c r="A107" s="178" t="s">
        <v>271</v>
      </c>
      <c r="B107" s="178"/>
      <c r="C107" s="171" t="s">
        <v>1</v>
      </c>
      <c r="D107" s="172">
        <f t="shared" ref="D107:G107" si="11">(D95-D88)-(D106-D103)</f>
        <v>380865.3</v>
      </c>
      <c r="E107" s="172">
        <f t="shared" si="11"/>
        <v>274895.59999999998</v>
      </c>
      <c r="F107" s="172">
        <f t="shared" si="11"/>
        <v>142630.10000000003</v>
      </c>
      <c r="G107" s="172">
        <f t="shared" si="11"/>
        <v>266249.8</v>
      </c>
    </row>
    <row r="108" spans="1:7">
      <c r="A108" s="179" t="s">
        <v>272</v>
      </c>
      <c r="B108" s="179"/>
      <c r="C108" s="180" t="s">
        <v>273</v>
      </c>
      <c r="D108" s="280">
        <f t="shared" ref="D108:G108" si="12">D107-D85-D86+D100+D101</f>
        <v>108685.9</v>
      </c>
      <c r="E108" s="280">
        <f t="shared" si="12"/>
        <v>191775.69999999998</v>
      </c>
      <c r="F108" s="280">
        <f t="shared" si="12"/>
        <v>155167.70000000001</v>
      </c>
      <c r="G108" s="280">
        <f t="shared" si="12"/>
        <v>250861</v>
      </c>
    </row>
    <row r="109" spans="1:7">
      <c r="C109" s="135"/>
      <c r="D109" s="161"/>
      <c r="E109" s="161"/>
      <c r="F109" s="161"/>
      <c r="G109" s="161"/>
    </row>
    <row r="110" spans="1:7">
      <c r="A110" s="181" t="s">
        <v>274</v>
      </c>
      <c r="B110" s="182"/>
      <c r="C110" s="181"/>
      <c r="D110" s="161"/>
      <c r="E110" s="161"/>
      <c r="F110" s="161"/>
      <c r="G110" s="161"/>
    </row>
    <row r="111" spans="1:7" s="91" customFormat="1">
      <c r="A111" s="183">
        <v>10</v>
      </c>
      <c r="B111" s="184"/>
      <c r="C111" s="184" t="s">
        <v>275</v>
      </c>
      <c r="D111" s="185">
        <f t="shared" ref="D111:G111" si="13">D112+D117</f>
        <v>2018790.4000000001</v>
      </c>
      <c r="E111" s="186">
        <f t="shared" si="13"/>
        <v>0</v>
      </c>
      <c r="F111" s="186">
        <f t="shared" si="13"/>
        <v>2161255.9000000004</v>
      </c>
      <c r="G111" s="186">
        <f t="shared" si="13"/>
        <v>0</v>
      </c>
    </row>
    <row r="112" spans="1:7" s="91" customFormat="1">
      <c r="A112" s="187" t="s">
        <v>276</v>
      </c>
      <c r="B112" s="188"/>
      <c r="C112" s="188" t="s">
        <v>277</v>
      </c>
      <c r="D112" s="185">
        <f t="shared" ref="D112:G112" si="14">D113+D114+D115+D116</f>
        <v>1563772.6</v>
      </c>
      <c r="E112" s="186">
        <f t="shared" si="14"/>
        <v>0</v>
      </c>
      <c r="F112" s="186">
        <f t="shared" si="14"/>
        <v>1806995.0000000002</v>
      </c>
      <c r="G112" s="186">
        <f t="shared" si="14"/>
        <v>0</v>
      </c>
    </row>
    <row r="113" spans="1:7" s="91" customFormat="1">
      <c r="A113" s="189" t="s">
        <v>278</v>
      </c>
      <c r="B113" s="190"/>
      <c r="C113" s="190" t="s">
        <v>279</v>
      </c>
      <c r="D113" s="95">
        <v>1258755.8</v>
      </c>
      <c r="E113" s="124"/>
      <c r="F113" s="124">
        <v>1587915.8</v>
      </c>
      <c r="G113" s="124"/>
    </row>
    <row r="114" spans="1:7" s="153" customFormat="1" ht="15" customHeight="1">
      <c r="A114" s="191">
        <v>102</v>
      </c>
      <c r="B114" s="192"/>
      <c r="C114" s="192" t="s">
        <v>280</v>
      </c>
      <c r="D114" s="143">
        <v>100000</v>
      </c>
      <c r="E114" s="144"/>
      <c r="F114" s="144">
        <v>0</v>
      </c>
      <c r="G114" s="144"/>
    </row>
    <row r="115" spans="1:7" s="91" customFormat="1">
      <c r="A115" s="189">
        <v>104</v>
      </c>
      <c r="B115" s="190"/>
      <c r="C115" s="190" t="s">
        <v>281</v>
      </c>
      <c r="D115" s="95">
        <v>191292.6</v>
      </c>
      <c r="E115" s="124"/>
      <c r="F115" s="124">
        <v>205305.60000000001</v>
      </c>
      <c r="G115" s="124"/>
    </row>
    <row r="116" spans="1:7" s="91" customFormat="1">
      <c r="A116" s="189">
        <v>106</v>
      </c>
      <c r="B116" s="190"/>
      <c r="C116" s="190" t="s">
        <v>282</v>
      </c>
      <c r="D116" s="95">
        <v>13724.2</v>
      </c>
      <c r="E116" s="124"/>
      <c r="F116" s="124">
        <v>13773.6</v>
      </c>
      <c r="G116" s="124"/>
    </row>
    <row r="117" spans="1:7" s="91" customFormat="1">
      <c r="A117" s="187" t="s">
        <v>283</v>
      </c>
      <c r="B117" s="188"/>
      <c r="C117" s="188" t="s">
        <v>284</v>
      </c>
      <c r="D117" s="185">
        <f t="shared" ref="D117:G117" si="15">D118+D119+D120</f>
        <v>455017.80000000005</v>
      </c>
      <c r="E117" s="186">
        <f t="shared" si="15"/>
        <v>0</v>
      </c>
      <c r="F117" s="186">
        <f t="shared" si="15"/>
        <v>354260.9</v>
      </c>
      <c r="G117" s="186">
        <f t="shared" si="15"/>
        <v>0</v>
      </c>
    </row>
    <row r="118" spans="1:7" s="91" customFormat="1">
      <c r="A118" s="189">
        <v>107</v>
      </c>
      <c r="B118" s="190"/>
      <c r="C118" s="190" t="s">
        <v>285</v>
      </c>
      <c r="D118" s="95">
        <v>250315.6</v>
      </c>
      <c r="E118" s="124"/>
      <c r="F118" s="124">
        <v>149809.20000000001</v>
      </c>
      <c r="G118" s="124"/>
    </row>
    <row r="119" spans="1:7" s="91" customFormat="1">
      <c r="A119" s="189">
        <v>108</v>
      </c>
      <c r="B119" s="190"/>
      <c r="C119" s="190" t="s">
        <v>286</v>
      </c>
      <c r="D119" s="95">
        <v>204702.2</v>
      </c>
      <c r="E119" s="124"/>
      <c r="F119" s="124">
        <v>204451.7</v>
      </c>
      <c r="G119" s="124"/>
    </row>
    <row r="120" spans="1:7" s="195" customFormat="1" ht="28">
      <c r="A120" s="191">
        <v>109</v>
      </c>
      <c r="B120" s="193"/>
      <c r="C120" s="193" t="s">
        <v>287</v>
      </c>
      <c r="D120" s="131">
        <v>0</v>
      </c>
      <c r="E120" s="194"/>
      <c r="F120" s="194">
        <v>0</v>
      </c>
      <c r="G120" s="194"/>
    </row>
    <row r="121" spans="1:7" s="91" customFormat="1">
      <c r="A121" s="187">
        <v>14</v>
      </c>
      <c r="B121" s="188"/>
      <c r="C121" s="188" t="s">
        <v>288</v>
      </c>
      <c r="D121" s="185">
        <f t="shared" ref="D121:G121" si="16">SUM(D122:D130)</f>
        <v>1057949.1000000001</v>
      </c>
      <c r="E121" s="185">
        <f t="shared" si="16"/>
        <v>0</v>
      </c>
      <c r="F121" s="185">
        <f t="shared" si="16"/>
        <v>1063774.3999999999</v>
      </c>
      <c r="G121" s="185">
        <f t="shared" si="16"/>
        <v>0</v>
      </c>
    </row>
    <row r="122" spans="1:7" s="91" customFormat="1">
      <c r="A122" s="189" t="s">
        <v>289</v>
      </c>
      <c r="B122" s="190"/>
      <c r="C122" s="190" t="s">
        <v>290</v>
      </c>
      <c r="D122" s="95">
        <v>527547.69999999995</v>
      </c>
      <c r="E122" s="124"/>
      <c r="F122" s="124">
        <v>538502.1</v>
      </c>
      <c r="G122" s="124"/>
    </row>
    <row r="123" spans="1:7" s="91" customFormat="1">
      <c r="A123" s="189">
        <v>144</v>
      </c>
      <c r="B123" s="190"/>
      <c r="C123" s="190" t="s">
        <v>248</v>
      </c>
      <c r="D123" s="95">
        <v>249989.3</v>
      </c>
      <c r="E123" s="124"/>
      <c r="F123" s="124">
        <v>254721.8</v>
      </c>
      <c r="G123" s="124"/>
    </row>
    <row r="124" spans="1:7" s="91" customFormat="1">
      <c r="A124" s="189">
        <v>145</v>
      </c>
      <c r="B124" s="190"/>
      <c r="C124" s="190" t="s">
        <v>291</v>
      </c>
      <c r="D124" s="95">
        <v>228122.8</v>
      </c>
      <c r="E124" s="196"/>
      <c r="F124" s="196">
        <v>228122.9</v>
      </c>
      <c r="G124" s="196"/>
    </row>
    <row r="125" spans="1:7" s="91" customFormat="1">
      <c r="A125" s="189">
        <v>146</v>
      </c>
      <c r="B125" s="190"/>
      <c r="C125" s="190" t="s">
        <v>292</v>
      </c>
      <c r="D125" s="95">
        <v>52289.3</v>
      </c>
      <c r="E125" s="196"/>
      <c r="F125" s="196">
        <v>42427.6</v>
      </c>
      <c r="G125" s="196"/>
    </row>
    <row r="126" spans="1:7" s="195" customFormat="1" ht="29.5" customHeight="1">
      <c r="A126" s="191" t="s">
        <v>293</v>
      </c>
      <c r="B126" s="193"/>
      <c r="C126" s="193" t="s">
        <v>294</v>
      </c>
      <c r="D126" s="131">
        <v>0</v>
      </c>
      <c r="E126" s="197"/>
      <c r="F126" s="197">
        <v>0</v>
      </c>
      <c r="G126" s="197"/>
    </row>
    <row r="127" spans="1:7" s="91" customFormat="1">
      <c r="A127" s="189">
        <v>1484</v>
      </c>
      <c r="B127" s="190"/>
      <c r="C127" s="190" t="s">
        <v>295</v>
      </c>
      <c r="D127" s="95">
        <v>0</v>
      </c>
      <c r="E127" s="196"/>
      <c r="F127" s="196">
        <v>0</v>
      </c>
      <c r="G127" s="196"/>
    </row>
    <row r="128" spans="1:7" s="91" customFormat="1">
      <c r="A128" s="189">
        <v>1485</v>
      </c>
      <c r="B128" s="190"/>
      <c r="C128" s="190" t="s">
        <v>296</v>
      </c>
      <c r="D128" s="95">
        <v>0</v>
      </c>
      <c r="E128" s="196"/>
      <c r="F128" s="196">
        <v>0</v>
      </c>
      <c r="G128" s="196"/>
    </row>
    <row r="129" spans="1:7" s="91" customFormat="1">
      <c r="A129" s="189">
        <v>1486</v>
      </c>
      <c r="B129" s="190"/>
      <c r="C129" s="190" t="s">
        <v>297</v>
      </c>
      <c r="D129" s="95">
        <v>0</v>
      </c>
      <c r="E129" s="196"/>
      <c r="F129" s="196">
        <v>0</v>
      </c>
      <c r="G129" s="196"/>
    </row>
    <row r="130" spans="1:7" s="91" customFormat="1">
      <c r="A130" s="198">
        <v>1489</v>
      </c>
      <c r="B130" s="199"/>
      <c r="C130" s="199" t="s">
        <v>298</v>
      </c>
      <c r="D130" s="119">
        <v>0</v>
      </c>
      <c r="E130" s="200"/>
      <c r="F130" s="200">
        <v>0</v>
      </c>
      <c r="G130" s="200"/>
    </row>
    <row r="131" spans="1:7">
      <c r="A131" s="201">
        <v>1</v>
      </c>
      <c r="B131" s="202"/>
      <c r="C131" s="201" t="s">
        <v>299</v>
      </c>
      <c r="D131" s="203">
        <f t="shared" ref="D131:G131" si="17">D111+D121</f>
        <v>3076739.5</v>
      </c>
      <c r="E131" s="203">
        <f t="shared" si="17"/>
        <v>0</v>
      </c>
      <c r="F131" s="203">
        <f t="shared" si="17"/>
        <v>3225030.3000000003</v>
      </c>
      <c r="G131" s="203">
        <f t="shared" si="17"/>
        <v>0</v>
      </c>
    </row>
    <row r="132" spans="1:7">
      <c r="C132" s="135"/>
      <c r="D132" s="161"/>
      <c r="E132" s="161"/>
      <c r="F132" s="161"/>
      <c r="G132" s="161"/>
    </row>
    <row r="133" spans="1:7" s="91" customFormat="1">
      <c r="A133" s="183">
        <v>20</v>
      </c>
      <c r="B133" s="184"/>
      <c r="C133" s="184" t="s">
        <v>300</v>
      </c>
      <c r="D133" s="204">
        <f t="shared" ref="D133:G133" si="18">D134+D140</f>
        <v>2185065.4</v>
      </c>
      <c r="E133" s="318">
        <f t="shared" si="18"/>
        <v>0</v>
      </c>
      <c r="F133" s="318">
        <f t="shared" si="18"/>
        <v>2236314.9000000004</v>
      </c>
      <c r="G133" s="318">
        <f t="shared" si="18"/>
        <v>0</v>
      </c>
    </row>
    <row r="134" spans="1:7" s="91" customFormat="1">
      <c r="A134" s="205" t="s">
        <v>301</v>
      </c>
      <c r="B134" s="188"/>
      <c r="C134" s="188" t="s">
        <v>302</v>
      </c>
      <c r="D134" s="185">
        <f t="shared" ref="D134:G134" si="19">D135+D136+D138+D139</f>
        <v>824338.89999999991</v>
      </c>
      <c r="E134" s="186">
        <f t="shared" si="19"/>
        <v>0</v>
      </c>
      <c r="F134" s="186">
        <f t="shared" si="19"/>
        <v>868597.3</v>
      </c>
      <c r="G134" s="186">
        <f t="shared" si="19"/>
        <v>0</v>
      </c>
    </row>
    <row r="135" spans="1:7" s="106" customFormat="1">
      <c r="A135" s="206">
        <v>200</v>
      </c>
      <c r="B135" s="190"/>
      <c r="C135" s="190" t="s">
        <v>303</v>
      </c>
      <c r="D135" s="95">
        <v>392446.9</v>
      </c>
      <c r="E135" s="124"/>
      <c r="F135" s="124">
        <v>407015</v>
      </c>
      <c r="G135" s="124"/>
    </row>
    <row r="136" spans="1:7" s="106" customFormat="1">
      <c r="A136" s="206">
        <v>201</v>
      </c>
      <c r="B136" s="190"/>
      <c r="C136" s="190" t="s">
        <v>304</v>
      </c>
      <c r="D136" s="95">
        <v>0</v>
      </c>
      <c r="E136" s="124"/>
      <c r="F136" s="124">
        <v>0</v>
      </c>
      <c r="G136" s="124"/>
    </row>
    <row r="137" spans="1:7" s="106" customFormat="1">
      <c r="A137" s="207" t="s">
        <v>305</v>
      </c>
      <c r="B137" s="208"/>
      <c r="C137" s="208" t="s">
        <v>306</v>
      </c>
      <c r="D137" s="100">
        <v>0</v>
      </c>
      <c r="E137" s="209"/>
      <c r="F137" s="209">
        <v>0</v>
      </c>
      <c r="G137" s="209"/>
    </row>
    <row r="138" spans="1:7" s="106" customFormat="1">
      <c r="A138" s="206">
        <v>204</v>
      </c>
      <c r="B138" s="190"/>
      <c r="C138" s="190" t="s">
        <v>307</v>
      </c>
      <c r="D138" s="95">
        <v>282338.3</v>
      </c>
      <c r="E138" s="196"/>
      <c r="F138" s="196">
        <v>319929.09999999998</v>
      </c>
      <c r="G138" s="196"/>
    </row>
    <row r="139" spans="1:7" s="106" customFormat="1">
      <c r="A139" s="206">
        <v>205</v>
      </c>
      <c r="B139" s="190"/>
      <c r="C139" s="190" t="s">
        <v>308</v>
      </c>
      <c r="D139" s="95">
        <v>149553.70000000001</v>
      </c>
      <c r="E139" s="196"/>
      <c r="F139" s="196">
        <v>141653.20000000001</v>
      </c>
      <c r="G139" s="196"/>
    </row>
    <row r="140" spans="1:7" s="106" customFormat="1">
      <c r="A140" s="205" t="s">
        <v>309</v>
      </c>
      <c r="B140" s="188"/>
      <c r="C140" s="188" t="s">
        <v>310</v>
      </c>
      <c r="D140" s="185">
        <f t="shared" ref="D140:G140" si="20">D141+D143+D144</f>
        <v>1360726.5</v>
      </c>
      <c r="E140" s="186">
        <f t="shared" si="20"/>
        <v>0</v>
      </c>
      <c r="F140" s="186">
        <f t="shared" si="20"/>
        <v>1367717.6</v>
      </c>
      <c r="G140" s="186">
        <f t="shared" si="20"/>
        <v>0</v>
      </c>
    </row>
    <row r="141" spans="1:7" s="106" customFormat="1">
      <c r="A141" s="206">
        <v>206</v>
      </c>
      <c r="B141" s="190"/>
      <c r="C141" s="190" t="s">
        <v>311</v>
      </c>
      <c r="D141" s="95">
        <v>1181072.3999999999</v>
      </c>
      <c r="E141" s="196"/>
      <c r="F141" s="196">
        <v>1181072.3999999999</v>
      </c>
      <c r="G141" s="196"/>
    </row>
    <row r="142" spans="1:7" s="106" customFormat="1">
      <c r="A142" s="207" t="s">
        <v>312</v>
      </c>
      <c r="B142" s="208"/>
      <c r="C142" s="208" t="s">
        <v>313</v>
      </c>
      <c r="D142" s="100">
        <v>0</v>
      </c>
      <c r="E142" s="209"/>
      <c r="F142" s="209">
        <v>0</v>
      </c>
      <c r="G142" s="209"/>
    </row>
    <row r="143" spans="1:7" s="106" customFormat="1">
      <c r="A143" s="206">
        <v>208</v>
      </c>
      <c r="B143" s="190"/>
      <c r="C143" s="190" t="s">
        <v>314</v>
      </c>
      <c r="D143" s="95">
        <v>156277.6</v>
      </c>
      <c r="E143" s="196"/>
      <c r="F143" s="196">
        <v>160143.1</v>
      </c>
      <c r="G143" s="196"/>
    </row>
    <row r="144" spans="1:7" s="111" customFormat="1" ht="28">
      <c r="A144" s="191">
        <v>209</v>
      </c>
      <c r="B144" s="193"/>
      <c r="C144" s="193" t="s">
        <v>315</v>
      </c>
      <c r="D144" s="131">
        <v>23376.5</v>
      </c>
      <c r="E144" s="197"/>
      <c r="F144" s="197">
        <v>26502.1</v>
      </c>
      <c r="G144" s="197"/>
    </row>
    <row r="145" spans="1:7" s="91" customFormat="1">
      <c r="A145" s="205">
        <v>29</v>
      </c>
      <c r="B145" s="188"/>
      <c r="C145" s="188" t="s">
        <v>316</v>
      </c>
      <c r="D145" s="210">
        <v>891673.9</v>
      </c>
      <c r="E145" s="196"/>
      <c r="F145" s="196">
        <v>988715.4</v>
      </c>
      <c r="G145" s="196"/>
    </row>
    <row r="146" spans="1:7" s="91" customFormat="1">
      <c r="A146" s="211" t="s">
        <v>317</v>
      </c>
      <c r="B146" s="212"/>
      <c r="C146" s="212" t="s">
        <v>318</v>
      </c>
      <c r="D146" s="138">
        <v>290209.2</v>
      </c>
      <c r="E146" s="139"/>
      <c r="F146" s="139">
        <v>419704.2</v>
      </c>
      <c r="G146" s="139"/>
    </row>
    <row r="147" spans="1:7">
      <c r="A147" s="201">
        <v>2</v>
      </c>
      <c r="B147" s="202"/>
      <c r="C147" s="201" t="s">
        <v>319</v>
      </c>
      <c r="D147" s="203">
        <f t="shared" ref="D147:G147" si="21">D133+D145</f>
        <v>3076739.3</v>
      </c>
      <c r="E147" s="203">
        <f t="shared" si="21"/>
        <v>0</v>
      </c>
      <c r="F147" s="203">
        <f t="shared" si="21"/>
        <v>3225030.3000000003</v>
      </c>
      <c r="G147" s="203">
        <f t="shared" si="21"/>
        <v>0</v>
      </c>
    </row>
    <row r="148" spans="1:7" ht="7.5" customHeight="1"/>
    <row r="149" spans="1:7" ht="13.5" customHeight="1">
      <c r="A149" s="213" t="s">
        <v>320</v>
      </c>
      <c r="B149" s="214"/>
      <c r="C149" s="215" t="s">
        <v>321</v>
      </c>
      <c r="D149" s="214"/>
      <c r="E149" s="214"/>
      <c r="F149" s="214"/>
      <c r="G149" s="214"/>
    </row>
    <row r="150" spans="1:7">
      <c r="A150" s="289" t="s">
        <v>322</v>
      </c>
      <c r="B150" s="483"/>
      <c r="C150" s="483" t="s">
        <v>82</v>
      </c>
      <c r="D150" s="218">
        <f t="shared" ref="D150:G150" si="22">D77+SUM(D8:D12)-D30-D31+D16-D33+D59+D63-D73+D64-D74-D54+D20-D35</f>
        <v>89093.699999999604</v>
      </c>
      <c r="E150" s="218">
        <f t="shared" si="22"/>
        <v>52915.000000000349</v>
      </c>
      <c r="F150" s="218">
        <f t="shared" si="22"/>
        <v>236678.79999999993</v>
      </c>
      <c r="G150" s="218">
        <f t="shared" si="22"/>
        <v>67670.199999999837</v>
      </c>
    </row>
    <row r="151" spans="1:7">
      <c r="A151" s="215" t="s">
        <v>323</v>
      </c>
      <c r="B151" s="484"/>
      <c r="C151" s="484" t="s">
        <v>324</v>
      </c>
      <c r="D151" s="221">
        <f t="shared" ref="D151:G151" si="23">IF(D177=0,0,D150/D177)</f>
        <v>2.3221674532489904E-2</v>
      </c>
      <c r="E151" s="221">
        <f t="shared" si="23"/>
        <v>1.3610911035134631E-2</v>
      </c>
      <c r="F151" s="221">
        <f t="shared" si="23"/>
        <v>5.7943425894761376E-2</v>
      </c>
      <c r="G151" s="221">
        <f t="shared" si="23"/>
        <v>1.6681427726812477E-2</v>
      </c>
    </row>
    <row r="152" spans="1:7" s="296" customFormat="1" ht="28">
      <c r="A152" s="229" t="s">
        <v>325</v>
      </c>
      <c r="B152" s="230"/>
      <c r="C152" s="230" t="s">
        <v>326</v>
      </c>
      <c r="D152" s="295">
        <f t="shared" ref="D152:G152" si="24">IF(D107=0,0,D150/D107)</f>
        <v>0.23392443470171634</v>
      </c>
      <c r="E152" s="295">
        <f t="shared" si="24"/>
        <v>0.19249125849959167</v>
      </c>
      <c r="F152" s="295">
        <f t="shared" si="24"/>
        <v>1.6593888667258865</v>
      </c>
      <c r="G152" s="295">
        <f t="shared" si="24"/>
        <v>0.25416056650558927</v>
      </c>
    </row>
    <row r="153" spans="1:7" s="296" customFormat="1" ht="28">
      <c r="A153" s="222" t="s">
        <v>325</v>
      </c>
      <c r="B153" s="223"/>
      <c r="C153" s="223" t="s">
        <v>327</v>
      </c>
      <c r="D153" s="241">
        <f t="shared" ref="D153:G153" si="25">IF(0=D108,0,D150/D108)</f>
        <v>0.81973558667683299</v>
      </c>
      <c r="E153" s="241">
        <f t="shared" si="25"/>
        <v>0.27592129764094386</v>
      </c>
      <c r="F153" s="241">
        <f t="shared" si="25"/>
        <v>1.5253097132972901</v>
      </c>
      <c r="G153" s="241">
        <f t="shared" si="25"/>
        <v>0.26975177488728752</v>
      </c>
    </row>
    <row r="154" spans="1:7" ht="28">
      <c r="A154" s="226" t="s">
        <v>328</v>
      </c>
      <c r="B154" s="227"/>
      <c r="C154" s="227" t="s">
        <v>329</v>
      </c>
      <c r="D154" s="234">
        <f t="shared" ref="D154:G154" si="26">D150-D107</f>
        <v>-291771.60000000038</v>
      </c>
      <c r="E154" s="234">
        <f t="shared" si="26"/>
        <v>-221980.59999999963</v>
      </c>
      <c r="F154" s="234">
        <f t="shared" si="26"/>
        <v>94048.699999999895</v>
      </c>
      <c r="G154" s="234">
        <f t="shared" si="26"/>
        <v>-198579.60000000015</v>
      </c>
    </row>
    <row r="155" spans="1:7" ht="28">
      <c r="A155" s="222" t="s">
        <v>330</v>
      </c>
      <c r="B155" s="223"/>
      <c r="C155" s="223" t="s">
        <v>331</v>
      </c>
      <c r="D155" s="231">
        <f t="shared" ref="D155:G155" si="27">D150-D108</f>
        <v>-19592.20000000039</v>
      </c>
      <c r="E155" s="231">
        <f t="shared" si="27"/>
        <v>-138860.69999999963</v>
      </c>
      <c r="F155" s="231">
        <f t="shared" si="27"/>
        <v>81511.099999999919</v>
      </c>
      <c r="G155" s="231">
        <f t="shared" si="27"/>
        <v>-183190.80000000016</v>
      </c>
    </row>
    <row r="156" spans="1:7">
      <c r="A156" s="289" t="s">
        <v>332</v>
      </c>
      <c r="B156" s="483"/>
      <c r="C156" s="483" t="s">
        <v>333</v>
      </c>
      <c r="D156" s="235">
        <f t="shared" ref="D156:G156" si="28">D135+D136-D137+D141-D142</f>
        <v>1573519.2999999998</v>
      </c>
      <c r="E156" s="235">
        <f t="shared" si="28"/>
        <v>0</v>
      </c>
      <c r="F156" s="235">
        <f t="shared" si="28"/>
        <v>1588087.4</v>
      </c>
      <c r="G156" s="235">
        <f t="shared" si="28"/>
        <v>0</v>
      </c>
    </row>
    <row r="157" spans="1:7">
      <c r="A157" s="301" t="s">
        <v>334</v>
      </c>
      <c r="B157" s="485"/>
      <c r="C157" s="485" t="s">
        <v>335</v>
      </c>
      <c r="D157" s="238">
        <f t="shared" ref="D157:G157" si="29">IF(D177=0,0,D156/D177)</f>
        <v>0.41012723744991508</v>
      </c>
      <c r="E157" s="238">
        <f t="shared" si="29"/>
        <v>0</v>
      </c>
      <c r="F157" s="238">
        <f t="shared" si="29"/>
        <v>0.38879369244860246</v>
      </c>
      <c r="G157" s="238">
        <f t="shared" si="29"/>
        <v>0</v>
      </c>
    </row>
    <row r="158" spans="1:7">
      <c r="A158" s="289" t="s">
        <v>336</v>
      </c>
      <c r="B158" s="483"/>
      <c r="C158" s="483" t="s">
        <v>337</v>
      </c>
      <c r="D158" s="235">
        <f t="shared" ref="D158:G158" si="30">D133-D142-D111</f>
        <v>166274.99999999977</v>
      </c>
      <c r="E158" s="235">
        <f t="shared" si="30"/>
        <v>0</v>
      </c>
      <c r="F158" s="235">
        <f t="shared" si="30"/>
        <v>75059</v>
      </c>
      <c r="G158" s="235">
        <f t="shared" si="30"/>
        <v>0</v>
      </c>
    </row>
    <row r="159" spans="1:7">
      <c r="A159" s="215" t="s">
        <v>338</v>
      </c>
      <c r="B159" s="484"/>
      <c r="C159" s="484" t="s">
        <v>339</v>
      </c>
      <c r="D159" s="239">
        <f t="shared" ref="D159:G159" si="31">D121-D123-D124-D142-D145</f>
        <v>-311836.90000000002</v>
      </c>
      <c r="E159" s="239">
        <f t="shared" si="31"/>
        <v>0</v>
      </c>
      <c r="F159" s="239">
        <f t="shared" si="31"/>
        <v>-407785.70000000019</v>
      </c>
      <c r="G159" s="239">
        <f t="shared" si="31"/>
        <v>0</v>
      </c>
    </row>
    <row r="160" spans="1:7">
      <c r="A160" s="215" t="s">
        <v>340</v>
      </c>
      <c r="B160" s="484"/>
      <c r="C160" s="484" t="s">
        <v>341</v>
      </c>
      <c r="D160" s="240">
        <f t="shared" ref="D160:G160" si="32">IF(D175=0,"-",1000*D158/D175)</f>
        <v>335.39684844964006</v>
      </c>
      <c r="E160" s="240">
        <f t="shared" si="32"/>
        <v>0</v>
      </c>
      <c r="F160" s="240">
        <f t="shared" si="32"/>
        <v>151.38234534834942</v>
      </c>
      <c r="G160" s="240">
        <f t="shared" si="32"/>
        <v>0</v>
      </c>
    </row>
    <row r="161" spans="1:7">
      <c r="A161" s="215" t="s">
        <v>340</v>
      </c>
      <c r="B161" s="484"/>
      <c r="C161" s="484" t="s">
        <v>342</v>
      </c>
      <c r="D161" s="239">
        <f t="shared" ref="D161:G161" si="33">IF(D175=0,0,1000*(D159/D175))</f>
        <v>-629.01286116557344</v>
      </c>
      <c r="E161" s="239">
        <f t="shared" si="33"/>
        <v>0</v>
      </c>
      <c r="F161" s="239">
        <f t="shared" si="33"/>
        <v>-822.44042240795159</v>
      </c>
      <c r="G161" s="239">
        <f t="shared" si="33"/>
        <v>0</v>
      </c>
    </row>
    <row r="162" spans="1:7">
      <c r="A162" s="301" t="s">
        <v>343</v>
      </c>
      <c r="B162" s="485"/>
      <c r="C162" s="485" t="s">
        <v>344</v>
      </c>
      <c r="D162" s="238">
        <f t="shared" ref="D162:G162" si="34">IF((D22+D23+D65+D66)=0,0,D158/(D22+D23+D65+D66))</f>
        <v>8.1807425787097779E-2</v>
      </c>
      <c r="E162" s="238">
        <f t="shared" si="34"/>
        <v>0</v>
      </c>
      <c r="F162" s="238">
        <f t="shared" si="34"/>
        <v>3.5581211618496443E-2</v>
      </c>
      <c r="G162" s="238">
        <f t="shared" si="34"/>
        <v>0</v>
      </c>
    </row>
    <row r="163" spans="1:7">
      <c r="A163" s="215" t="s">
        <v>345</v>
      </c>
      <c r="B163" s="484"/>
      <c r="C163" s="484" t="s">
        <v>316</v>
      </c>
      <c r="D163" s="218">
        <f t="shared" ref="D163:G163" si="35">D145</f>
        <v>891673.9</v>
      </c>
      <c r="E163" s="218">
        <f t="shared" si="35"/>
        <v>0</v>
      </c>
      <c r="F163" s="218">
        <f t="shared" si="35"/>
        <v>988715.4</v>
      </c>
      <c r="G163" s="218">
        <f t="shared" si="35"/>
        <v>0</v>
      </c>
    </row>
    <row r="164" spans="1:7" ht="28">
      <c r="A164" s="222" t="s">
        <v>346</v>
      </c>
      <c r="B164" s="237"/>
      <c r="C164" s="237" t="s">
        <v>347</v>
      </c>
      <c r="D164" s="241">
        <f t="shared" ref="D164:G164" si="36">IF(D178=0,0,D146/D178)</f>
        <v>7.4623975357486258E-2</v>
      </c>
      <c r="E164" s="241">
        <f t="shared" si="36"/>
        <v>0</v>
      </c>
      <c r="F164" s="241">
        <f t="shared" si="36"/>
        <v>0.10542974323404423</v>
      </c>
      <c r="G164" s="241">
        <f t="shared" si="36"/>
        <v>0</v>
      </c>
    </row>
    <row r="165" spans="1:7">
      <c r="A165" s="306" t="s">
        <v>348</v>
      </c>
      <c r="B165" s="486"/>
      <c r="C165" s="486" t="s">
        <v>349</v>
      </c>
      <c r="D165" s="244">
        <f t="shared" ref="D165:G165" si="37">IF(D177=0,0,D180/D177)</f>
        <v>3.8510488272707311E-2</v>
      </c>
      <c r="E165" s="244">
        <f t="shared" si="37"/>
        <v>4.5410438867833539E-2</v>
      </c>
      <c r="F165" s="244">
        <f t="shared" si="37"/>
        <v>3.8438049036819084E-2</v>
      </c>
      <c r="G165" s="244">
        <f t="shared" si="37"/>
        <v>5.3117137541527193E-2</v>
      </c>
    </row>
    <row r="166" spans="1:7">
      <c r="A166" s="215" t="s">
        <v>350</v>
      </c>
      <c r="B166" s="484"/>
      <c r="C166" s="484" t="s">
        <v>218</v>
      </c>
      <c r="D166" s="218">
        <f t="shared" ref="D166:G166" si="38">D55</f>
        <v>94364.099999999977</v>
      </c>
      <c r="E166" s="218">
        <f t="shared" si="38"/>
        <v>82710.600000000006</v>
      </c>
      <c r="F166" s="218">
        <f t="shared" si="38"/>
        <v>87746.299999999988</v>
      </c>
      <c r="G166" s="218">
        <f t="shared" si="38"/>
        <v>77480.100000000006</v>
      </c>
    </row>
    <row r="167" spans="1:7">
      <c r="A167" s="301" t="s">
        <v>351</v>
      </c>
      <c r="B167" s="485"/>
      <c r="C167" s="485" t="s">
        <v>352</v>
      </c>
      <c r="D167" s="238">
        <f t="shared" ref="D167:G167" si="39">IF(0=D111,0,(D44+D45+D46+D47+D48)/D111)</f>
        <v>1.1060534070302691E-2</v>
      </c>
      <c r="E167" s="238">
        <f t="shared" si="39"/>
        <v>0</v>
      </c>
      <c r="F167" s="238">
        <f t="shared" si="39"/>
        <v>9.3710791026643328E-3</v>
      </c>
      <c r="G167" s="238">
        <f t="shared" si="39"/>
        <v>0</v>
      </c>
    </row>
    <row r="168" spans="1:7">
      <c r="A168" s="215" t="s">
        <v>353</v>
      </c>
      <c r="B168" s="483"/>
      <c r="C168" s="483" t="s">
        <v>354</v>
      </c>
      <c r="D168" s="218">
        <f t="shared" ref="D168:G168" si="40">D38-D44</f>
        <v>21956.2</v>
      </c>
      <c r="E168" s="218">
        <f t="shared" si="40"/>
        <v>22409.200000000001</v>
      </c>
      <c r="F168" s="218">
        <f t="shared" si="40"/>
        <v>20201.2</v>
      </c>
      <c r="G168" s="218">
        <f t="shared" si="40"/>
        <v>26927.199999999997</v>
      </c>
    </row>
    <row r="169" spans="1:7">
      <c r="A169" s="301" t="s">
        <v>355</v>
      </c>
      <c r="B169" s="485"/>
      <c r="C169" s="485" t="s">
        <v>356</v>
      </c>
      <c r="D169" s="221">
        <f t="shared" ref="D169:G169" si="41">IF(D177=0,0,D168/D177)</f>
        <v>5.7227360674240394E-3</v>
      </c>
      <c r="E169" s="221">
        <f t="shared" si="41"/>
        <v>5.7641430136735703E-3</v>
      </c>
      <c r="F169" s="221">
        <f t="shared" si="41"/>
        <v>4.9456340626420868E-3</v>
      </c>
      <c r="G169" s="221">
        <f t="shared" si="41"/>
        <v>6.6378426646504065E-3</v>
      </c>
    </row>
    <row r="170" spans="1:7">
      <c r="A170" s="215" t="s">
        <v>357</v>
      </c>
      <c r="B170" s="484"/>
      <c r="C170" s="484" t="s">
        <v>358</v>
      </c>
      <c r="D170" s="218">
        <f t="shared" ref="D170:G170" si="42">SUM(D82:D87)+SUM(D89:D94)</f>
        <v>428687</v>
      </c>
      <c r="E170" s="218">
        <f t="shared" si="42"/>
        <v>400412.5</v>
      </c>
      <c r="F170" s="218">
        <f t="shared" si="42"/>
        <v>190563.90000000002</v>
      </c>
      <c r="G170" s="218">
        <f t="shared" si="42"/>
        <v>320696.09999999998</v>
      </c>
    </row>
    <row r="171" spans="1:7">
      <c r="A171" s="215" t="s">
        <v>359</v>
      </c>
      <c r="B171" s="484"/>
      <c r="C171" s="484" t="s">
        <v>360</v>
      </c>
      <c r="D171" s="239">
        <f t="shared" ref="D171:G171" si="43">SUM(D96:D102)+SUM(D104:D105)</f>
        <v>47821.7</v>
      </c>
      <c r="E171" s="239">
        <f t="shared" si="43"/>
        <v>125516.9</v>
      </c>
      <c r="F171" s="239">
        <f t="shared" si="43"/>
        <v>47933.8</v>
      </c>
      <c r="G171" s="239">
        <f t="shared" si="43"/>
        <v>54446.3</v>
      </c>
    </row>
    <row r="172" spans="1:7">
      <c r="A172" s="306" t="s">
        <v>361</v>
      </c>
      <c r="B172" s="486"/>
      <c r="C172" s="486" t="s">
        <v>362</v>
      </c>
      <c r="D172" s="244">
        <f t="shared" ref="D172:G172" si="44">IF(D184=0,0,D170/D184)</f>
        <v>0.10288676570864191</v>
      </c>
      <c r="E172" s="244">
        <f t="shared" si="44"/>
        <v>9.5464227042130423E-2</v>
      </c>
      <c r="F172" s="244">
        <f t="shared" si="44"/>
        <v>4.7686391519282972E-2</v>
      </c>
      <c r="G172" s="244">
        <f t="shared" si="44"/>
        <v>7.5510797198159813E-2</v>
      </c>
    </row>
    <row r="173" spans="1:7">
      <c r="A173" s="389"/>
    </row>
    <row r="174" spans="1:7">
      <c r="A174" s="432" t="s">
        <v>363</v>
      </c>
      <c r="C174" s="135"/>
      <c r="D174" s="161"/>
      <c r="E174" s="161"/>
      <c r="F174" s="161"/>
      <c r="G174" s="161"/>
    </row>
    <row r="175" spans="1:7" s="91" customFormat="1">
      <c r="A175" s="389" t="s">
        <v>364</v>
      </c>
      <c r="B175" s="84"/>
      <c r="C175" s="84" t="s">
        <v>387</v>
      </c>
      <c r="D175" s="246">
        <v>495756</v>
      </c>
      <c r="E175" s="246">
        <v>495756</v>
      </c>
      <c r="F175" s="246">
        <v>495824</v>
      </c>
      <c r="G175" s="246">
        <v>495824</v>
      </c>
    </row>
    <row r="176" spans="1:7">
      <c r="A176" s="310" t="s">
        <v>366</v>
      </c>
      <c r="B176" s="248"/>
      <c r="C176" s="248"/>
      <c r="D176" s="248"/>
      <c r="E176" s="248"/>
      <c r="F176" s="248"/>
      <c r="G176" s="248"/>
    </row>
    <row r="177" spans="1:7">
      <c r="A177" s="312" t="s">
        <v>367</v>
      </c>
      <c r="B177" s="248"/>
      <c r="C177" s="248" t="s">
        <v>368</v>
      </c>
      <c r="D177" s="249">
        <f t="shared" ref="D177:G177" si="45">SUM(D22:D32)+SUM(D44:D53)+SUM(D65:D72)+D75</f>
        <v>3836661.3</v>
      </c>
      <c r="E177" s="249">
        <f t="shared" si="45"/>
        <v>3887689.8000000003</v>
      </c>
      <c r="F177" s="249">
        <f t="shared" si="45"/>
        <v>4084653.2</v>
      </c>
      <c r="G177" s="249">
        <f t="shared" si="45"/>
        <v>4056619.1999999997</v>
      </c>
    </row>
    <row r="178" spans="1:7">
      <c r="A178" s="312" t="s">
        <v>369</v>
      </c>
      <c r="B178" s="248"/>
      <c r="C178" s="248" t="s">
        <v>370</v>
      </c>
      <c r="D178" s="249">
        <f t="shared" ref="D178:G178" si="46">D78-D17-D20-D59-D63-D64</f>
        <v>3888953.899999999</v>
      </c>
      <c r="E178" s="249">
        <f t="shared" si="46"/>
        <v>3963484.2999999984</v>
      </c>
      <c r="F178" s="249">
        <f t="shared" si="46"/>
        <v>3980889.9</v>
      </c>
      <c r="G178" s="249">
        <f t="shared" si="46"/>
        <v>4130117.3</v>
      </c>
    </row>
    <row r="179" spans="1:7">
      <c r="A179" s="312"/>
      <c r="B179" s="248"/>
      <c r="C179" s="248" t="s">
        <v>371</v>
      </c>
      <c r="D179" s="249">
        <f t="shared" ref="D179:G179" si="47">D178+D170</f>
        <v>4317640.8999999985</v>
      </c>
      <c r="E179" s="249">
        <f t="shared" si="47"/>
        <v>4363896.7999999989</v>
      </c>
      <c r="F179" s="249">
        <f t="shared" si="47"/>
        <v>4171453.8</v>
      </c>
      <c r="G179" s="249">
        <f t="shared" si="47"/>
        <v>4450813.3999999994</v>
      </c>
    </row>
    <row r="180" spans="1:7">
      <c r="A180" s="312" t="s">
        <v>372</v>
      </c>
      <c r="B180" s="248"/>
      <c r="C180" s="248" t="s">
        <v>373</v>
      </c>
      <c r="D180" s="249">
        <f t="shared" ref="D180:G180" si="48">D38-D44+D8+D9+D10+D16-D33</f>
        <v>147751.69999999998</v>
      </c>
      <c r="E180" s="249">
        <f t="shared" si="48"/>
        <v>176541.7</v>
      </c>
      <c r="F180" s="249">
        <f t="shared" si="48"/>
        <v>157006.1</v>
      </c>
      <c r="G180" s="249">
        <f t="shared" si="48"/>
        <v>215476</v>
      </c>
    </row>
    <row r="181" spans="1:7" ht="27.5" customHeight="1">
      <c r="A181" s="315" t="s">
        <v>374</v>
      </c>
      <c r="B181" s="251"/>
      <c r="C181" s="251" t="s">
        <v>375</v>
      </c>
      <c r="D181" s="487">
        <f t="shared" ref="D181:G181" si="49">D22+D23+D24+D25+D26+D29+SUM(D44:D47)+SUM(D49:D53)-D54+D32-D33+SUM(D65:D70)+D72</f>
        <v>3818310.6999999997</v>
      </c>
      <c r="E181" s="252">
        <f t="shared" si="49"/>
        <v>3831437.4999999995</v>
      </c>
      <c r="F181" s="252">
        <f t="shared" si="49"/>
        <v>4029907.6999999997</v>
      </c>
      <c r="G181" s="252">
        <f t="shared" si="49"/>
        <v>3986283.3000000003</v>
      </c>
    </row>
    <row r="182" spans="1:7">
      <c r="A182" s="317" t="s">
        <v>376</v>
      </c>
      <c r="B182" s="251"/>
      <c r="C182" s="251" t="s">
        <v>377</v>
      </c>
      <c r="D182" s="487">
        <f t="shared" ref="D182:G182" si="50">D181+D171</f>
        <v>3866132.4</v>
      </c>
      <c r="E182" s="252">
        <f t="shared" si="50"/>
        <v>3956954.3999999994</v>
      </c>
      <c r="F182" s="252">
        <f t="shared" si="50"/>
        <v>4077841.4999999995</v>
      </c>
      <c r="G182" s="252">
        <f t="shared" si="50"/>
        <v>4040729.6</v>
      </c>
    </row>
    <row r="183" spans="1:7">
      <c r="A183" s="317" t="s">
        <v>378</v>
      </c>
      <c r="B183" s="251"/>
      <c r="C183" s="251" t="s">
        <v>379</v>
      </c>
      <c r="D183" s="252">
        <f t="shared" ref="D183" si="51">D4+D5-D7+D38+D39+D40+D41+D43+D13-D16+D57+D58+D60+D62</f>
        <v>3737903.3</v>
      </c>
      <c r="E183" s="252">
        <f>E4+E5-E7+E38+E39+E40+E41+E43+E13-E16+E57+E58+E60+E62</f>
        <v>3793959.6999999997</v>
      </c>
      <c r="F183" s="252">
        <f>F4+F5-F7+F38+F39+F40+F41+F43+F13-F16+F57+F58+F60+F62</f>
        <v>3805626.5</v>
      </c>
      <c r="G183" s="252">
        <f>G4+G5-G7+G38+G39+G40+G41+G43+G13-G16+G57+G58+G60+G62</f>
        <v>3926327</v>
      </c>
    </row>
    <row r="184" spans="1:7">
      <c r="A184" s="317" t="s">
        <v>380</v>
      </c>
      <c r="B184" s="251"/>
      <c r="C184" s="251" t="s">
        <v>381</v>
      </c>
      <c r="D184" s="487">
        <f t="shared" ref="D184:G184" si="52">D183+D170</f>
        <v>4166590.3</v>
      </c>
      <c r="E184" s="252">
        <f t="shared" si="52"/>
        <v>4194372.1999999993</v>
      </c>
      <c r="F184" s="252">
        <f t="shared" si="52"/>
        <v>3996190.4</v>
      </c>
      <c r="G184" s="252">
        <f t="shared" si="52"/>
        <v>4247023.0999999996</v>
      </c>
    </row>
    <row r="185" spans="1:7">
      <c r="A185" s="317"/>
      <c r="B185" s="251"/>
      <c r="C185" s="251" t="s">
        <v>382</v>
      </c>
      <c r="D185" s="487">
        <f t="shared" ref="D185:G186" si="53">D181-D183</f>
        <v>80407.399999999907</v>
      </c>
      <c r="E185" s="252">
        <f t="shared" si="53"/>
        <v>37477.799999999814</v>
      </c>
      <c r="F185" s="252">
        <f t="shared" si="53"/>
        <v>224281.19999999972</v>
      </c>
      <c r="G185" s="252">
        <f t="shared" si="53"/>
        <v>59956.300000000279</v>
      </c>
    </row>
    <row r="186" spans="1:7">
      <c r="A186" s="317"/>
      <c r="B186" s="251"/>
      <c r="C186" s="251" t="s">
        <v>383</v>
      </c>
      <c r="D186" s="487">
        <f t="shared" si="53"/>
        <v>-300457.89999999991</v>
      </c>
      <c r="E186" s="252">
        <f t="shared" si="53"/>
        <v>-237417.79999999981</v>
      </c>
      <c r="F186" s="252">
        <f t="shared" si="53"/>
        <v>81651.099999999627</v>
      </c>
      <c r="G186" s="252">
        <f t="shared" si="53"/>
        <v>-206293.49999999953</v>
      </c>
    </row>
    <row r="193" spans="4:5">
      <c r="D193" s="246">
        <v>495756</v>
      </c>
      <c r="E193" s="246">
        <v>495756</v>
      </c>
    </row>
  </sheetData>
  <sheetProtection selectLockedCells="1" sort="0" autoFilter="0" pivotTables="0"/>
  <autoFilter ref="A1:F1" xr:uid="{00000000-0009-0000-0000-000012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16383" man="1"/>
    <brk id="14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view="pageLayout" topLeftCell="B19" zoomScaleNormal="100" workbookViewId="0">
      <selection activeCell="B22" sqref="B22"/>
    </sheetView>
  </sheetViews>
  <sheetFormatPr baseColWidth="10" defaultRowHeight="13"/>
  <cols>
    <col min="1" max="1" width="10.5" customWidth="1"/>
    <col min="2" max="2" width="52.5" bestFit="1" customWidth="1"/>
    <col min="3" max="3" width="13.33203125" bestFit="1" customWidth="1"/>
    <col min="4" max="4" width="11.5" bestFit="1" customWidth="1"/>
    <col min="5" max="5" width="13.33203125" bestFit="1" customWidth="1"/>
    <col min="6" max="6" width="11.5" bestFit="1" customWidth="1"/>
    <col min="7" max="7" width="13.33203125" bestFit="1" customWidth="1"/>
    <col min="8" max="8" width="11.5" style="49" bestFit="1" customWidth="1"/>
    <col min="9" max="9" width="13.33203125" bestFit="1" customWidth="1"/>
  </cols>
  <sheetData>
    <row r="1" spans="1:9">
      <c r="A1" s="3" t="s">
        <v>5</v>
      </c>
      <c r="B1" s="4" t="s">
        <v>85</v>
      </c>
      <c r="C1" s="43" t="s">
        <v>7</v>
      </c>
      <c r="D1" s="5" t="s">
        <v>8</v>
      </c>
      <c r="E1" s="43" t="s">
        <v>9</v>
      </c>
      <c r="F1" s="5" t="s">
        <v>8</v>
      </c>
      <c r="G1" s="43" t="s">
        <v>7</v>
      </c>
      <c r="H1" s="5" t="s">
        <v>8</v>
      </c>
      <c r="I1" s="44" t="s">
        <v>9</v>
      </c>
    </row>
    <row r="2" spans="1:9">
      <c r="A2" s="52">
        <v>0</v>
      </c>
      <c r="B2" s="55">
        <v>0</v>
      </c>
      <c r="C2" s="47">
        <v>2014</v>
      </c>
      <c r="D2" s="2" t="s">
        <v>10</v>
      </c>
      <c r="E2" s="47">
        <v>2015</v>
      </c>
      <c r="F2" s="2" t="s">
        <v>10</v>
      </c>
      <c r="G2" s="47">
        <v>2015</v>
      </c>
      <c r="H2" s="2" t="s">
        <v>10</v>
      </c>
      <c r="I2" s="48">
        <v>2016</v>
      </c>
    </row>
    <row r="3" spans="1:9">
      <c r="A3" s="52">
        <v>0</v>
      </c>
      <c r="B3" s="1" t="s">
        <v>11</v>
      </c>
      <c r="C3" s="54" t="s">
        <v>0</v>
      </c>
      <c r="D3" s="53">
        <v>0</v>
      </c>
      <c r="E3" s="54" t="s">
        <v>0</v>
      </c>
      <c r="F3" s="55">
        <v>0</v>
      </c>
      <c r="G3" s="54">
        <v>0</v>
      </c>
      <c r="H3" s="53">
        <v>0</v>
      </c>
      <c r="I3" s="50">
        <v>0</v>
      </c>
    </row>
    <row r="4" spans="1:9">
      <c r="A4" s="3" t="s">
        <v>13</v>
      </c>
      <c r="B4" s="7" t="s">
        <v>14</v>
      </c>
      <c r="C4" s="8">
        <v>2978300.4</v>
      </c>
      <c r="D4" s="9">
        <v>2.4039784569749978E-2</v>
      </c>
      <c r="E4" s="8">
        <v>3049898.1</v>
      </c>
      <c r="F4" s="9">
        <v>-1.561117962596891E-2</v>
      </c>
      <c r="G4" s="8">
        <v>3002285.5929199988</v>
      </c>
      <c r="H4" s="66">
        <v>2.3954454915814386E-2</v>
      </c>
      <c r="I4" s="10">
        <v>3074203.7078</v>
      </c>
    </row>
    <row r="5" spans="1:9">
      <c r="A5" s="11" t="s">
        <v>15</v>
      </c>
      <c r="B5" s="1" t="s">
        <v>16</v>
      </c>
      <c r="C5" s="12">
        <v>746748.8</v>
      </c>
      <c r="D5" s="13">
        <v>0.12872387608791591</v>
      </c>
      <c r="E5" s="12">
        <v>842873.2</v>
      </c>
      <c r="F5" s="13">
        <v>-6.9397797569076825E-2</v>
      </c>
      <c r="G5" s="12">
        <v>784379.65628999996</v>
      </c>
      <c r="H5" s="37">
        <v>2.0015097847203359E-2</v>
      </c>
      <c r="I5" s="14">
        <v>800079.09186000004</v>
      </c>
    </row>
    <row r="6" spans="1:9">
      <c r="A6" s="11" t="s">
        <v>17</v>
      </c>
      <c r="B6" s="1" t="s">
        <v>18</v>
      </c>
      <c r="C6" s="12">
        <v>44262.7</v>
      </c>
      <c r="D6" s="13">
        <v>0.17047536639201868</v>
      </c>
      <c r="E6" s="12">
        <v>51808.4</v>
      </c>
      <c r="F6" s="13">
        <v>-9.440034704796893E-2</v>
      </c>
      <c r="G6" s="12">
        <v>46917.669060000007</v>
      </c>
      <c r="H6" s="37">
        <v>2.2449877862708741E-2</v>
      </c>
      <c r="I6" s="14">
        <v>47970.964999999997</v>
      </c>
    </row>
    <row r="7" spans="1:9">
      <c r="A7" s="11" t="s">
        <v>19</v>
      </c>
      <c r="B7" s="1" t="s">
        <v>20</v>
      </c>
      <c r="C7" s="12">
        <v>102758.39999999999</v>
      </c>
      <c r="D7" s="13">
        <v>0.33901851332835081</v>
      </c>
      <c r="E7" s="12">
        <v>137595.4</v>
      </c>
      <c r="F7" s="13">
        <v>-0.18134378649286242</v>
      </c>
      <c r="G7" s="12">
        <v>112643.32915999999</v>
      </c>
      <c r="H7" s="37">
        <v>2.8622092972948914E-2</v>
      </c>
      <c r="I7" s="14">
        <v>115867.417</v>
      </c>
    </row>
    <row r="8" spans="1:9">
      <c r="A8" s="11" t="s">
        <v>21</v>
      </c>
      <c r="B8" s="1" t="s">
        <v>22</v>
      </c>
      <c r="C8" s="12">
        <v>112108.6</v>
      </c>
      <c r="D8" s="13">
        <v>-8.9716578389169063E-2</v>
      </c>
      <c r="E8" s="12">
        <v>102050.6</v>
      </c>
      <c r="F8" s="13">
        <v>4.7145006790748734E-2</v>
      </c>
      <c r="G8" s="12">
        <v>106861.77622999999</v>
      </c>
      <c r="H8" s="37">
        <v>1.5797713921267241E-2</v>
      </c>
      <c r="I8" s="14">
        <v>108549.948</v>
      </c>
    </row>
    <row r="9" spans="1:9">
      <c r="A9" s="11" t="s">
        <v>23</v>
      </c>
      <c r="B9" s="1" t="s">
        <v>24</v>
      </c>
      <c r="C9" s="12">
        <v>467512.1</v>
      </c>
      <c r="D9" s="13">
        <v>4.0305480863490055E-2</v>
      </c>
      <c r="E9" s="12">
        <v>486355.4</v>
      </c>
      <c r="F9" s="13">
        <v>-0.1625892386308449</v>
      </c>
      <c r="G9" s="12">
        <v>407279.24580999999</v>
      </c>
      <c r="H9" s="37">
        <v>8.2286797362698325E-2</v>
      </c>
      <c r="I9" s="14">
        <v>440792.95058000006</v>
      </c>
    </row>
    <row r="10" spans="1:9">
      <c r="A10" s="11" t="s">
        <v>25</v>
      </c>
      <c r="B10" s="1" t="s">
        <v>26</v>
      </c>
      <c r="C10" s="12">
        <v>5581199.9000000004</v>
      </c>
      <c r="D10" s="13">
        <v>2.7284992963609849E-2</v>
      </c>
      <c r="E10" s="12">
        <v>5733482.9000000004</v>
      </c>
      <c r="F10" s="13">
        <v>3.218615764075955E-2</v>
      </c>
      <c r="G10" s="12">
        <v>5918021.6844499996</v>
      </c>
      <c r="H10" s="37">
        <v>4.8518659563968449E-3</v>
      </c>
      <c r="I10" s="14">
        <v>5946735.1323900009</v>
      </c>
    </row>
    <row r="11" spans="1:9">
      <c r="A11" s="11" t="s">
        <v>27</v>
      </c>
      <c r="B11" s="1" t="s">
        <v>28</v>
      </c>
      <c r="C11" s="12">
        <v>415437.3</v>
      </c>
      <c r="D11" s="37">
        <v>3.3004739824758211E-2</v>
      </c>
      <c r="E11" s="12">
        <v>429148.7</v>
      </c>
      <c r="F11" s="13">
        <v>9.3450342596866784E-2</v>
      </c>
      <c r="G11" s="12">
        <v>469252.79304000002</v>
      </c>
      <c r="H11" s="37">
        <v>-3.2029757228784012E-2</v>
      </c>
      <c r="I11" s="14">
        <v>454222.74</v>
      </c>
    </row>
    <row r="12" spans="1:9">
      <c r="A12" s="11" t="s">
        <v>29</v>
      </c>
      <c r="B12" s="1" t="s">
        <v>30</v>
      </c>
      <c r="C12" s="12">
        <v>1008384.8</v>
      </c>
      <c r="D12" s="37">
        <v>3.2884966135943293E-2</v>
      </c>
      <c r="E12" s="12">
        <v>1041545.5</v>
      </c>
      <c r="F12" s="13">
        <v>-1.6396039923363933E-3</v>
      </c>
      <c r="G12" s="12">
        <v>1039837.77784</v>
      </c>
      <c r="H12" s="37">
        <v>-1.3389251801296114E-2</v>
      </c>
      <c r="I12" s="14">
        <v>1025915.128</v>
      </c>
    </row>
    <row r="13" spans="1:9">
      <c r="A13" s="11" t="s">
        <v>31</v>
      </c>
      <c r="B13" s="1" t="s">
        <v>32</v>
      </c>
      <c r="C13" s="12">
        <v>1378103.8</v>
      </c>
      <c r="D13" s="37">
        <v>7.0688652044933076E-2</v>
      </c>
      <c r="E13" s="12">
        <v>1475520.1</v>
      </c>
      <c r="F13" s="37">
        <v>6.4660041093306614E-2</v>
      </c>
      <c r="G13" s="12">
        <v>1570927.2903</v>
      </c>
      <c r="H13" s="37">
        <v>-3.0402961489630162E-2</v>
      </c>
      <c r="I13" s="14">
        <v>1523166.44839</v>
      </c>
    </row>
    <row r="14" spans="1:9">
      <c r="A14" s="11" t="s">
        <v>34</v>
      </c>
      <c r="B14" s="1" t="s">
        <v>35</v>
      </c>
      <c r="C14" s="12">
        <v>3666.5</v>
      </c>
      <c r="D14" s="37">
        <v>-2.2228283103777443E-2</v>
      </c>
      <c r="E14" s="12">
        <v>3585</v>
      </c>
      <c r="F14" s="13">
        <v>-1.1271966527196612E-2</v>
      </c>
      <c r="G14" s="12">
        <v>3544.59</v>
      </c>
      <c r="H14" s="37">
        <v>-3.0917539123001572E-2</v>
      </c>
      <c r="I14" s="14">
        <v>3435</v>
      </c>
    </row>
    <row r="15" spans="1:9">
      <c r="A15" s="11" t="s">
        <v>36</v>
      </c>
      <c r="B15" s="1" t="s">
        <v>37</v>
      </c>
      <c r="C15" s="12">
        <v>0</v>
      </c>
      <c r="D15" s="37" t="s">
        <v>33</v>
      </c>
      <c r="E15" s="12">
        <v>0</v>
      </c>
      <c r="F15" s="13" t="s">
        <v>33</v>
      </c>
      <c r="G15" s="12">
        <v>0</v>
      </c>
      <c r="H15" s="37" t="s">
        <v>33</v>
      </c>
      <c r="I15" s="14">
        <v>0</v>
      </c>
    </row>
    <row r="16" spans="1:9">
      <c r="A16" s="11" t="s">
        <v>38</v>
      </c>
      <c r="B16" s="1" t="s">
        <v>39</v>
      </c>
      <c r="C16" s="12">
        <v>8811.4</v>
      </c>
      <c r="D16" s="37">
        <v>-0.44957668474930201</v>
      </c>
      <c r="E16" s="12">
        <v>4850</v>
      </c>
      <c r="F16" s="37">
        <v>6.808136307216496</v>
      </c>
      <c r="G16" s="12">
        <v>37869.461090000004</v>
      </c>
      <c r="H16" s="37">
        <v>-0.86701685592959676</v>
      </c>
      <c r="I16" s="14">
        <v>5036</v>
      </c>
    </row>
    <row r="17" spans="1:9">
      <c r="A17" s="11" t="s">
        <v>40</v>
      </c>
      <c r="B17" s="1" t="s">
        <v>41</v>
      </c>
      <c r="C17" s="12">
        <v>16829.8</v>
      </c>
      <c r="D17" s="13">
        <v>-0.70696621469060827</v>
      </c>
      <c r="E17" s="12">
        <v>4931.7</v>
      </c>
      <c r="F17" s="13">
        <v>35.765942960845145</v>
      </c>
      <c r="G17" s="12">
        <v>181318.60090000002</v>
      </c>
      <c r="H17" s="37">
        <v>-0.96847779559499125</v>
      </c>
      <c r="I17" s="14">
        <v>5715.5619999999999</v>
      </c>
    </row>
    <row r="18" spans="1:9">
      <c r="A18" s="11">
        <v>389</v>
      </c>
      <c r="B18" s="1" t="s">
        <v>42</v>
      </c>
      <c r="C18" s="12">
        <v>0</v>
      </c>
      <c r="D18" s="37" t="s">
        <v>33</v>
      </c>
      <c r="E18" s="12">
        <v>0</v>
      </c>
      <c r="F18" s="37" t="s">
        <v>33</v>
      </c>
      <c r="G18" s="12">
        <v>0</v>
      </c>
      <c r="H18" s="37" t="s">
        <v>33</v>
      </c>
      <c r="I18" s="14">
        <v>0</v>
      </c>
    </row>
    <row r="19" spans="1:9">
      <c r="A19" s="15" t="s">
        <v>43</v>
      </c>
      <c r="B19" s="16" t="s">
        <v>44</v>
      </c>
      <c r="C19" s="17">
        <v>59580.6</v>
      </c>
      <c r="D19" s="37">
        <v>0.82003705904270852</v>
      </c>
      <c r="E19" s="17">
        <v>108438.9</v>
      </c>
      <c r="F19" s="37">
        <v>1.0897481946054417</v>
      </c>
      <c r="G19" s="17">
        <v>226609.99550000002</v>
      </c>
      <c r="H19" s="37">
        <v>-0.72123707138063997</v>
      </c>
      <c r="I19" s="18">
        <v>63170.466</v>
      </c>
    </row>
    <row r="20" spans="1:9">
      <c r="A20" s="19" t="s">
        <v>45</v>
      </c>
      <c r="B20" s="20" t="s">
        <v>46</v>
      </c>
      <c r="C20" s="21">
        <v>10065038.6</v>
      </c>
      <c r="D20" s="22">
        <v>3.9799906977008664E-2</v>
      </c>
      <c r="E20" s="21">
        <v>10465626.200000001</v>
      </c>
      <c r="F20" s="22">
        <v>2.6159321575998866E-2</v>
      </c>
      <c r="G20" s="21">
        <v>10739399.88126</v>
      </c>
      <c r="H20" s="67">
        <v>-1.7159767553825166E-2</v>
      </c>
      <c r="I20" s="23">
        <v>10555114.275630001</v>
      </c>
    </row>
    <row r="21" spans="1:9">
      <c r="A21" s="24" t="s">
        <v>47</v>
      </c>
      <c r="B21" s="25" t="s">
        <v>48</v>
      </c>
      <c r="C21" s="8">
        <v>4747735.2</v>
      </c>
      <c r="D21" s="13">
        <v>-1.0665127237930241E-2</v>
      </c>
      <c r="E21" s="8">
        <v>4697100</v>
      </c>
      <c r="F21" s="13">
        <v>6.3186112771712122E-3</v>
      </c>
      <c r="G21" s="8">
        <v>4726779.1490300009</v>
      </c>
      <c r="H21" s="37">
        <v>2.1562431363207363E-2</v>
      </c>
      <c r="I21" s="10">
        <v>4828700</v>
      </c>
    </row>
    <row r="22" spans="1:9">
      <c r="A22" s="6" t="s">
        <v>49</v>
      </c>
      <c r="B22" s="26" t="s">
        <v>50</v>
      </c>
      <c r="C22" s="12">
        <v>327376</v>
      </c>
      <c r="D22" s="13">
        <v>-4.4141904110258541E-2</v>
      </c>
      <c r="E22" s="12">
        <v>312925</v>
      </c>
      <c r="F22" s="13">
        <v>9.8407150499320944E-2</v>
      </c>
      <c r="G22" s="12">
        <v>343719.05757</v>
      </c>
      <c r="H22" s="37">
        <v>-7.12327612646666E-2</v>
      </c>
      <c r="I22" s="14">
        <v>319235</v>
      </c>
    </row>
    <row r="23" spans="1:9">
      <c r="A23" s="6" t="s">
        <v>51</v>
      </c>
      <c r="B23" s="26" t="s">
        <v>52</v>
      </c>
      <c r="C23" s="12">
        <v>140422.39999999999</v>
      </c>
      <c r="D23" s="13">
        <v>0.14593469417984595</v>
      </c>
      <c r="E23" s="12">
        <v>160914.9</v>
      </c>
      <c r="F23" s="13">
        <v>0.88521271423590986</v>
      </c>
      <c r="G23" s="12">
        <v>303358.81539</v>
      </c>
      <c r="H23" s="37">
        <v>-0.46214382532369763</v>
      </c>
      <c r="I23" s="14">
        <v>163163.41200000001</v>
      </c>
    </row>
    <row r="24" spans="1:9">
      <c r="A24" s="6" t="s">
        <v>53</v>
      </c>
      <c r="B24" s="26" t="s">
        <v>54</v>
      </c>
      <c r="C24" s="12">
        <v>887623.8</v>
      </c>
      <c r="D24" s="13">
        <v>-6.5475936990423186E-2</v>
      </c>
      <c r="E24" s="12">
        <v>829505.8</v>
      </c>
      <c r="F24" s="13">
        <v>0.12071510416202016</v>
      </c>
      <c r="G24" s="12">
        <v>929639.67904999992</v>
      </c>
      <c r="H24" s="37">
        <v>-7.7713773032824979E-2</v>
      </c>
      <c r="I24" s="14">
        <v>857393.87202999997</v>
      </c>
    </row>
    <row r="25" spans="1:9">
      <c r="A25" s="6" t="s">
        <v>55</v>
      </c>
      <c r="B25" s="26" t="s">
        <v>56</v>
      </c>
      <c r="C25" s="12">
        <v>4002960.4</v>
      </c>
      <c r="D25" s="13">
        <v>7.8481490848623006E-2</v>
      </c>
      <c r="E25" s="12">
        <v>4317118.7</v>
      </c>
      <c r="F25" s="13">
        <v>-4.2530174141378217E-3</v>
      </c>
      <c r="G25" s="12">
        <v>4298757.9189900002</v>
      </c>
      <c r="H25" s="37">
        <v>3.2992929149013889E-2</v>
      </c>
      <c r="I25" s="14">
        <v>4440586.5344399996</v>
      </c>
    </row>
    <row r="26" spans="1:9">
      <c r="A26" s="45" t="s">
        <v>57</v>
      </c>
      <c r="B26" s="26" t="s">
        <v>58</v>
      </c>
      <c r="C26" s="12">
        <v>111011.9</v>
      </c>
      <c r="D26" s="13">
        <v>0.51760036536623566</v>
      </c>
      <c r="E26" s="12">
        <v>168471.7</v>
      </c>
      <c r="F26" s="13">
        <v>-0.5235581136178955</v>
      </c>
      <c r="G26" s="12">
        <v>80266.974549999999</v>
      </c>
      <c r="H26" s="37">
        <v>0.26014121707045201</v>
      </c>
      <c r="I26" s="14">
        <v>101147.723</v>
      </c>
    </row>
    <row r="27" spans="1:9">
      <c r="A27" s="63">
        <v>489</v>
      </c>
      <c r="B27" s="26" t="s">
        <v>59</v>
      </c>
      <c r="C27" s="12">
        <v>0</v>
      </c>
      <c r="D27" s="13" t="s">
        <v>33</v>
      </c>
      <c r="E27" s="12">
        <v>0</v>
      </c>
      <c r="F27" s="13" t="s">
        <v>33</v>
      </c>
      <c r="G27" s="12">
        <v>0</v>
      </c>
      <c r="H27" s="37" t="s">
        <v>33</v>
      </c>
      <c r="I27" s="14">
        <v>0</v>
      </c>
    </row>
    <row r="28" spans="1:9">
      <c r="A28" s="27" t="s">
        <v>60</v>
      </c>
      <c r="B28" s="28" t="s">
        <v>61</v>
      </c>
      <c r="C28" s="17">
        <v>59580.6</v>
      </c>
      <c r="D28" s="13">
        <v>0.74403077511807525</v>
      </c>
      <c r="E28" s="17">
        <v>103910.39999999999</v>
      </c>
      <c r="F28" s="13">
        <v>1.1808211257006038</v>
      </c>
      <c r="G28" s="17">
        <v>226609.99550000002</v>
      </c>
      <c r="H28" s="37">
        <v>-0.71595734619746731</v>
      </c>
      <c r="I28" s="18">
        <v>64366.904499999997</v>
      </c>
    </row>
    <row r="29" spans="1:9">
      <c r="A29" s="39" t="s">
        <v>62</v>
      </c>
      <c r="B29" s="40" t="s">
        <v>63</v>
      </c>
      <c r="C29" s="21">
        <v>10276710.300000001</v>
      </c>
      <c r="D29" s="41">
        <v>3.0480201431775229E-2</v>
      </c>
      <c r="E29" s="21">
        <v>10589946.5</v>
      </c>
      <c r="F29" s="41">
        <v>3.0140387402334889E-2</v>
      </c>
      <c r="G29" s="21">
        <v>10909131.59008</v>
      </c>
      <c r="H29" s="68">
        <v>-1.2332617220635538E-2</v>
      </c>
      <c r="I29" s="23">
        <v>10774593.445970001</v>
      </c>
    </row>
    <row r="30" spans="1:9">
      <c r="A30" s="38" t="s">
        <v>64</v>
      </c>
      <c r="B30" s="29" t="s">
        <v>65</v>
      </c>
      <c r="C30" s="30">
        <v>211671.70000000112</v>
      </c>
      <c r="D30" s="56">
        <v>0</v>
      </c>
      <c r="E30" s="30">
        <v>124320.29999999888</v>
      </c>
      <c r="F30" s="56">
        <v>0</v>
      </c>
      <c r="G30" s="30">
        <v>169731.70882000029</v>
      </c>
      <c r="H30" s="69">
        <v>0</v>
      </c>
      <c r="I30" s="31">
        <v>219479.17033999972</v>
      </c>
    </row>
    <row r="31" spans="1:9">
      <c r="A31" s="60">
        <v>0</v>
      </c>
      <c r="B31" s="25" t="s">
        <v>66</v>
      </c>
      <c r="C31" s="58">
        <v>0</v>
      </c>
      <c r="D31" s="55">
        <v>0</v>
      </c>
      <c r="E31" s="58">
        <v>0</v>
      </c>
      <c r="F31" s="55">
        <v>0</v>
      </c>
      <c r="G31" s="58">
        <v>0</v>
      </c>
      <c r="H31" s="70">
        <v>0</v>
      </c>
      <c r="I31" s="59">
        <v>0</v>
      </c>
    </row>
    <row r="32" spans="1:9">
      <c r="A32" s="45" t="s">
        <v>67</v>
      </c>
      <c r="B32" s="26" t="s">
        <v>68</v>
      </c>
      <c r="C32" s="12">
        <v>605130.80000000005</v>
      </c>
      <c r="D32" s="13">
        <v>6.1062005106995047E-2</v>
      </c>
      <c r="E32" s="12">
        <v>642081.30000000005</v>
      </c>
      <c r="F32" s="13">
        <v>-0.16578588156982615</v>
      </c>
      <c r="G32" s="12">
        <v>535633.28564000002</v>
      </c>
      <c r="H32" s="37">
        <v>4.3374597850542894E-2</v>
      </c>
      <c r="I32" s="14">
        <v>558866.16399999999</v>
      </c>
    </row>
    <row r="33" spans="1:9">
      <c r="A33" s="45" t="s">
        <v>69</v>
      </c>
      <c r="B33" s="26" t="s">
        <v>70</v>
      </c>
      <c r="C33" s="12">
        <v>11089.6</v>
      </c>
      <c r="D33" s="13">
        <v>0.23168554321165769</v>
      </c>
      <c r="E33" s="12">
        <v>13658.9</v>
      </c>
      <c r="F33" s="13">
        <v>-0.68436910366134895</v>
      </c>
      <c r="G33" s="12">
        <v>4311.1708499999995</v>
      </c>
      <c r="H33" s="37">
        <v>1.6210977001758122</v>
      </c>
      <c r="I33" s="14">
        <v>11300</v>
      </c>
    </row>
    <row r="34" spans="1:9">
      <c r="A34" s="6" t="s">
        <v>71</v>
      </c>
      <c r="B34" s="26" t="s">
        <v>72</v>
      </c>
      <c r="C34" s="12">
        <v>323617.5</v>
      </c>
      <c r="D34" s="13">
        <v>0.19179772416510224</v>
      </c>
      <c r="E34" s="12">
        <v>385686.6</v>
      </c>
      <c r="F34" s="13">
        <v>-0.17912193646343952</v>
      </c>
      <c r="G34" s="12">
        <v>316601.66933999996</v>
      </c>
      <c r="H34" s="37">
        <v>-2.7400791531151721E-2</v>
      </c>
      <c r="I34" s="14">
        <v>307926.533</v>
      </c>
    </row>
    <row r="35" spans="1:9">
      <c r="A35" s="39" t="s">
        <v>73</v>
      </c>
      <c r="B35" s="40" t="s">
        <v>74</v>
      </c>
      <c r="C35" s="21">
        <v>939837.9</v>
      </c>
      <c r="D35" s="42">
        <v>0.10809193798207119</v>
      </c>
      <c r="E35" s="21">
        <v>1041426.8</v>
      </c>
      <c r="F35" s="42">
        <v>-0.1775263265454663</v>
      </c>
      <c r="G35" s="21">
        <v>856546.12583000003</v>
      </c>
      <c r="H35" s="68">
        <v>2.5155179061864409E-2</v>
      </c>
      <c r="I35" s="23">
        <v>878092.69699999993</v>
      </c>
    </row>
    <row r="36" spans="1:9">
      <c r="A36" s="6" t="s">
        <v>75</v>
      </c>
      <c r="B36" s="26" t="s">
        <v>76</v>
      </c>
      <c r="C36" s="12">
        <v>2251.9</v>
      </c>
      <c r="D36" s="13">
        <v>-0.86207202806518946</v>
      </c>
      <c r="E36" s="12">
        <v>310.60000000000002</v>
      </c>
      <c r="F36" s="13">
        <v>9.3386230521571143</v>
      </c>
      <c r="G36" s="12">
        <v>3211.17632</v>
      </c>
      <c r="H36" s="37">
        <v>-0.96885876388126824</v>
      </c>
      <c r="I36" s="14">
        <v>100</v>
      </c>
    </row>
    <row r="37" spans="1:9">
      <c r="A37" s="6" t="s">
        <v>77</v>
      </c>
      <c r="B37" s="26" t="s">
        <v>78</v>
      </c>
      <c r="C37" s="12">
        <v>414862.8</v>
      </c>
      <c r="D37" s="13">
        <v>5.4433417505739302E-2</v>
      </c>
      <c r="E37" s="12">
        <v>437445.2</v>
      </c>
      <c r="F37" s="13">
        <v>-0.14624430648684678</v>
      </c>
      <c r="G37" s="12">
        <v>373471.33010000002</v>
      </c>
      <c r="H37" s="37">
        <v>-6.4802987938912801E-2</v>
      </c>
      <c r="I37" s="14">
        <v>349269.272</v>
      </c>
    </row>
    <row r="38" spans="1:9">
      <c r="A38" s="39" t="s">
        <v>79</v>
      </c>
      <c r="B38" s="40" t="s">
        <v>80</v>
      </c>
      <c r="C38" s="21">
        <v>417114.7</v>
      </c>
      <c r="D38" s="42">
        <v>4.9485429307574096E-2</v>
      </c>
      <c r="E38" s="21">
        <v>437755.8</v>
      </c>
      <c r="F38" s="42">
        <v>-0.13951452746028709</v>
      </c>
      <c r="G38" s="21">
        <v>376682.50642000005</v>
      </c>
      <c r="H38" s="68">
        <v>-7.2509962513485737E-2</v>
      </c>
      <c r="I38" s="23">
        <v>349369.272</v>
      </c>
    </row>
    <row r="39" spans="1:9">
      <c r="A39" s="32" t="s">
        <v>81</v>
      </c>
      <c r="B39" s="33" t="s">
        <v>1</v>
      </c>
      <c r="C39" s="34">
        <v>522723.2</v>
      </c>
      <c r="D39" s="35">
        <v>0.15485786741434088</v>
      </c>
      <c r="E39" s="34">
        <v>603671</v>
      </c>
      <c r="F39" s="35">
        <v>-0.20509082031437656</v>
      </c>
      <c r="G39" s="34">
        <v>479863.61940999998</v>
      </c>
      <c r="H39" s="71">
        <v>0.10182019143287807</v>
      </c>
      <c r="I39" s="36">
        <v>528723.42499999993</v>
      </c>
    </row>
    <row r="40" spans="1:9">
      <c r="A40" s="52" t="s">
        <v>0</v>
      </c>
      <c r="B40" s="26" t="s">
        <v>82</v>
      </c>
      <c r="C40" s="12">
        <v>679183.80000000109</v>
      </c>
      <c r="D40" s="13">
        <v>-0.1008682774824754</v>
      </c>
      <c r="E40" s="12">
        <v>610675.69999999891</v>
      </c>
      <c r="F40" s="13">
        <v>-5.5127042667652705E-2</v>
      </c>
      <c r="G40" s="12">
        <v>577010.95463000028</v>
      </c>
      <c r="H40" s="37">
        <v>0.14429737533040338</v>
      </c>
      <c r="I40" s="14">
        <v>660272.12091999978</v>
      </c>
    </row>
    <row r="41" spans="1:9">
      <c r="A41" s="52" t="s">
        <v>0</v>
      </c>
      <c r="B41" s="26" t="s">
        <v>83</v>
      </c>
      <c r="C41" s="12">
        <v>156460.60000000108</v>
      </c>
      <c r="D41" s="13">
        <v>-0.95523026244307607</v>
      </c>
      <c r="E41" s="12">
        <v>7004.6999999989057</v>
      </c>
      <c r="F41" s="13">
        <v>12.868878784247073</v>
      </c>
      <c r="G41" s="12">
        <v>97147.335220000299</v>
      </c>
      <c r="H41" s="37">
        <v>0.35411533030827941</v>
      </c>
      <c r="I41" s="14">
        <v>131548.69591999985</v>
      </c>
    </row>
    <row r="42" spans="1:9">
      <c r="A42" s="61" t="s">
        <v>0</v>
      </c>
      <c r="B42" s="28" t="s">
        <v>84</v>
      </c>
      <c r="C42" s="17">
        <v>10348845.4</v>
      </c>
      <c r="D42" s="51">
        <v>4.4104533632322099E-2</v>
      </c>
      <c r="E42" s="17">
        <v>10805276.400000002</v>
      </c>
      <c r="F42" s="51">
        <v>-1.2160726527088387E-2</v>
      </c>
      <c r="G42" s="17">
        <v>10673876.38865</v>
      </c>
      <c r="H42" s="46">
        <v>1.3219345274603193E-2</v>
      </c>
      <c r="I42" s="18">
        <v>10814978.046049999</v>
      </c>
    </row>
    <row r="43" spans="1:9">
      <c r="A43" s="61">
        <v>0</v>
      </c>
      <c r="B43" s="28" t="s">
        <v>3</v>
      </c>
      <c r="C43" s="46">
        <v>1.2993182625144648</v>
      </c>
      <c r="D43" s="62">
        <v>0</v>
      </c>
      <c r="E43" s="46">
        <v>1.0116035058831696</v>
      </c>
      <c r="F43" s="64">
        <v>0</v>
      </c>
      <c r="G43" s="46">
        <v>1.2024478024390441</v>
      </c>
      <c r="H43" s="64">
        <v>0</v>
      </c>
      <c r="I43" s="65">
        <v>1.2488043648151204</v>
      </c>
    </row>
  </sheetData>
  <phoneticPr fontId="6" type="noConversion"/>
  <pageMargins left="0.78740157480314965" right="0.43307086614173229" top="0.98425196850393704" bottom="0.51181102362204722" header="0.51181102362204722" footer="0.23622047244094491"/>
  <pageSetup paperSize="9" scale="89" orientation="landscape" r:id="rId1"/>
  <headerFooter alignWithMargins="0">
    <oddHeader>&amp;LFachgruppe für kantonale Finanzfragen (FkF)
Groupe d'études pour les finances cantonales&amp;CRechnung 2014 - Budget 2016
Compte 2014 - Budget 2016&amp;RZürich, 26.04.2015</oddHeader>
    <oddFooter>&amp;LQuelle: FkF Mai 2016&amp;RBlatt &amp;P /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AO186"/>
  <sheetViews>
    <sheetView tabSelected="1" zoomScale="115" zoomScaleNormal="115" workbookViewId="0">
      <pane xSplit="3" ySplit="2" topLeftCell="D3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11.5" defaultRowHeight="13"/>
  <cols>
    <col min="1" max="1" width="14.6640625" style="84" customWidth="1"/>
    <col min="2" max="2" width="3.6640625" style="84" customWidth="1"/>
    <col min="3" max="3" width="44.6640625" style="84" customWidth="1"/>
    <col min="4" max="5" width="11.5" style="84"/>
    <col min="6" max="7" width="11.5" style="84" customWidth="1"/>
    <col min="8" max="16384" width="11.5" style="84"/>
  </cols>
  <sheetData>
    <row r="1" spans="1:41" s="77" customFormat="1" ht="18" customHeight="1">
      <c r="A1" s="72" t="s">
        <v>156</v>
      </c>
      <c r="B1" s="73" t="s">
        <v>613</v>
      </c>
      <c r="C1" s="73" t="s">
        <v>145</v>
      </c>
      <c r="D1" s="74" t="s">
        <v>7</v>
      </c>
      <c r="E1" s="75" t="s">
        <v>9</v>
      </c>
      <c r="F1" s="74" t="s">
        <v>7</v>
      </c>
      <c r="G1" s="75" t="s">
        <v>9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</row>
    <row r="2" spans="1:41" s="83" customFormat="1" ht="15" customHeight="1">
      <c r="A2" s="78"/>
      <c r="B2" s="79"/>
      <c r="C2" s="80" t="s">
        <v>158</v>
      </c>
      <c r="D2" s="81">
        <v>2014</v>
      </c>
      <c r="E2" s="82">
        <v>2015</v>
      </c>
      <c r="F2" s="81">
        <v>2015</v>
      </c>
      <c r="G2" s="82">
        <v>2016</v>
      </c>
    </row>
    <row r="3" spans="1:41" ht="15" customHeight="1">
      <c r="A3" s="678" t="s">
        <v>159</v>
      </c>
      <c r="B3" s="679"/>
      <c r="C3" s="679"/>
      <c r="E3" s="85"/>
      <c r="F3" s="85"/>
      <c r="G3" s="85"/>
    </row>
    <row r="4" spans="1:41" s="91" customFormat="1" ht="12.75" customHeight="1">
      <c r="A4" s="86">
        <v>30</v>
      </c>
      <c r="B4" s="87"/>
      <c r="C4" s="88" t="s">
        <v>14</v>
      </c>
      <c r="D4" s="89">
        <v>355895</v>
      </c>
      <c r="E4" s="90">
        <v>364910</v>
      </c>
      <c r="F4" s="90">
        <v>358814.1</v>
      </c>
      <c r="G4" s="90">
        <v>368251</v>
      </c>
    </row>
    <row r="5" spans="1:41" s="91" customFormat="1" ht="12.75" customHeight="1">
      <c r="A5" s="92">
        <v>31</v>
      </c>
      <c r="B5" s="93"/>
      <c r="C5" s="94" t="s">
        <v>160</v>
      </c>
      <c r="D5" s="95">
        <v>295132</v>
      </c>
      <c r="E5" s="96">
        <v>307620</v>
      </c>
      <c r="F5" s="96">
        <v>287873.7</v>
      </c>
      <c r="G5" s="96">
        <v>307645</v>
      </c>
    </row>
    <row r="6" spans="1:41" s="91" customFormat="1" ht="12.75" customHeight="1">
      <c r="A6" s="97" t="s">
        <v>17</v>
      </c>
      <c r="B6" s="98"/>
      <c r="C6" s="99" t="s">
        <v>161</v>
      </c>
      <c r="D6" s="100">
        <v>117146</v>
      </c>
      <c r="E6" s="96">
        <v>116111</v>
      </c>
      <c r="F6" s="96">
        <v>109632.6</v>
      </c>
      <c r="G6" s="96">
        <v>117869</v>
      </c>
    </row>
    <row r="7" spans="1:41" s="91" customFormat="1" ht="12.75" customHeight="1">
      <c r="A7" s="97" t="s">
        <v>162</v>
      </c>
      <c r="B7" s="98"/>
      <c r="C7" s="99" t="s">
        <v>163</v>
      </c>
      <c r="D7" s="100">
        <v>123</v>
      </c>
      <c r="E7" s="96">
        <v>0</v>
      </c>
      <c r="F7" s="96">
        <v>2028.5</v>
      </c>
      <c r="G7" s="96">
        <v>0</v>
      </c>
    </row>
    <row r="8" spans="1:41" s="91" customFormat="1" ht="12.75" customHeight="1">
      <c r="A8" s="101">
        <v>330</v>
      </c>
      <c r="B8" s="93"/>
      <c r="C8" s="94" t="s">
        <v>164</v>
      </c>
      <c r="D8" s="95">
        <v>59883</v>
      </c>
      <c r="E8" s="96">
        <v>80378</v>
      </c>
      <c r="F8" s="96">
        <v>77707.199999999997</v>
      </c>
      <c r="G8" s="96">
        <v>77237</v>
      </c>
    </row>
    <row r="9" spans="1:41" s="91" customFormat="1" ht="12.75" customHeight="1">
      <c r="A9" s="101">
        <v>332</v>
      </c>
      <c r="B9" s="93"/>
      <c r="C9" s="94" t="s">
        <v>165</v>
      </c>
      <c r="D9" s="95">
        <v>4504</v>
      </c>
      <c r="E9" s="96">
        <v>5717</v>
      </c>
      <c r="F9" s="96">
        <v>4512.2</v>
      </c>
      <c r="G9" s="96">
        <v>5882</v>
      </c>
    </row>
    <row r="10" spans="1:41" s="91" customFormat="1" ht="12.75" customHeight="1">
      <c r="A10" s="101">
        <v>339</v>
      </c>
      <c r="B10" s="93"/>
      <c r="C10" s="94" t="s">
        <v>166</v>
      </c>
      <c r="D10" s="95">
        <v>0</v>
      </c>
      <c r="E10" s="96">
        <v>0</v>
      </c>
      <c r="F10" s="96">
        <v>0</v>
      </c>
      <c r="G10" s="96">
        <v>0</v>
      </c>
    </row>
    <row r="11" spans="1:41" s="91" customFormat="1" ht="12.75" customHeight="1">
      <c r="A11" s="92">
        <v>350</v>
      </c>
      <c r="B11" s="93"/>
      <c r="C11" s="94" t="s">
        <v>167</v>
      </c>
      <c r="D11" s="95">
        <v>738</v>
      </c>
      <c r="E11" s="96">
        <v>283</v>
      </c>
      <c r="F11" s="96">
        <v>1966.4</v>
      </c>
      <c r="G11" s="96">
        <v>279</v>
      </c>
    </row>
    <row r="12" spans="1:41" s="106" customFormat="1" ht="14">
      <c r="A12" s="102">
        <v>351</v>
      </c>
      <c r="B12" s="103"/>
      <c r="C12" s="104" t="s">
        <v>168</v>
      </c>
      <c r="D12" s="105">
        <v>20977</v>
      </c>
      <c r="E12" s="96">
        <v>3534</v>
      </c>
      <c r="F12" s="96">
        <v>3468.8</v>
      </c>
      <c r="G12" s="96">
        <v>0</v>
      </c>
    </row>
    <row r="13" spans="1:41" s="91" customFormat="1" ht="12.75" customHeight="1">
      <c r="A13" s="92">
        <v>36</v>
      </c>
      <c r="B13" s="93"/>
      <c r="C13" s="94" t="s">
        <v>169</v>
      </c>
      <c r="D13" s="124">
        <v>1128941</v>
      </c>
      <c r="E13" s="96">
        <v>1185060</v>
      </c>
      <c r="F13" s="96">
        <v>1145355.7</v>
      </c>
      <c r="G13" s="96">
        <v>1119431</v>
      </c>
    </row>
    <row r="14" spans="1:41" s="91" customFormat="1" ht="12.75" customHeight="1">
      <c r="A14" s="107" t="s">
        <v>170</v>
      </c>
      <c r="B14" s="93"/>
      <c r="C14" s="108" t="s">
        <v>171</v>
      </c>
      <c r="D14" s="100">
        <v>276780</v>
      </c>
      <c r="E14" s="96">
        <v>287594</v>
      </c>
      <c r="F14" s="96">
        <v>284640</v>
      </c>
      <c r="G14" s="96">
        <v>251637</v>
      </c>
    </row>
    <row r="15" spans="1:41" s="91" customFormat="1" ht="12.75" customHeight="1">
      <c r="A15" s="107" t="s">
        <v>172</v>
      </c>
      <c r="B15" s="93"/>
      <c r="C15" s="108" t="s">
        <v>173</v>
      </c>
      <c r="D15" s="100">
        <v>13517</v>
      </c>
      <c r="E15" s="96">
        <v>18468</v>
      </c>
      <c r="F15" s="96">
        <v>18541.3</v>
      </c>
      <c r="G15" s="96">
        <v>20540</v>
      </c>
    </row>
    <row r="16" spans="1:41" s="111" customFormat="1" ht="26.25" customHeight="1">
      <c r="A16" s="107" t="s">
        <v>174</v>
      </c>
      <c r="B16" s="109"/>
      <c r="C16" s="108" t="s">
        <v>175</v>
      </c>
      <c r="D16" s="110">
        <v>75456</v>
      </c>
      <c r="E16" s="96">
        <v>98578</v>
      </c>
      <c r="F16" s="96">
        <v>85275.4</v>
      </c>
      <c r="G16" s="96">
        <v>128347</v>
      </c>
    </row>
    <row r="17" spans="1:7" s="113" customFormat="1">
      <c r="A17" s="92">
        <v>37</v>
      </c>
      <c r="B17" s="93"/>
      <c r="C17" s="94" t="s">
        <v>176</v>
      </c>
      <c r="D17" s="112">
        <v>424647</v>
      </c>
      <c r="E17" s="96">
        <v>421975</v>
      </c>
      <c r="F17" s="96">
        <v>430993.8</v>
      </c>
      <c r="G17" s="96">
        <v>348960</v>
      </c>
    </row>
    <row r="18" spans="1:7" s="113" customFormat="1">
      <c r="A18" s="114" t="s">
        <v>177</v>
      </c>
      <c r="B18" s="98"/>
      <c r="C18" s="99" t="s">
        <v>178</v>
      </c>
      <c r="D18" s="115">
        <v>178911</v>
      </c>
      <c r="E18" s="96">
        <v>171000</v>
      </c>
      <c r="F18" s="96">
        <v>182397.4</v>
      </c>
      <c r="G18" s="96">
        <v>96000</v>
      </c>
    </row>
    <row r="19" spans="1:7" s="113" customFormat="1">
      <c r="A19" s="114" t="s">
        <v>179</v>
      </c>
      <c r="B19" s="98"/>
      <c r="C19" s="99" t="s">
        <v>180</v>
      </c>
      <c r="D19" s="115">
        <v>220771</v>
      </c>
      <c r="E19" s="96">
        <v>224483</v>
      </c>
      <c r="F19" s="96">
        <v>219938.8</v>
      </c>
      <c r="G19" s="96">
        <v>222484</v>
      </c>
    </row>
    <row r="20" spans="1:7" s="91" customFormat="1" ht="12.75" customHeight="1">
      <c r="A20" s="116">
        <v>39</v>
      </c>
      <c r="B20" s="117"/>
      <c r="C20" s="118" t="s">
        <v>181</v>
      </c>
      <c r="D20" s="119">
        <v>153458</v>
      </c>
      <c r="E20" s="120">
        <v>153216</v>
      </c>
      <c r="F20" s="120">
        <v>153866.29999999999</v>
      </c>
      <c r="G20" s="120">
        <v>184679</v>
      </c>
    </row>
    <row r="21" spans="1:7" ht="12.75" customHeight="1">
      <c r="A21" s="121"/>
      <c r="B21" s="121"/>
      <c r="C21" s="122" t="s">
        <v>182</v>
      </c>
      <c r="D21" s="123">
        <f t="shared" ref="D21:G21" si="0">D4+D5+SUM(D8:D13)+D17</f>
        <v>2290717</v>
      </c>
      <c r="E21" s="123">
        <f t="shared" si="0"/>
        <v>2369477</v>
      </c>
      <c r="F21" s="123">
        <f t="shared" si="0"/>
        <v>2310691.9</v>
      </c>
      <c r="G21" s="123">
        <f t="shared" si="0"/>
        <v>2227685</v>
      </c>
    </row>
    <row r="22" spans="1:7" s="91" customFormat="1" ht="12.75" customHeight="1">
      <c r="A22" s="101" t="s">
        <v>183</v>
      </c>
      <c r="B22" s="93"/>
      <c r="C22" s="94" t="s">
        <v>184</v>
      </c>
      <c r="D22" s="95">
        <v>625218</v>
      </c>
      <c r="E22" s="124">
        <v>578750</v>
      </c>
      <c r="F22" s="124">
        <v>608976.1</v>
      </c>
      <c r="G22" s="124">
        <v>625200</v>
      </c>
    </row>
    <row r="23" spans="1:7" s="91" customFormat="1" ht="12.75" customHeight="1">
      <c r="A23" s="101" t="s">
        <v>185</v>
      </c>
      <c r="B23" s="93"/>
      <c r="C23" s="94" t="s">
        <v>186</v>
      </c>
      <c r="D23" s="95">
        <v>136033</v>
      </c>
      <c r="E23" s="124">
        <v>127450</v>
      </c>
      <c r="F23" s="124">
        <v>135181.4</v>
      </c>
      <c r="G23" s="124">
        <v>128100</v>
      </c>
    </row>
    <row r="24" spans="1:7" s="125" customFormat="1" ht="12.75" customHeight="1">
      <c r="A24" s="92">
        <v>41</v>
      </c>
      <c r="B24" s="93"/>
      <c r="C24" s="94" t="s">
        <v>187</v>
      </c>
      <c r="D24" s="95">
        <v>73693</v>
      </c>
      <c r="E24" s="124">
        <v>68830</v>
      </c>
      <c r="F24" s="124">
        <v>104988.7</v>
      </c>
      <c r="G24" s="124">
        <v>70620</v>
      </c>
    </row>
    <row r="25" spans="1:7" s="91" customFormat="1" ht="12.75" customHeight="1">
      <c r="A25" s="126">
        <v>42</v>
      </c>
      <c r="B25" s="127"/>
      <c r="C25" s="94" t="s">
        <v>188</v>
      </c>
      <c r="D25" s="95">
        <v>176282</v>
      </c>
      <c r="E25" s="124">
        <v>165221</v>
      </c>
      <c r="F25" s="124">
        <v>173028.5</v>
      </c>
      <c r="G25" s="124">
        <v>162653</v>
      </c>
    </row>
    <row r="26" spans="1:7" s="129" customFormat="1" ht="12.75" customHeight="1">
      <c r="A26" s="102">
        <v>430</v>
      </c>
      <c r="B26" s="93"/>
      <c r="C26" s="94" t="s">
        <v>189</v>
      </c>
      <c r="D26" s="112">
        <v>3236</v>
      </c>
      <c r="E26" s="128">
        <v>2663</v>
      </c>
      <c r="F26" s="128">
        <v>3572.7</v>
      </c>
      <c r="G26" s="128">
        <v>2398</v>
      </c>
    </row>
    <row r="27" spans="1:7" s="129" customFormat="1" ht="12.75" customHeight="1">
      <c r="A27" s="102">
        <v>431</v>
      </c>
      <c r="B27" s="93"/>
      <c r="C27" s="94" t="s">
        <v>190</v>
      </c>
      <c r="D27" s="112">
        <v>1350</v>
      </c>
      <c r="E27" s="128">
        <v>1200</v>
      </c>
      <c r="F27" s="128">
        <v>740.3</v>
      </c>
      <c r="G27" s="128">
        <v>600</v>
      </c>
    </row>
    <row r="28" spans="1:7" s="129" customFormat="1" ht="12.75" customHeight="1">
      <c r="A28" s="102">
        <v>432</v>
      </c>
      <c r="B28" s="93"/>
      <c r="C28" s="94" t="s">
        <v>191</v>
      </c>
      <c r="D28" s="112">
        <v>0</v>
      </c>
      <c r="E28" s="128">
        <v>0</v>
      </c>
      <c r="F28" s="128">
        <v>0</v>
      </c>
      <c r="G28" s="128">
        <v>0</v>
      </c>
    </row>
    <row r="29" spans="1:7" s="129" customFormat="1" ht="12.75" customHeight="1">
      <c r="A29" s="102">
        <v>439</v>
      </c>
      <c r="B29" s="93"/>
      <c r="C29" s="94" t="s">
        <v>192</v>
      </c>
      <c r="D29" s="112">
        <v>710</v>
      </c>
      <c r="E29" s="128">
        <v>757</v>
      </c>
      <c r="F29" s="128">
        <v>782.8</v>
      </c>
      <c r="G29" s="128">
        <v>740</v>
      </c>
    </row>
    <row r="30" spans="1:7" s="91" customFormat="1" ht="14">
      <c r="A30" s="102">
        <v>450</v>
      </c>
      <c r="B30" s="103"/>
      <c r="C30" s="104" t="s">
        <v>193</v>
      </c>
      <c r="D30" s="130">
        <v>760</v>
      </c>
      <c r="E30" s="96">
        <v>1596</v>
      </c>
      <c r="F30" s="96">
        <v>596.70000000000005</v>
      </c>
      <c r="G30" s="96">
        <v>1142</v>
      </c>
    </row>
    <row r="31" spans="1:7" s="106" customFormat="1" ht="14">
      <c r="A31" s="102">
        <v>451</v>
      </c>
      <c r="B31" s="103"/>
      <c r="C31" s="104" t="s">
        <v>194</v>
      </c>
      <c r="D31" s="124">
        <v>26196</v>
      </c>
      <c r="E31" s="124">
        <v>44953</v>
      </c>
      <c r="F31" s="124">
        <v>20415.7</v>
      </c>
      <c r="G31" s="124">
        <v>49723</v>
      </c>
    </row>
    <row r="32" spans="1:7" s="91" customFormat="1" ht="12.75" customHeight="1">
      <c r="A32" s="92">
        <v>46</v>
      </c>
      <c r="B32" s="93"/>
      <c r="C32" s="94" t="s">
        <v>195</v>
      </c>
      <c r="D32" s="95">
        <v>765224</v>
      </c>
      <c r="E32" s="124">
        <v>795217</v>
      </c>
      <c r="F32" s="124">
        <v>795326.5</v>
      </c>
      <c r="G32" s="124">
        <v>688217</v>
      </c>
    </row>
    <row r="33" spans="1:7" s="106" customFormat="1" ht="12.75" customHeight="1">
      <c r="A33" s="114" t="s">
        <v>196</v>
      </c>
      <c r="B33" s="98"/>
      <c r="C33" s="99" t="s">
        <v>197</v>
      </c>
      <c r="D33" s="100">
        <v>0</v>
      </c>
      <c r="E33" s="132">
        <v>0</v>
      </c>
      <c r="F33" s="132">
        <v>0</v>
      </c>
      <c r="G33" s="132">
        <v>0</v>
      </c>
    </row>
    <row r="34" spans="1:7" s="91" customFormat="1" ht="15" customHeight="1">
      <c r="A34" s="92">
        <v>47</v>
      </c>
      <c r="B34" s="93"/>
      <c r="C34" s="94" t="s">
        <v>176</v>
      </c>
      <c r="D34" s="95">
        <v>424647</v>
      </c>
      <c r="E34" s="124">
        <v>421975</v>
      </c>
      <c r="F34" s="124">
        <v>430993.8</v>
      </c>
      <c r="G34" s="124">
        <v>348960</v>
      </c>
    </row>
    <row r="35" spans="1:7" s="91" customFormat="1" ht="15" customHeight="1">
      <c r="A35" s="116">
        <v>49</v>
      </c>
      <c r="B35" s="117"/>
      <c r="C35" s="118" t="s">
        <v>198</v>
      </c>
      <c r="D35" s="119">
        <v>153458</v>
      </c>
      <c r="E35" s="133">
        <v>153216</v>
      </c>
      <c r="F35" s="133">
        <v>153866.29999999999</v>
      </c>
      <c r="G35" s="133">
        <v>184679</v>
      </c>
    </row>
    <row r="36" spans="1:7" ht="13.5" customHeight="1">
      <c r="A36" s="121"/>
      <c r="B36" s="134"/>
      <c r="C36" s="122" t="s">
        <v>199</v>
      </c>
      <c r="D36" s="123">
        <f t="shared" ref="D36:G36" si="1">D22+D23+D24+D25+D26+D27+D28+D29+D30+D31+D32+D34</f>
        <v>2233349</v>
      </c>
      <c r="E36" s="123">
        <f t="shared" si="1"/>
        <v>2208612</v>
      </c>
      <c r="F36" s="123">
        <f t="shared" si="1"/>
        <v>2274603.1999999997</v>
      </c>
      <c r="G36" s="123">
        <f t="shared" si="1"/>
        <v>2078353</v>
      </c>
    </row>
    <row r="37" spans="1:7" s="135" customFormat="1" ht="15" customHeight="1">
      <c r="A37" s="121"/>
      <c r="B37" s="134"/>
      <c r="C37" s="122" t="s">
        <v>200</v>
      </c>
      <c r="D37" s="123">
        <f t="shared" ref="D37:G37" si="2">D36-D21</f>
        <v>-57368</v>
      </c>
      <c r="E37" s="123">
        <f t="shared" si="2"/>
        <v>-160865</v>
      </c>
      <c r="F37" s="123">
        <f t="shared" si="2"/>
        <v>-36088.700000000186</v>
      </c>
      <c r="G37" s="123">
        <f t="shared" si="2"/>
        <v>-149332</v>
      </c>
    </row>
    <row r="38" spans="1:7" s="106" customFormat="1" ht="15" customHeight="1">
      <c r="A38" s="101">
        <v>340</v>
      </c>
      <c r="B38" s="93"/>
      <c r="C38" s="94" t="s">
        <v>201</v>
      </c>
      <c r="D38" s="95">
        <v>1554</v>
      </c>
      <c r="E38" s="124">
        <v>895</v>
      </c>
      <c r="F38" s="124">
        <v>877.7</v>
      </c>
      <c r="G38" s="124">
        <v>371</v>
      </c>
    </row>
    <row r="39" spans="1:7" s="106" customFormat="1" ht="15" customHeight="1">
      <c r="A39" s="101">
        <v>341</v>
      </c>
      <c r="B39" s="93"/>
      <c r="C39" s="94" t="s">
        <v>202</v>
      </c>
      <c r="D39" s="95">
        <v>416</v>
      </c>
      <c r="E39" s="124">
        <v>300</v>
      </c>
      <c r="F39" s="124">
        <v>779.4</v>
      </c>
      <c r="G39" s="124">
        <v>500</v>
      </c>
    </row>
    <row r="40" spans="1:7" s="106" customFormat="1" ht="15" customHeight="1">
      <c r="A40" s="101">
        <v>342</v>
      </c>
      <c r="B40" s="93"/>
      <c r="C40" s="94" t="s">
        <v>203</v>
      </c>
      <c r="D40" s="95">
        <v>203</v>
      </c>
      <c r="E40" s="124">
        <v>160</v>
      </c>
      <c r="F40" s="124">
        <v>145.6</v>
      </c>
      <c r="G40" s="124">
        <v>180</v>
      </c>
    </row>
    <row r="41" spans="1:7" s="106" customFormat="1" ht="15" customHeight="1">
      <c r="A41" s="101">
        <v>343</v>
      </c>
      <c r="B41" s="93"/>
      <c r="C41" s="94" t="s">
        <v>204</v>
      </c>
      <c r="D41" s="95">
        <v>324</v>
      </c>
      <c r="E41" s="124">
        <v>483</v>
      </c>
      <c r="F41" s="124">
        <v>109</v>
      </c>
      <c r="G41" s="124">
        <v>363</v>
      </c>
    </row>
    <row r="42" spans="1:7" s="106" customFormat="1" ht="15" customHeight="1">
      <c r="A42" s="101">
        <v>344</v>
      </c>
      <c r="B42" s="93"/>
      <c r="C42" s="94" t="s">
        <v>205</v>
      </c>
      <c r="D42" s="95">
        <v>10</v>
      </c>
      <c r="E42" s="124">
        <v>0</v>
      </c>
      <c r="F42" s="124">
        <v>0</v>
      </c>
      <c r="G42" s="124">
        <v>0</v>
      </c>
    </row>
    <row r="43" spans="1:7" s="106" customFormat="1" ht="15" customHeight="1">
      <c r="A43" s="101">
        <v>349</v>
      </c>
      <c r="B43" s="93"/>
      <c r="C43" s="94" t="s">
        <v>206</v>
      </c>
      <c r="D43" s="95">
        <v>0</v>
      </c>
      <c r="E43" s="124">
        <v>0</v>
      </c>
      <c r="F43" s="124">
        <v>389.3</v>
      </c>
      <c r="G43" s="124">
        <v>0</v>
      </c>
    </row>
    <row r="44" spans="1:7" s="91" customFormat="1" ht="15" customHeight="1">
      <c r="A44" s="92">
        <v>440</v>
      </c>
      <c r="B44" s="93"/>
      <c r="C44" s="94" t="s">
        <v>207</v>
      </c>
      <c r="D44" s="95">
        <v>6880</v>
      </c>
      <c r="E44" s="124">
        <v>4135</v>
      </c>
      <c r="F44" s="124">
        <v>3348.4</v>
      </c>
      <c r="G44" s="124">
        <v>2037</v>
      </c>
    </row>
    <row r="45" spans="1:7" s="91" customFormat="1" ht="15" customHeight="1">
      <c r="A45" s="92">
        <v>441</v>
      </c>
      <c r="B45" s="93"/>
      <c r="C45" s="94" t="s">
        <v>208</v>
      </c>
      <c r="D45" s="95">
        <v>599</v>
      </c>
      <c r="E45" s="124">
        <v>300</v>
      </c>
      <c r="F45" s="124">
        <v>1415.6</v>
      </c>
      <c r="G45" s="124">
        <v>300</v>
      </c>
    </row>
    <row r="46" spans="1:7" s="91" customFormat="1" ht="15" customHeight="1">
      <c r="A46" s="92">
        <v>442</v>
      </c>
      <c r="B46" s="93"/>
      <c r="C46" s="94" t="s">
        <v>209</v>
      </c>
      <c r="D46" s="95">
        <v>20529</v>
      </c>
      <c r="E46" s="124">
        <v>20073</v>
      </c>
      <c r="F46" s="124">
        <v>17563.8</v>
      </c>
      <c r="G46" s="124">
        <v>17034</v>
      </c>
    </row>
    <row r="47" spans="1:7" s="91" customFormat="1" ht="15" customHeight="1">
      <c r="A47" s="92">
        <v>443</v>
      </c>
      <c r="B47" s="93"/>
      <c r="C47" s="94" t="s">
        <v>210</v>
      </c>
      <c r="D47" s="95">
        <v>1721</v>
      </c>
      <c r="E47" s="124">
        <v>2114</v>
      </c>
      <c r="F47" s="124">
        <v>1808.3</v>
      </c>
      <c r="G47" s="124">
        <v>2145</v>
      </c>
    </row>
    <row r="48" spans="1:7" s="91" customFormat="1" ht="15" customHeight="1">
      <c r="A48" s="92">
        <v>444</v>
      </c>
      <c r="B48" s="93"/>
      <c r="C48" s="94" t="s">
        <v>205</v>
      </c>
      <c r="D48" s="95">
        <v>0</v>
      </c>
      <c r="E48" s="124">
        <v>0</v>
      </c>
      <c r="F48" s="124">
        <v>0</v>
      </c>
      <c r="G48" s="124">
        <v>0</v>
      </c>
    </row>
    <row r="49" spans="1:7" s="91" customFormat="1" ht="15" customHeight="1">
      <c r="A49" s="92">
        <v>445</v>
      </c>
      <c r="B49" s="93"/>
      <c r="C49" s="94" t="s">
        <v>211</v>
      </c>
      <c r="D49" s="95">
        <v>325</v>
      </c>
      <c r="E49" s="124">
        <v>258</v>
      </c>
      <c r="F49" s="124">
        <v>130</v>
      </c>
      <c r="G49" s="124">
        <v>99</v>
      </c>
    </row>
    <row r="50" spans="1:7" s="91" customFormat="1" ht="15" customHeight="1">
      <c r="A50" s="92">
        <v>446</v>
      </c>
      <c r="B50" s="93"/>
      <c r="C50" s="94" t="s">
        <v>212</v>
      </c>
      <c r="D50" s="95">
        <v>69239</v>
      </c>
      <c r="E50" s="124">
        <v>69172</v>
      </c>
      <c r="F50" s="124">
        <v>69349.899999999994</v>
      </c>
      <c r="G50" s="124">
        <v>69231</v>
      </c>
    </row>
    <row r="51" spans="1:7" s="91" customFormat="1" ht="15" customHeight="1">
      <c r="A51" s="92">
        <v>447</v>
      </c>
      <c r="B51" s="93"/>
      <c r="C51" s="94" t="s">
        <v>213</v>
      </c>
      <c r="D51" s="95">
        <v>4303</v>
      </c>
      <c r="E51" s="124">
        <v>3734</v>
      </c>
      <c r="F51" s="124">
        <v>4146.3999999999996</v>
      </c>
      <c r="G51" s="124">
        <v>4084</v>
      </c>
    </row>
    <row r="52" spans="1:7" s="91" customFormat="1" ht="15" customHeight="1">
      <c r="A52" s="92">
        <v>448</v>
      </c>
      <c r="B52" s="93"/>
      <c r="C52" s="94" t="s">
        <v>214</v>
      </c>
      <c r="D52" s="95">
        <v>0</v>
      </c>
      <c r="E52" s="124">
        <v>0</v>
      </c>
      <c r="F52" s="124">
        <v>0</v>
      </c>
      <c r="G52" s="124">
        <v>0</v>
      </c>
    </row>
    <row r="53" spans="1:7" s="91" customFormat="1" ht="15" customHeight="1">
      <c r="A53" s="92">
        <v>449</v>
      </c>
      <c r="B53" s="93"/>
      <c r="C53" s="94" t="s">
        <v>215</v>
      </c>
      <c r="D53" s="95">
        <v>0</v>
      </c>
      <c r="E53" s="124">
        <v>0</v>
      </c>
      <c r="F53" s="124">
        <v>473.3</v>
      </c>
      <c r="G53" s="124">
        <v>0</v>
      </c>
    </row>
    <row r="54" spans="1:7" s="106" customFormat="1" ht="13.5" customHeight="1">
      <c r="A54" s="136" t="s">
        <v>216</v>
      </c>
      <c r="B54" s="137"/>
      <c r="C54" s="137" t="s">
        <v>217</v>
      </c>
      <c r="D54" s="138">
        <v>0</v>
      </c>
      <c r="E54" s="139">
        <v>0</v>
      </c>
      <c r="F54" s="139">
        <v>0</v>
      </c>
      <c r="G54" s="139">
        <v>0</v>
      </c>
    </row>
    <row r="55" spans="1:7" ht="15" customHeight="1">
      <c r="A55" s="134"/>
      <c r="B55" s="134"/>
      <c r="C55" s="122" t="s">
        <v>218</v>
      </c>
      <c r="D55" s="123">
        <f t="shared" ref="D55:G55" si="3">SUM(D44:D53)-SUM(D38:D43)</f>
        <v>101089</v>
      </c>
      <c r="E55" s="123">
        <f t="shared" si="3"/>
        <v>97948</v>
      </c>
      <c r="F55" s="123">
        <f t="shared" si="3"/>
        <v>95934.7</v>
      </c>
      <c r="G55" s="123">
        <f t="shared" si="3"/>
        <v>93516</v>
      </c>
    </row>
    <row r="56" spans="1:7" ht="14.25" customHeight="1">
      <c r="A56" s="134"/>
      <c r="B56" s="134"/>
      <c r="C56" s="122" t="s">
        <v>219</v>
      </c>
      <c r="D56" s="123">
        <f t="shared" ref="D56:G56" si="4">D55+D37</f>
        <v>43721</v>
      </c>
      <c r="E56" s="123">
        <f t="shared" si="4"/>
        <v>-62917</v>
      </c>
      <c r="F56" s="123">
        <f t="shared" si="4"/>
        <v>59845.999999999811</v>
      </c>
      <c r="G56" s="123">
        <f t="shared" si="4"/>
        <v>-55816</v>
      </c>
    </row>
    <row r="57" spans="1:7" s="91" customFormat="1" ht="15.75" customHeight="1">
      <c r="A57" s="140">
        <v>380</v>
      </c>
      <c r="B57" s="141"/>
      <c r="C57" s="142" t="s">
        <v>220</v>
      </c>
      <c r="D57" s="340">
        <v>0</v>
      </c>
      <c r="E57" s="436">
        <v>0</v>
      </c>
      <c r="F57" s="436">
        <v>0</v>
      </c>
      <c r="G57" s="436">
        <v>0</v>
      </c>
    </row>
    <row r="58" spans="1:7" s="91" customFormat="1" ht="15.75" customHeight="1">
      <c r="A58" s="140">
        <v>381</v>
      </c>
      <c r="B58" s="141"/>
      <c r="C58" s="142" t="s">
        <v>221</v>
      </c>
      <c r="D58" s="340">
        <v>0</v>
      </c>
      <c r="E58" s="436">
        <v>0</v>
      </c>
      <c r="F58" s="436">
        <v>0</v>
      </c>
      <c r="G58" s="436">
        <v>0</v>
      </c>
    </row>
    <row r="59" spans="1:7" s="106" customFormat="1" ht="14">
      <c r="A59" s="102">
        <v>383</v>
      </c>
      <c r="B59" s="103"/>
      <c r="C59" s="104" t="s">
        <v>222</v>
      </c>
      <c r="D59" s="143">
        <v>0</v>
      </c>
      <c r="E59" s="277">
        <v>0</v>
      </c>
      <c r="F59" s="277">
        <v>0</v>
      </c>
      <c r="G59" s="277">
        <v>0</v>
      </c>
    </row>
    <row r="60" spans="1:7" s="106" customFormat="1" ht="14">
      <c r="A60" s="102">
        <v>3840</v>
      </c>
      <c r="B60" s="103"/>
      <c r="C60" s="104" t="s">
        <v>223</v>
      </c>
      <c r="D60" s="145">
        <v>0</v>
      </c>
      <c r="E60" s="146">
        <v>0</v>
      </c>
      <c r="F60" s="146">
        <v>0</v>
      </c>
      <c r="G60" s="146">
        <v>0</v>
      </c>
    </row>
    <row r="61" spans="1:7" s="106" customFormat="1" ht="14">
      <c r="A61" s="102">
        <v>3841</v>
      </c>
      <c r="B61" s="103"/>
      <c r="C61" s="104" t="s">
        <v>224</v>
      </c>
      <c r="D61" s="145">
        <v>64435</v>
      </c>
      <c r="E61" s="146">
        <v>0</v>
      </c>
      <c r="F61" s="146">
        <v>92345.7</v>
      </c>
      <c r="G61" s="146">
        <v>0</v>
      </c>
    </row>
    <row r="62" spans="1:7" s="106" customFormat="1" ht="14">
      <c r="A62" s="147">
        <v>386</v>
      </c>
      <c r="B62" s="148"/>
      <c r="C62" s="149" t="s">
        <v>225</v>
      </c>
      <c r="D62" s="145">
        <v>0</v>
      </c>
      <c r="E62" s="146">
        <v>0</v>
      </c>
      <c r="F62" s="146">
        <v>0</v>
      </c>
      <c r="G62" s="146">
        <v>0</v>
      </c>
    </row>
    <row r="63" spans="1:7" s="106" customFormat="1" ht="28">
      <c r="A63" s="102">
        <v>387</v>
      </c>
      <c r="B63" s="103"/>
      <c r="C63" s="104" t="s">
        <v>226</v>
      </c>
      <c r="D63" s="145">
        <v>0</v>
      </c>
      <c r="E63" s="146">
        <v>0</v>
      </c>
      <c r="F63" s="146">
        <v>0</v>
      </c>
      <c r="G63" s="146">
        <v>0</v>
      </c>
    </row>
    <row r="64" spans="1:7" s="106" customFormat="1">
      <c r="A64" s="114">
        <v>389</v>
      </c>
      <c r="B64" s="343"/>
      <c r="C64" s="99" t="s">
        <v>42</v>
      </c>
      <c r="D64" s="100">
        <v>0</v>
      </c>
      <c r="E64" s="132">
        <v>0</v>
      </c>
      <c r="F64" s="132">
        <v>80000</v>
      </c>
      <c r="G64" s="132">
        <v>0</v>
      </c>
    </row>
    <row r="65" spans="1:7" s="91" customFormat="1">
      <c r="A65" s="101" t="s">
        <v>227</v>
      </c>
      <c r="B65" s="93"/>
      <c r="C65" s="94" t="s">
        <v>228</v>
      </c>
      <c r="D65" s="95">
        <v>0</v>
      </c>
      <c r="E65" s="124">
        <v>0</v>
      </c>
      <c r="F65" s="124">
        <v>0</v>
      </c>
      <c r="G65" s="124">
        <v>0</v>
      </c>
    </row>
    <row r="66" spans="1:7" s="153" customFormat="1" ht="14">
      <c r="A66" s="151" t="s">
        <v>229</v>
      </c>
      <c r="B66" s="152"/>
      <c r="C66" s="104" t="s">
        <v>230</v>
      </c>
      <c r="D66" s="143">
        <v>0</v>
      </c>
      <c r="E66" s="144">
        <v>0</v>
      </c>
      <c r="F66" s="144">
        <v>0</v>
      </c>
      <c r="G66" s="144">
        <v>0</v>
      </c>
    </row>
    <row r="67" spans="1:7" s="91" customFormat="1">
      <c r="A67" s="154">
        <v>481</v>
      </c>
      <c r="B67" s="93"/>
      <c r="C67" s="94" t="s">
        <v>231</v>
      </c>
      <c r="D67" s="95">
        <v>0</v>
      </c>
      <c r="E67" s="124">
        <v>0</v>
      </c>
      <c r="F67" s="124">
        <v>0</v>
      </c>
      <c r="G67" s="124">
        <v>0</v>
      </c>
    </row>
    <row r="68" spans="1:7" s="91" customFormat="1">
      <c r="A68" s="154">
        <v>482</v>
      </c>
      <c r="B68" s="93"/>
      <c r="C68" s="94" t="s">
        <v>232</v>
      </c>
      <c r="D68" s="95">
        <v>0</v>
      </c>
      <c r="E68" s="124">
        <v>0</v>
      </c>
      <c r="F68" s="124">
        <v>0</v>
      </c>
      <c r="G68" s="124">
        <v>0</v>
      </c>
    </row>
    <row r="69" spans="1:7" s="91" customFormat="1">
      <c r="A69" s="154">
        <v>483</v>
      </c>
      <c r="B69" s="93"/>
      <c r="C69" s="94" t="s">
        <v>233</v>
      </c>
      <c r="D69" s="95">
        <v>0</v>
      </c>
      <c r="E69" s="124">
        <v>0</v>
      </c>
      <c r="F69" s="124">
        <v>0</v>
      </c>
      <c r="G69" s="124">
        <v>0</v>
      </c>
    </row>
    <row r="70" spans="1:7" s="91" customFormat="1">
      <c r="A70" s="154">
        <v>484</v>
      </c>
      <c r="B70" s="93"/>
      <c r="C70" s="94" t="s">
        <v>234</v>
      </c>
      <c r="D70" s="95">
        <v>69492</v>
      </c>
      <c r="E70" s="124">
        <v>0</v>
      </c>
      <c r="F70" s="124">
        <v>120779</v>
      </c>
      <c r="G70" s="124">
        <v>0</v>
      </c>
    </row>
    <row r="71" spans="1:7" s="91" customFormat="1">
      <c r="A71" s="154">
        <v>485</v>
      </c>
      <c r="B71" s="93"/>
      <c r="C71" s="94" t="s">
        <v>235</v>
      </c>
      <c r="D71" s="95">
        <v>0</v>
      </c>
      <c r="E71" s="124">
        <v>0</v>
      </c>
      <c r="F71" s="124">
        <v>0</v>
      </c>
      <c r="G71" s="124">
        <v>0</v>
      </c>
    </row>
    <row r="72" spans="1:7" s="91" customFormat="1">
      <c r="A72" s="154">
        <v>486</v>
      </c>
      <c r="B72" s="93"/>
      <c r="C72" s="94" t="s">
        <v>236</v>
      </c>
      <c r="D72" s="95">
        <v>0</v>
      </c>
      <c r="E72" s="124">
        <v>0</v>
      </c>
      <c r="F72" s="124">
        <v>0</v>
      </c>
      <c r="G72" s="124">
        <v>0</v>
      </c>
    </row>
    <row r="73" spans="1:7" s="106" customFormat="1">
      <c r="A73" s="154">
        <v>487</v>
      </c>
      <c r="B73" s="98"/>
      <c r="C73" s="94" t="s">
        <v>237</v>
      </c>
      <c r="D73" s="95">
        <v>0</v>
      </c>
      <c r="E73" s="96">
        <v>0</v>
      </c>
      <c r="F73" s="96">
        <v>0</v>
      </c>
      <c r="G73" s="96">
        <v>0</v>
      </c>
    </row>
    <row r="74" spans="1:7" s="106" customFormat="1">
      <c r="A74" s="154">
        <v>489</v>
      </c>
      <c r="B74" s="155"/>
      <c r="C74" s="118" t="s">
        <v>59</v>
      </c>
      <c r="D74" s="95">
        <v>6379</v>
      </c>
      <c r="E74" s="96">
        <v>8000</v>
      </c>
      <c r="F74" s="96">
        <v>8409</v>
      </c>
      <c r="G74" s="96">
        <v>5000</v>
      </c>
    </row>
    <row r="75" spans="1:7" s="106" customFormat="1">
      <c r="A75" s="156" t="s">
        <v>238</v>
      </c>
      <c r="B75" s="155"/>
      <c r="C75" s="137" t="s">
        <v>239</v>
      </c>
      <c r="D75" s="95">
        <v>0</v>
      </c>
      <c r="E75" s="124">
        <v>0</v>
      </c>
      <c r="F75" s="124">
        <v>0</v>
      </c>
      <c r="G75" s="124">
        <v>0</v>
      </c>
    </row>
    <row r="76" spans="1:7">
      <c r="A76" s="121"/>
      <c r="B76" s="121"/>
      <c r="C76" s="122" t="s">
        <v>240</v>
      </c>
      <c r="D76" s="123">
        <f t="shared" ref="D76:G76" si="5">SUM(D65:D74)-SUM(D57:D64)</f>
        <v>11436</v>
      </c>
      <c r="E76" s="123">
        <f t="shared" si="5"/>
        <v>8000</v>
      </c>
      <c r="F76" s="123">
        <f t="shared" si="5"/>
        <v>-43157.700000000012</v>
      </c>
      <c r="G76" s="123">
        <f t="shared" si="5"/>
        <v>5000</v>
      </c>
    </row>
    <row r="77" spans="1:7">
      <c r="A77" s="157"/>
      <c r="B77" s="157"/>
      <c r="C77" s="122" t="s">
        <v>241</v>
      </c>
      <c r="D77" s="123">
        <f t="shared" ref="D77:G77" si="6">D56+D76</f>
        <v>55157</v>
      </c>
      <c r="E77" s="123">
        <f t="shared" si="6"/>
        <v>-54917</v>
      </c>
      <c r="F77" s="123">
        <f t="shared" si="6"/>
        <v>16688.299999999799</v>
      </c>
      <c r="G77" s="123">
        <f t="shared" si="6"/>
        <v>-50816</v>
      </c>
    </row>
    <row r="78" spans="1:7">
      <c r="A78" s="158">
        <v>3</v>
      </c>
      <c r="B78" s="158"/>
      <c r="C78" s="159" t="s">
        <v>242</v>
      </c>
      <c r="D78" s="160">
        <f t="shared" ref="D78:G78" si="7">D20+D21+SUM(D38:D43)+SUM(D57:D64)</f>
        <v>2511117</v>
      </c>
      <c r="E78" s="160">
        <f t="shared" si="7"/>
        <v>2524531</v>
      </c>
      <c r="F78" s="160">
        <f t="shared" si="7"/>
        <v>2639204.9</v>
      </c>
      <c r="G78" s="160">
        <f t="shared" si="7"/>
        <v>2413778</v>
      </c>
    </row>
    <row r="79" spans="1:7">
      <c r="A79" s="158">
        <v>4</v>
      </c>
      <c r="B79" s="158"/>
      <c r="C79" s="159" t="s">
        <v>243</v>
      </c>
      <c r="D79" s="160">
        <f t="shared" ref="D79:G79" si="8">D35+D36+SUM(D44:D53)+SUM(D65:D74)</f>
        <v>2566274</v>
      </c>
      <c r="E79" s="160">
        <f t="shared" si="8"/>
        <v>2469614</v>
      </c>
      <c r="F79" s="160">
        <f t="shared" si="8"/>
        <v>2655893.1999999997</v>
      </c>
      <c r="G79" s="160">
        <f t="shared" si="8"/>
        <v>2362962</v>
      </c>
    </row>
    <row r="80" spans="1:7">
      <c r="C80" s="135"/>
      <c r="D80" s="161"/>
      <c r="E80" s="161"/>
      <c r="F80" s="161"/>
      <c r="G80" s="161"/>
    </row>
    <row r="81" spans="1:7">
      <c r="A81" s="680" t="s">
        <v>244</v>
      </c>
      <c r="B81" s="681"/>
      <c r="C81" s="681"/>
      <c r="D81" s="162"/>
      <c r="E81" s="163"/>
      <c r="F81" s="163"/>
      <c r="G81" s="163"/>
    </row>
    <row r="82" spans="1:7" s="91" customFormat="1">
      <c r="A82" s="164">
        <v>50</v>
      </c>
      <c r="B82" s="165"/>
      <c r="C82" s="165" t="s">
        <v>245</v>
      </c>
      <c r="D82" s="95">
        <v>156817</v>
      </c>
      <c r="E82" s="124">
        <v>188979</v>
      </c>
      <c r="F82" s="124">
        <v>170938.6</v>
      </c>
      <c r="G82" s="124">
        <v>187810</v>
      </c>
    </row>
    <row r="83" spans="1:7" s="91" customFormat="1">
      <c r="A83" s="164">
        <v>51</v>
      </c>
      <c r="B83" s="165"/>
      <c r="C83" s="165" t="s">
        <v>246</v>
      </c>
      <c r="D83" s="95">
        <v>0</v>
      </c>
      <c r="E83" s="124">
        <v>0</v>
      </c>
      <c r="F83" s="124">
        <v>0</v>
      </c>
      <c r="G83" s="124">
        <v>0</v>
      </c>
    </row>
    <row r="84" spans="1:7" s="91" customFormat="1">
      <c r="A84" s="164">
        <v>52</v>
      </c>
      <c r="B84" s="165"/>
      <c r="C84" s="165" t="s">
        <v>247</v>
      </c>
      <c r="D84" s="95">
        <v>5738</v>
      </c>
      <c r="E84" s="124">
        <v>10893</v>
      </c>
      <c r="F84" s="124">
        <v>5864</v>
      </c>
      <c r="G84" s="124">
        <v>8826</v>
      </c>
    </row>
    <row r="85" spans="1:7" s="91" customFormat="1">
      <c r="A85" s="166">
        <v>54</v>
      </c>
      <c r="B85" s="167"/>
      <c r="C85" s="167" t="s">
        <v>248</v>
      </c>
      <c r="D85" s="100">
        <v>5427</v>
      </c>
      <c r="E85" s="124">
        <v>16890</v>
      </c>
      <c r="F85" s="124">
        <v>5212.2</v>
      </c>
      <c r="G85" s="124">
        <v>16460</v>
      </c>
    </row>
    <row r="86" spans="1:7" s="91" customFormat="1">
      <c r="A86" s="166">
        <v>55</v>
      </c>
      <c r="B86" s="167"/>
      <c r="C86" s="167" t="s">
        <v>249</v>
      </c>
      <c r="D86" s="100">
        <v>0</v>
      </c>
      <c r="E86" s="124">
        <v>0</v>
      </c>
      <c r="F86" s="124">
        <v>0</v>
      </c>
      <c r="G86" s="124">
        <v>0</v>
      </c>
    </row>
    <row r="87" spans="1:7" s="91" customFormat="1">
      <c r="A87" s="166">
        <v>56</v>
      </c>
      <c r="B87" s="167"/>
      <c r="C87" s="167" t="s">
        <v>250</v>
      </c>
      <c r="D87" s="100">
        <v>96216</v>
      </c>
      <c r="E87" s="124">
        <v>123508</v>
      </c>
      <c r="F87" s="124">
        <v>112645.5</v>
      </c>
      <c r="G87" s="124">
        <v>160049</v>
      </c>
    </row>
    <row r="88" spans="1:7" s="91" customFormat="1">
      <c r="A88" s="164">
        <v>57</v>
      </c>
      <c r="B88" s="165"/>
      <c r="C88" s="165" t="s">
        <v>251</v>
      </c>
      <c r="D88" s="95">
        <v>114744</v>
      </c>
      <c r="E88" s="124">
        <v>97472</v>
      </c>
      <c r="F88" s="124">
        <v>121059.8</v>
      </c>
      <c r="G88" s="124">
        <v>27109</v>
      </c>
    </row>
    <row r="89" spans="1:7" s="91" customFormat="1">
      <c r="A89" s="164">
        <v>580</v>
      </c>
      <c r="B89" s="165"/>
      <c r="C89" s="165" t="s">
        <v>252</v>
      </c>
      <c r="D89" s="95">
        <v>0</v>
      </c>
      <c r="E89" s="124">
        <v>0</v>
      </c>
      <c r="F89" s="124">
        <v>0</v>
      </c>
      <c r="G89" s="124">
        <v>0</v>
      </c>
    </row>
    <row r="90" spans="1:7" s="91" customFormat="1">
      <c r="A90" s="164">
        <v>582</v>
      </c>
      <c r="B90" s="165"/>
      <c r="C90" s="165" t="s">
        <v>253</v>
      </c>
      <c r="D90" s="95">
        <v>0</v>
      </c>
      <c r="E90" s="124">
        <v>0</v>
      </c>
      <c r="F90" s="124">
        <v>0</v>
      </c>
      <c r="G90" s="124">
        <v>0</v>
      </c>
    </row>
    <row r="91" spans="1:7" s="91" customFormat="1">
      <c r="A91" s="164">
        <v>584</v>
      </c>
      <c r="B91" s="165"/>
      <c r="C91" s="165" t="s">
        <v>254</v>
      </c>
      <c r="D91" s="95">
        <v>0</v>
      </c>
      <c r="E91" s="124">
        <v>0</v>
      </c>
      <c r="F91" s="124">
        <v>0</v>
      </c>
      <c r="G91" s="124">
        <v>0</v>
      </c>
    </row>
    <row r="92" spans="1:7" s="91" customFormat="1">
      <c r="A92" s="164">
        <v>585</v>
      </c>
      <c r="B92" s="165"/>
      <c r="C92" s="165" t="s">
        <v>255</v>
      </c>
      <c r="D92" s="95">
        <v>0</v>
      </c>
      <c r="E92" s="124">
        <v>0</v>
      </c>
      <c r="F92" s="124">
        <v>0</v>
      </c>
      <c r="G92" s="124">
        <v>0</v>
      </c>
    </row>
    <row r="93" spans="1:7" s="91" customFormat="1">
      <c r="A93" s="164">
        <v>586</v>
      </c>
      <c r="B93" s="165"/>
      <c r="C93" s="165" t="s">
        <v>256</v>
      </c>
      <c r="D93" s="95">
        <v>0</v>
      </c>
      <c r="E93" s="124">
        <v>0</v>
      </c>
      <c r="F93" s="124">
        <v>0</v>
      </c>
      <c r="G93" s="124">
        <v>0</v>
      </c>
    </row>
    <row r="94" spans="1:7" s="91" customFormat="1">
      <c r="A94" s="168">
        <v>589</v>
      </c>
      <c r="B94" s="169"/>
      <c r="C94" s="169" t="s">
        <v>257</v>
      </c>
      <c r="D94" s="119">
        <v>0</v>
      </c>
      <c r="E94" s="133">
        <v>0</v>
      </c>
      <c r="F94" s="133">
        <v>0</v>
      </c>
      <c r="G94" s="133">
        <v>0</v>
      </c>
    </row>
    <row r="95" spans="1:7">
      <c r="A95" s="170">
        <v>5</v>
      </c>
      <c r="B95" s="171"/>
      <c r="C95" s="171" t="s">
        <v>258</v>
      </c>
      <c r="D95" s="172">
        <f t="shared" ref="D95:G95" si="9">SUM(D82:D94)</f>
        <v>378942</v>
      </c>
      <c r="E95" s="172">
        <f t="shared" si="9"/>
        <v>437742</v>
      </c>
      <c r="F95" s="172">
        <f t="shared" si="9"/>
        <v>415720.10000000003</v>
      </c>
      <c r="G95" s="172">
        <f t="shared" si="9"/>
        <v>400254</v>
      </c>
    </row>
    <row r="96" spans="1:7" s="91" customFormat="1">
      <c r="A96" s="164">
        <v>60</v>
      </c>
      <c r="B96" s="165"/>
      <c r="C96" s="165" t="s">
        <v>259</v>
      </c>
      <c r="D96" s="95">
        <v>0</v>
      </c>
      <c r="E96" s="124">
        <v>0</v>
      </c>
      <c r="F96" s="124">
        <v>1305.9000000000001</v>
      </c>
      <c r="G96" s="124">
        <v>0</v>
      </c>
    </row>
    <row r="97" spans="1:7" s="91" customFormat="1">
      <c r="A97" s="164">
        <v>61</v>
      </c>
      <c r="B97" s="165"/>
      <c r="C97" s="165" t="s">
        <v>260</v>
      </c>
      <c r="D97" s="95">
        <v>3725</v>
      </c>
      <c r="E97" s="124">
        <v>7400</v>
      </c>
      <c r="F97" s="124">
        <v>4372</v>
      </c>
      <c r="G97" s="124">
        <v>5710</v>
      </c>
    </row>
    <row r="98" spans="1:7" s="91" customFormat="1">
      <c r="A98" s="164">
        <v>62</v>
      </c>
      <c r="B98" s="165"/>
      <c r="C98" s="165" t="s">
        <v>261</v>
      </c>
      <c r="D98" s="95">
        <v>0</v>
      </c>
      <c r="E98" s="124">
        <v>0</v>
      </c>
      <c r="F98" s="124">
        <v>0</v>
      </c>
      <c r="G98" s="124">
        <v>0</v>
      </c>
    </row>
    <row r="99" spans="1:7" s="91" customFormat="1">
      <c r="A99" s="164">
        <v>63</v>
      </c>
      <c r="B99" s="165"/>
      <c r="C99" s="165" t="s">
        <v>262</v>
      </c>
      <c r="D99" s="95">
        <v>128464</v>
      </c>
      <c r="E99" s="124">
        <v>119914</v>
      </c>
      <c r="F99" s="124">
        <v>121717.1</v>
      </c>
      <c r="G99" s="124">
        <v>114905</v>
      </c>
    </row>
    <row r="100" spans="1:7" s="91" customFormat="1">
      <c r="A100" s="166">
        <v>64</v>
      </c>
      <c r="B100" s="167"/>
      <c r="C100" s="167" t="s">
        <v>263</v>
      </c>
      <c r="D100" s="100">
        <v>3802</v>
      </c>
      <c r="E100" s="124">
        <v>4914</v>
      </c>
      <c r="F100" s="124">
        <v>3762.3</v>
      </c>
      <c r="G100" s="124">
        <v>4875</v>
      </c>
    </row>
    <row r="101" spans="1:7" s="91" customFormat="1">
      <c r="A101" s="166">
        <v>65</v>
      </c>
      <c r="B101" s="167"/>
      <c r="C101" s="167" t="s">
        <v>264</v>
      </c>
      <c r="D101" s="100">
        <v>5</v>
      </c>
      <c r="E101" s="124">
        <v>0</v>
      </c>
      <c r="F101" s="124">
        <v>0</v>
      </c>
      <c r="G101" s="124">
        <v>0</v>
      </c>
    </row>
    <row r="102" spans="1:7" s="91" customFormat="1">
      <c r="A102" s="166">
        <v>66</v>
      </c>
      <c r="B102" s="167"/>
      <c r="C102" s="167" t="s">
        <v>265</v>
      </c>
      <c r="D102" s="100">
        <v>182</v>
      </c>
      <c r="E102" s="124">
        <v>373</v>
      </c>
      <c r="F102" s="124">
        <v>223.7</v>
      </c>
      <c r="G102" s="124">
        <v>430</v>
      </c>
    </row>
    <row r="103" spans="1:7" s="91" customFormat="1">
      <c r="A103" s="164">
        <v>67</v>
      </c>
      <c r="B103" s="165"/>
      <c r="C103" s="165" t="s">
        <v>251</v>
      </c>
      <c r="D103" s="95">
        <v>114744</v>
      </c>
      <c r="E103" s="96">
        <v>97472</v>
      </c>
      <c r="F103" s="96">
        <v>121059.8</v>
      </c>
      <c r="G103" s="96">
        <v>27109</v>
      </c>
    </row>
    <row r="104" spans="1:7" s="91" customFormat="1" ht="28">
      <c r="A104" s="173" t="s">
        <v>266</v>
      </c>
      <c r="B104" s="165"/>
      <c r="C104" s="174" t="s">
        <v>267</v>
      </c>
      <c r="D104" s="130">
        <v>0</v>
      </c>
      <c r="E104" s="96">
        <v>0</v>
      </c>
      <c r="F104" s="96">
        <v>0</v>
      </c>
      <c r="G104" s="96">
        <v>0</v>
      </c>
    </row>
    <row r="105" spans="1:7" s="91" customFormat="1" ht="42">
      <c r="A105" s="175" t="s">
        <v>268</v>
      </c>
      <c r="B105" s="169"/>
      <c r="C105" s="176" t="s">
        <v>269</v>
      </c>
      <c r="D105" s="177">
        <v>0</v>
      </c>
      <c r="E105" s="120">
        <v>0</v>
      </c>
      <c r="F105" s="120">
        <v>0</v>
      </c>
      <c r="G105" s="120">
        <v>0</v>
      </c>
    </row>
    <row r="106" spans="1:7">
      <c r="A106" s="170">
        <v>6</v>
      </c>
      <c r="B106" s="171"/>
      <c r="C106" s="171" t="s">
        <v>270</v>
      </c>
      <c r="D106" s="172">
        <f t="shared" ref="D106:G106" si="10">SUM(D96:D105)</f>
        <v>250922</v>
      </c>
      <c r="E106" s="172">
        <f t="shared" si="10"/>
        <v>230073</v>
      </c>
      <c r="F106" s="172">
        <f t="shared" si="10"/>
        <v>252440.8</v>
      </c>
      <c r="G106" s="172">
        <f t="shared" si="10"/>
        <v>153029</v>
      </c>
    </row>
    <row r="107" spans="1:7">
      <c r="A107" s="178" t="s">
        <v>271</v>
      </c>
      <c r="B107" s="178"/>
      <c r="C107" s="171" t="s">
        <v>1</v>
      </c>
      <c r="D107" s="172">
        <f t="shared" ref="D107:G107" si="11">(D95-D88)-(D106-D103)</f>
        <v>128020</v>
      </c>
      <c r="E107" s="172">
        <f t="shared" si="11"/>
        <v>207669</v>
      </c>
      <c r="F107" s="172">
        <f t="shared" si="11"/>
        <v>163279.30000000005</v>
      </c>
      <c r="G107" s="172">
        <f t="shared" si="11"/>
        <v>247225</v>
      </c>
    </row>
    <row r="108" spans="1:7">
      <c r="A108" s="179" t="s">
        <v>272</v>
      </c>
      <c r="B108" s="179"/>
      <c r="C108" s="180" t="s">
        <v>273</v>
      </c>
      <c r="D108" s="172">
        <f t="shared" ref="D108:G108" si="12">D107-D85-D86+D100+D101</f>
        <v>126400</v>
      </c>
      <c r="E108" s="172">
        <f t="shared" si="12"/>
        <v>195693</v>
      </c>
      <c r="F108" s="172">
        <f t="shared" si="12"/>
        <v>161829.40000000002</v>
      </c>
      <c r="G108" s="172">
        <f t="shared" si="12"/>
        <v>235640</v>
      </c>
    </row>
    <row r="109" spans="1:7">
      <c r="C109" s="135"/>
      <c r="D109" s="161"/>
      <c r="E109" s="161"/>
      <c r="F109" s="161"/>
      <c r="G109" s="161"/>
    </row>
    <row r="110" spans="1:7">
      <c r="A110" s="181" t="s">
        <v>274</v>
      </c>
      <c r="B110" s="182"/>
      <c r="C110" s="181"/>
      <c r="D110" s="161"/>
      <c r="E110" s="161"/>
      <c r="F110" s="161"/>
      <c r="G110" s="161"/>
    </row>
    <row r="111" spans="1:7" s="91" customFormat="1">
      <c r="A111" s="183">
        <v>10</v>
      </c>
      <c r="B111" s="184"/>
      <c r="C111" s="184" t="s">
        <v>275</v>
      </c>
      <c r="D111" s="185">
        <f t="shared" ref="D111:G111" si="13">D112+D117</f>
        <v>2794013</v>
      </c>
      <c r="E111" s="186">
        <f t="shared" si="13"/>
        <v>0</v>
      </c>
      <c r="F111" s="186">
        <f t="shared" si="13"/>
        <v>2698830.4</v>
      </c>
      <c r="G111" s="186">
        <f t="shared" si="13"/>
        <v>0</v>
      </c>
    </row>
    <row r="112" spans="1:7" s="91" customFormat="1">
      <c r="A112" s="187" t="s">
        <v>276</v>
      </c>
      <c r="B112" s="188"/>
      <c r="C112" s="188" t="s">
        <v>277</v>
      </c>
      <c r="D112" s="185">
        <f t="shared" ref="D112:G112" si="14">D113+D114+D115+D116</f>
        <v>1759184</v>
      </c>
      <c r="E112" s="186">
        <f t="shared" si="14"/>
        <v>0</v>
      </c>
      <c r="F112" s="186">
        <f t="shared" si="14"/>
        <v>1054142.2</v>
      </c>
      <c r="G112" s="186">
        <f t="shared" si="14"/>
        <v>0</v>
      </c>
    </row>
    <row r="113" spans="1:7" s="91" customFormat="1">
      <c r="A113" s="189" t="s">
        <v>278</v>
      </c>
      <c r="B113" s="190"/>
      <c r="C113" s="190" t="s">
        <v>279</v>
      </c>
      <c r="D113" s="95">
        <v>450021</v>
      </c>
      <c r="E113" s="124"/>
      <c r="F113" s="124">
        <v>605780.6</v>
      </c>
      <c r="G113" s="124"/>
    </row>
    <row r="114" spans="1:7" s="153" customFormat="1" ht="15" customHeight="1">
      <c r="A114" s="191">
        <v>102</v>
      </c>
      <c r="B114" s="192"/>
      <c r="C114" s="192" t="s">
        <v>280</v>
      </c>
      <c r="D114" s="143">
        <v>729500</v>
      </c>
      <c r="E114" s="144"/>
      <c r="F114" s="144">
        <v>350418.2</v>
      </c>
      <c r="G114" s="144"/>
    </row>
    <row r="115" spans="1:7" s="91" customFormat="1">
      <c r="A115" s="189">
        <v>104</v>
      </c>
      <c r="B115" s="190"/>
      <c r="C115" s="190" t="s">
        <v>281</v>
      </c>
      <c r="D115" s="95">
        <v>573965</v>
      </c>
      <c r="E115" s="124"/>
      <c r="F115" s="124">
        <v>91071</v>
      </c>
      <c r="G115" s="124"/>
    </row>
    <row r="116" spans="1:7" s="91" customFormat="1">
      <c r="A116" s="189">
        <v>106</v>
      </c>
      <c r="B116" s="190"/>
      <c r="C116" s="190" t="s">
        <v>282</v>
      </c>
      <c r="D116" s="95">
        <v>5698</v>
      </c>
      <c r="E116" s="124"/>
      <c r="F116" s="124">
        <v>6872.4</v>
      </c>
      <c r="G116" s="124"/>
    </row>
    <row r="117" spans="1:7" s="91" customFormat="1">
      <c r="A117" s="187" t="s">
        <v>283</v>
      </c>
      <c r="B117" s="188"/>
      <c r="C117" s="188" t="s">
        <v>284</v>
      </c>
      <c r="D117" s="185">
        <f t="shared" ref="D117:G117" si="15">D118+D119+D120</f>
        <v>1034829</v>
      </c>
      <c r="E117" s="186">
        <f t="shared" si="15"/>
        <v>0</v>
      </c>
      <c r="F117" s="186">
        <f t="shared" si="15"/>
        <v>1644688.2</v>
      </c>
      <c r="G117" s="186">
        <f t="shared" si="15"/>
        <v>0</v>
      </c>
    </row>
    <row r="118" spans="1:7" s="91" customFormat="1">
      <c r="A118" s="189">
        <v>107</v>
      </c>
      <c r="B118" s="190"/>
      <c r="C118" s="190" t="s">
        <v>285</v>
      </c>
      <c r="D118" s="95">
        <v>975376</v>
      </c>
      <c r="E118" s="124"/>
      <c r="F118" s="124">
        <v>1585898.2</v>
      </c>
      <c r="G118" s="124"/>
    </row>
    <row r="119" spans="1:7" s="91" customFormat="1">
      <c r="A119" s="189">
        <v>108</v>
      </c>
      <c r="B119" s="190"/>
      <c r="C119" s="190" t="s">
        <v>286</v>
      </c>
      <c r="D119" s="95">
        <v>59453</v>
      </c>
      <c r="E119" s="124"/>
      <c r="F119" s="124">
        <v>58790</v>
      </c>
      <c r="G119" s="124"/>
    </row>
    <row r="120" spans="1:7" s="195" customFormat="1" ht="14">
      <c r="A120" s="191">
        <v>109</v>
      </c>
      <c r="B120" s="193"/>
      <c r="C120" s="193" t="s">
        <v>287</v>
      </c>
      <c r="D120" s="131">
        <v>0</v>
      </c>
      <c r="E120" s="194"/>
      <c r="F120" s="194"/>
      <c r="G120" s="194"/>
    </row>
    <row r="121" spans="1:7" s="91" customFormat="1">
      <c r="A121" s="187">
        <v>14</v>
      </c>
      <c r="B121" s="188"/>
      <c r="C121" s="188" t="s">
        <v>288</v>
      </c>
      <c r="D121" s="185">
        <f t="shared" ref="D121:G121" si="16">SUM(D122:D130)</f>
        <v>1023060</v>
      </c>
      <c r="E121" s="185">
        <f t="shared" si="16"/>
        <v>0</v>
      </c>
      <c r="F121" s="185">
        <f t="shared" si="16"/>
        <v>1017156.7</v>
      </c>
      <c r="G121" s="185">
        <f t="shared" si="16"/>
        <v>0</v>
      </c>
    </row>
    <row r="122" spans="1:7" s="91" customFormat="1">
      <c r="A122" s="189" t="s">
        <v>289</v>
      </c>
      <c r="B122" s="190"/>
      <c r="C122" s="190" t="s">
        <v>290</v>
      </c>
      <c r="D122" s="95">
        <v>522989</v>
      </c>
      <c r="E122" s="124"/>
      <c r="F122" s="124">
        <v>516604.8</v>
      </c>
      <c r="G122" s="124"/>
    </row>
    <row r="123" spans="1:7" s="91" customFormat="1">
      <c r="A123" s="189">
        <v>144</v>
      </c>
      <c r="B123" s="190"/>
      <c r="C123" s="190" t="s">
        <v>248</v>
      </c>
      <c r="D123" s="95">
        <v>199216</v>
      </c>
      <c r="E123" s="124"/>
      <c r="F123" s="124">
        <v>199697.1</v>
      </c>
      <c r="G123" s="124"/>
    </row>
    <row r="124" spans="1:7" s="91" customFormat="1">
      <c r="A124" s="189">
        <v>145</v>
      </c>
      <c r="B124" s="190"/>
      <c r="C124" s="190" t="s">
        <v>291</v>
      </c>
      <c r="D124" s="95">
        <v>300855</v>
      </c>
      <c r="E124" s="196"/>
      <c r="F124" s="196">
        <v>300854.8</v>
      </c>
      <c r="G124" s="196"/>
    </row>
    <row r="125" spans="1:7" s="91" customFormat="1">
      <c r="A125" s="189">
        <v>146</v>
      </c>
      <c r="B125" s="190"/>
      <c r="C125" s="190" t="s">
        <v>292</v>
      </c>
      <c r="D125" s="95">
        <v>0</v>
      </c>
      <c r="E125" s="196"/>
      <c r="F125" s="196"/>
      <c r="G125" s="196"/>
    </row>
    <row r="126" spans="1:7" s="195" customFormat="1" ht="29.5" customHeight="1">
      <c r="A126" s="191" t="s">
        <v>293</v>
      </c>
      <c r="B126" s="193"/>
      <c r="C126" s="193" t="s">
        <v>294</v>
      </c>
      <c r="D126" s="131">
        <v>0</v>
      </c>
      <c r="E126" s="197"/>
      <c r="F126" s="197"/>
      <c r="G126" s="197"/>
    </row>
    <row r="127" spans="1:7" s="91" customFormat="1">
      <c r="A127" s="189">
        <v>1484</v>
      </c>
      <c r="B127" s="190"/>
      <c r="C127" s="190" t="s">
        <v>295</v>
      </c>
      <c r="D127" s="95">
        <v>0</v>
      </c>
      <c r="E127" s="196"/>
      <c r="F127" s="196"/>
      <c r="G127" s="196"/>
    </row>
    <row r="128" spans="1:7" s="91" customFormat="1">
      <c r="A128" s="189">
        <v>1485</v>
      </c>
      <c r="B128" s="190"/>
      <c r="C128" s="190" t="s">
        <v>296</v>
      </c>
      <c r="D128" s="95">
        <v>0</v>
      </c>
      <c r="E128" s="196"/>
      <c r="F128" s="196"/>
      <c r="G128" s="196"/>
    </row>
    <row r="129" spans="1:7" s="91" customFormat="1">
      <c r="A129" s="189">
        <v>1486</v>
      </c>
      <c r="B129" s="190"/>
      <c r="C129" s="190" t="s">
        <v>297</v>
      </c>
      <c r="D129" s="95">
        <v>0</v>
      </c>
      <c r="E129" s="196"/>
      <c r="F129" s="196"/>
      <c r="G129" s="196"/>
    </row>
    <row r="130" spans="1:7" s="91" customFormat="1">
      <c r="A130" s="198">
        <v>1489</v>
      </c>
      <c r="B130" s="199"/>
      <c r="C130" s="199" t="s">
        <v>298</v>
      </c>
      <c r="D130" s="119">
        <v>0</v>
      </c>
      <c r="E130" s="200"/>
      <c r="F130" s="200"/>
      <c r="G130" s="200"/>
    </row>
    <row r="131" spans="1:7">
      <c r="A131" s="201">
        <v>1</v>
      </c>
      <c r="B131" s="202"/>
      <c r="C131" s="201" t="s">
        <v>299</v>
      </c>
      <c r="D131" s="203">
        <f t="shared" ref="D131:G131" si="17">D111+D121</f>
        <v>3817073</v>
      </c>
      <c r="E131" s="203">
        <f t="shared" si="17"/>
        <v>0</v>
      </c>
      <c r="F131" s="203">
        <f t="shared" si="17"/>
        <v>3715987.0999999996</v>
      </c>
      <c r="G131" s="203">
        <f t="shared" si="17"/>
        <v>0</v>
      </c>
    </row>
    <row r="132" spans="1:7">
      <c r="C132" s="135"/>
      <c r="D132" s="161"/>
      <c r="E132" s="161"/>
      <c r="F132" s="161"/>
      <c r="G132" s="161"/>
    </row>
    <row r="133" spans="1:7" s="91" customFormat="1">
      <c r="A133" s="183">
        <v>20</v>
      </c>
      <c r="B133" s="184"/>
      <c r="C133" s="184" t="s">
        <v>300</v>
      </c>
      <c r="D133" s="318">
        <f t="shared" ref="D133:G133" si="18">D134+D140</f>
        <v>1084659</v>
      </c>
      <c r="E133" s="318">
        <f t="shared" si="18"/>
        <v>0</v>
      </c>
      <c r="F133" s="318">
        <f t="shared" si="18"/>
        <v>1389833.9</v>
      </c>
      <c r="G133" s="318">
        <f t="shared" si="18"/>
        <v>0</v>
      </c>
    </row>
    <row r="134" spans="1:7" s="91" customFormat="1">
      <c r="A134" s="205" t="s">
        <v>301</v>
      </c>
      <c r="B134" s="188"/>
      <c r="C134" s="188" t="s">
        <v>302</v>
      </c>
      <c r="D134" s="185">
        <f t="shared" ref="D134:G134" si="19">D135+D136+D138+D139</f>
        <v>672623</v>
      </c>
      <c r="E134" s="186">
        <f t="shared" si="19"/>
        <v>0</v>
      </c>
      <c r="F134" s="186">
        <f t="shared" si="19"/>
        <v>605012.20000000007</v>
      </c>
      <c r="G134" s="186">
        <f t="shared" si="19"/>
        <v>0</v>
      </c>
    </row>
    <row r="135" spans="1:7" s="106" customFormat="1">
      <c r="A135" s="206">
        <v>200</v>
      </c>
      <c r="B135" s="190"/>
      <c r="C135" s="190" t="s">
        <v>303</v>
      </c>
      <c r="D135" s="95">
        <v>268611</v>
      </c>
      <c r="E135" s="124"/>
      <c r="F135" s="124">
        <v>315947.09999999998</v>
      </c>
      <c r="G135" s="124"/>
    </row>
    <row r="136" spans="1:7" s="106" customFormat="1">
      <c r="A136" s="206">
        <v>201</v>
      </c>
      <c r="B136" s="190"/>
      <c r="C136" s="190" t="s">
        <v>304</v>
      </c>
      <c r="D136" s="95">
        <v>170132</v>
      </c>
      <c r="E136" s="124"/>
      <c r="F136" s="124">
        <v>55125.2</v>
      </c>
      <c r="G136" s="124"/>
    </row>
    <row r="137" spans="1:7" s="106" customFormat="1">
      <c r="A137" s="207" t="s">
        <v>305</v>
      </c>
      <c r="B137" s="208"/>
      <c r="C137" s="208" t="s">
        <v>306</v>
      </c>
      <c r="D137" s="100">
        <v>133</v>
      </c>
      <c r="E137" s="209"/>
      <c r="F137" s="209">
        <v>125.2</v>
      </c>
      <c r="G137" s="209"/>
    </row>
    <row r="138" spans="1:7" s="106" customFormat="1">
      <c r="A138" s="206">
        <v>204</v>
      </c>
      <c r="B138" s="190"/>
      <c r="C138" s="190" t="s">
        <v>307</v>
      </c>
      <c r="D138" s="95">
        <v>209730</v>
      </c>
      <c r="E138" s="196"/>
      <c r="F138" s="196">
        <v>212684.5</v>
      </c>
      <c r="G138" s="196"/>
    </row>
    <row r="139" spans="1:7" s="106" customFormat="1">
      <c r="A139" s="206">
        <v>205</v>
      </c>
      <c r="B139" s="190"/>
      <c r="C139" s="190" t="s">
        <v>308</v>
      </c>
      <c r="D139" s="95">
        <v>24150</v>
      </c>
      <c r="E139" s="196"/>
      <c r="F139" s="196">
        <v>21255.4</v>
      </c>
      <c r="G139" s="196"/>
    </row>
    <row r="140" spans="1:7" s="106" customFormat="1">
      <c r="A140" s="205" t="s">
        <v>309</v>
      </c>
      <c r="B140" s="188"/>
      <c r="C140" s="188" t="s">
        <v>310</v>
      </c>
      <c r="D140" s="185">
        <f t="shared" ref="D140:G140" si="20">D141+D143+D144</f>
        <v>412036</v>
      </c>
      <c r="E140" s="186">
        <f t="shared" si="20"/>
        <v>0</v>
      </c>
      <c r="F140" s="186">
        <f t="shared" si="20"/>
        <v>784821.7</v>
      </c>
      <c r="G140" s="186">
        <f t="shared" si="20"/>
        <v>0</v>
      </c>
    </row>
    <row r="141" spans="1:7" s="106" customFormat="1">
      <c r="A141" s="206">
        <v>206</v>
      </c>
      <c r="B141" s="190"/>
      <c r="C141" s="190" t="s">
        <v>311</v>
      </c>
      <c r="D141" s="95">
        <v>199697</v>
      </c>
      <c r="E141" s="196"/>
      <c r="F141" s="196">
        <v>450033.1</v>
      </c>
      <c r="G141" s="196"/>
    </row>
    <row r="142" spans="1:7" s="106" customFormat="1">
      <c r="A142" s="207" t="s">
        <v>312</v>
      </c>
      <c r="B142" s="208"/>
      <c r="C142" s="208" t="s">
        <v>313</v>
      </c>
      <c r="D142" s="100">
        <v>0</v>
      </c>
      <c r="E142" s="209"/>
      <c r="F142" s="209"/>
      <c r="G142" s="209"/>
    </row>
    <row r="143" spans="1:7" s="106" customFormat="1">
      <c r="A143" s="206">
        <v>208</v>
      </c>
      <c r="B143" s="190"/>
      <c r="C143" s="190" t="s">
        <v>314</v>
      </c>
      <c r="D143" s="95">
        <v>98970</v>
      </c>
      <c r="E143" s="196"/>
      <c r="F143" s="196">
        <v>93019.5</v>
      </c>
      <c r="G143" s="196"/>
    </row>
    <row r="144" spans="1:7" s="111" customFormat="1" ht="28">
      <c r="A144" s="191">
        <v>209</v>
      </c>
      <c r="B144" s="193"/>
      <c r="C144" s="193" t="s">
        <v>315</v>
      </c>
      <c r="D144" s="131">
        <v>113369</v>
      </c>
      <c r="E144" s="197"/>
      <c r="F144" s="197">
        <v>241769.1</v>
      </c>
      <c r="G144" s="197"/>
    </row>
    <row r="145" spans="1:7" s="91" customFormat="1">
      <c r="A145" s="205">
        <v>29</v>
      </c>
      <c r="B145" s="188"/>
      <c r="C145" s="188" t="s">
        <v>316</v>
      </c>
      <c r="D145" s="210">
        <v>2732414</v>
      </c>
      <c r="E145" s="196"/>
      <c r="F145" s="196">
        <v>2326153.2000000002</v>
      </c>
      <c r="G145" s="196"/>
    </row>
    <row r="146" spans="1:7" s="91" customFormat="1">
      <c r="A146" s="211" t="s">
        <v>317</v>
      </c>
      <c r="B146" s="212"/>
      <c r="C146" s="212" t="s">
        <v>318</v>
      </c>
      <c r="D146" s="138">
        <v>2400489</v>
      </c>
      <c r="E146" s="139"/>
      <c r="F146" s="139">
        <v>1938457.7</v>
      </c>
      <c r="G146" s="139"/>
    </row>
    <row r="147" spans="1:7">
      <c r="A147" s="201">
        <v>2</v>
      </c>
      <c r="B147" s="202"/>
      <c r="C147" s="201" t="s">
        <v>319</v>
      </c>
      <c r="D147" s="203">
        <f t="shared" ref="D147:G147" si="21">D133+D145</f>
        <v>3817073</v>
      </c>
      <c r="E147" s="203">
        <f t="shared" si="21"/>
        <v>0</v>
      </c>
      <c r="F147" s="203">
        <f t="shared" si="21"/>
        <v>3715987.1</v>
      </c>
      <c r="G147" s="203">
        <f t="shared" si="21"/>
        <v>0</v>
      </c>
    </row>
    <row r="148" spans="1:7" ht="7.5" customHeight="1"/>
    <row r="149" spans="1:7" ht="13.5" customHeight="1">
      <c r="A149" s="213" t="s">
        <v>320</v>
      </c>
      <c r="B149" s="214"/>
      <c r="C149" s="215" t="s">
        <v>321</v>
      </c>
      <c r="D149" s="214"/>
      <c r="E149" s="214"/>
      <c r="F149" s="214"/>
      <c r="G149" s="214"/>
    </row>
    <row r="150" spans="1:7">
      <c r="A150" s="216" t="s">
        <v>322</v>
      </c>
      <c r="B150" s="217"/>
      <c r="C150" s="217" t="s">
        <v>82</v>
      </c>
      <c r="D150" s="218">
        <f t="shared" ref="D150:G150" si="22">D77+SUM(D8:D12)-D30-D31+D16-D33+D59+D63-D73+D64-D74-D54+D20-D35</f>
        <v>183380</v>
      </c>
      <c r="E150" s="218">
        <f t="shared" si="22"/>
        <v>79024</v>
      </c>
      <c r="F150" s="218">
        <f t="shared" si="22"/>
        <v>240196.89999999979</v>
      </c>
      <c r="G150" s="218">
        <f t="shared" si="22"/>
        <v>105064</v>
      </c>
    </row>
    <row r="151" spans="1:7">
      <c r="A151" s="219" t="s">
        <v>323</v>
      </c>
      <c r="B151" s="220"/>
      <c r="C151" s="220" t="s">
        <v>324</v>
      </c>
      <c r="D151" s="221">
        <f t="shared" ref="D151:G151" si="23">IF(D177=0,0,D150/D177)</f>
        <v>9.2532508489799631E-2</v>
      </c>
      <c r="E151" s="221">
        <f t="shared" si="23"/>
        <v>4.1890922661566361E-2</v>
      </c>
      <c r="F151" s="221">
        <f t="shared" si="23"/>
        <v>0.11645209614296653</v>
      </c>
      <c r="G151" s="221">
        <f t="shared" si="23"/>
        <v>5.7590678843603901E-2</v>
      </c>
    </row>
    <row r="152" spans="1:7" s="225" customFormat="1" ht="28">
      <c r="A152" s="222" t="s">
        <v>325</v>
      </c>
      <c r="B152" s="223"/>
      <c r="C152" s="223" t="s">
        <v>326</v>
      </c>
      <c r="D152" s="224">
        <f t="shared" ref="D152:G152" si="24">IF(D107=0,0,D150/D107)</f>
        <v>1.4324324324324325</v>
      </c>
      <c r="E152" s="224">
        <f t="shared" si="24"/>
        <v>0.3805286296943694</v>
      </c>
      <c r="F152" s="224">
        <f t="shared" si="24"/>
        <v>1.4710799225621356</v>
      </c>
      <c r="G152" s="224">
        <f t="shared" si="24"/>
        <v>0.42497320254828597</v>
      </c>
    </row>
    <row r="153" spans="1:7" s="296" customFormat="1" ht="28">
      <c r="A153" s="226" t="s">
        <v>325</v>
      </c>
      <c r="B153" s="227"/>
      <c r="C153" s="227" t="s">
        <v>327</v>
      </c>
      <c r="D153" s="423">
        <f t="shared" ref="D153:G153" si="25">IF(0=D108,0,D150/D108)</f>
        <v>1.4507911392405064</v>
      </c>
      <c r="E153" s="423">
        <f t="shared" si="25"/>
        <v>0.40381618146791148</v>
      </c>
      <c r="F153" s="423">
        <f t="shared" si="25"/>
        <v>1.4842599675955035</v>
      </c>
      <c r="G153" s="423">
        <f t="shared" si="25"/>
        <v>0.44586657613308439</v>
      </c>
    </row>
    <row r="154" spans="1:7" s="296" customFormat="1" ht="28">
      <c r="A154" s="229" t="s">
        <v>328</v>
      </c>
      <c r="B154" s="230"/>
      <c r="C154" s="230" t="s">
        <v>329</v>
      </c>
      <c r="D154" s="231">
        <f t="shared" ref="D154:G154" si="26">D150-D107</f>
        <v>55360</v>
      </c>
      <c r="E154" s="231">
        <f t="shared" si="26"/>
        <v>-128645</v>
      </c>
      <c r="F154" s="231">
        <f t="shared" si="26"/>
        <v>76917.599999999744</v>
      </c>
      <c r="G154" s="231">
        <f t="shared" si="26"/>
        <v>-142161</v>
      </c>
    </row>
    <row r="155" spans="1:7" ht="28">
      <c r="A155" s="232" t="s">
        <v>330</v>
      </c>
      <c r="B155" s="233"/>
      <c r="C155" s="233" t="s">
        <v>331</v>
      </c>
      <c r="D155" s="234">
        <f t="shared" ref="D155:G155" si="27">D150-D108</f>
        <v>56980</v>
      </c>
      <c r="E155" s="234">
        <f t="shared" si="27"/>
        <v>-116669</v>
      </c>
      <c r="F155" s="234">
        <f t="shared" si="27"/>
        <v>78367.499999999767</v>
      </c>
      <c r="G155" s="234">
        <f t="shared" si="27"/>
        <v>-130576</v>
      </c>
    </row>
    <row r="156" spans="1:7">
      <c r="A156" s="216" t="s">
        <v>332</v>
      </c>
      <c r="B156" s="217"/>
      <c r="C156" s="217" t="s">
        <v>333</v>
      </c>
      <c r="D156" s="235">
        <f t="shared" ref="D156:G156" si="28">D135+D136-D137+D141-D142</f>
        <v>638307</v>
      </c>
      <c r="E156" s="235">
        <f t="shared" si="28"/>
        <v>0</v>
      </c>
      <c r="F156" s="235">
        <f t="shared" si="28"/>
        <v>820980.2</v>
      </c>
      <c r="G156" s="235">
        <f t="shared" si="28"/>
        <v>0</v>
      </c>
    </row>
    <row r="157" spans="1:7">
      <c r="A157" s="236" t="s">
        <v>334</v>
      </c>
      <c r="B157" s="237"/>
      <c r="C157" s="237" t="s">
        <v>335</v>
      </c>
      <c r="D157" s="238">
        <f t="shared" ref="D157:G157" si="29">IF(D177=0,0,D156/D177)</f>
        <v>0.32208609388482129</v>
      </c>
      <c r="E157" s="238">
        <f t="shared" si="29"/>
        <v>0</v>
      </c>
      <c r="F157" s="238">
        <f t="shared" si="29"/>
        <v>0.39802705689320705</v>
      </c>
      <c r="G157" s="238">
        <f t="shared" si="29"/>
        <v>0</v>
      </c>
    </row>
    <row r="158" spans="1:7">
      <c r="A158" s="216" t="s">
        <v>336</v>
      </c>
      <c r="B158" s="217"/>
      <c r="C158" s="217" t="s">
        <v>337</v>
      </c>
      <c r="D158" s="235">
        <f t="shared" ref="D158:G158" si="30">D133-D142-D111</f>
        <v>-1709354</v>
      </c>
      <c r="E158" s="235">
        <f t="shared" si="30"/>
        <v>0</v>
      </c>
      <c r="F158" s="235">
        <f t="shared" si="30"/>
        <v>-1308996.5</v>
      </c>
      <c r="G158" s="235">
        <f t="shared" si="30"/>
        <v>0</v>
      </c>
    </row>
    <row r="159" spans="1:7">
      <c r="A159" s="219" t="s">
        <v>338</v>
      </c>
      <c r="B159" s="220"/>
      <c r="C159" s="220" t="s">
        <v>339</v>
      </c>
      <c r="D159" s="239">
        <f t="shared" ref="D159:G159" si="31">D121-D123-D124-D142-D145</f>
        <v>-2209425</v>
      </c>
      <c r="E159" s="239">
        <f t="shared" si="31"/>
        <v>0</v>
      </c>
      <c r="F159" s="239">
        <f t="shared" si="31"/>
        <v>-1809548.4000000001</v>
      </c>
      <c r="G159" s="239">
        <f t="shared" si="31"/>
        <v>0</v>
      </c>
    </row>
    <row r="160" spans="1:7">
      <c r="A160" s="219" t="s">
        <v>340</v>
      </c>
      <c r="B160" s="220"/>
      <c r="C160" s="220" t="s">
        <v>341</v>
      </c>
      <c r="D160" s="240">
        <f t="shared" ref="D160:G160" si="32">IF(D175=0,"-",1000*D158/D175)</f>
        <v>-8726.2693607506408</v>
      </c>
      <c r="E160" s="240">
        <f t="shared" si="32"/>
        <v>0</v>
      </c>
      <c r="F160" s="240">
        <f t="shared" si="32"/>
        <v>-6678.3491321694237</v>
      </c>
      <c r="G160" s="240">
        <f t="shared" si="32"/>
        <v>0</v>
      </c>
    </row>
    <row r="161" spans="1:7">
      <c r="A161" s="219" t="s">
        <v>340</v>
      </c>
      <c r="B161" s="220"/>
      <c r="C161" s="220" t="s">
        <v>342</v>
      </c>
      <c r="D161" s="239">
        <f t="shared" ref="D161:G161" si="33">IF(D175=0,0,1000*(D159/D175))</f>
        <v>-11279.136844899584</v>
      </c>
      <c r="E161" s="239">
        <f t="shared" si="33"/>
        <v>0</v>
      </c>
      <c r="F161" s="239">
        <f t="shared" si="33"/>
        <v>-9232.1071803924387</v>
      </c>
      <c r="G161" s="239">
        <f t="shared" si="33"/>
        <v>0</v>
      </c>
    </row>
    <row r="162" spans="1:7">
      <c r="A162" s="236" t="s">
        <v>343</v>
      </c>
      <c r="B162" s="237"/>
      <c r="C162" s="237" t="s">
        <v>344</v>
      </c>
      <c r="D162" s="238">
        <f t="shared" ref="D162:G162" si="34">IF((D22+D23+D65+D66)=0,0,D158/(D22+D23+D65+D66))</f>
        <v>-2.2454538647568278</v>
      </c>
      <c r="E162" s="238">
        <f t="shared" si="34"/>
        <v>0</v>
      </c>
      <c r="F162" s="238">
        <f t="shared" si="34"/>
        <v>-1.7590315222247979</v>
      </c>
      <c r="G162" s="238">
        <f t="shared" si="34"/>
        <v>0</v>
      </c>
    </row>
    <row r="163" spans="1:7">
      <c r="A163" s="219" t="s">
        <v>345</v>
      </c>
      <c r="B163" s="220"/>
      <c r="C163" s="220" t="s">
        <v>316</v>
      </c>
      <c r="D163" s="218">
        <f t="shared" ref="D163:G163" si="35">D145</f>
        <v>2732414</v>
      </c>
      <c r="E163" s="218">
        <f t="shared" si="35"/>
        <v>0</v>
      </c>
      <c r="F163" s="218">
        <f t="shared" si="35"/>
        <v>2326153.2000000002</v>
      </c>
      <c r="G163" s="218">
        <f t="shared" si="35"/>
        <v>0</v>
      </c>
    </row>
    <row r="164" spans="1:7" ht="28">
      <c r="A164" s="222" t="s">
        <v>346</v>
      </c>
      <c r="B164" s="237"/>
      <c r="C164" s="237" t="s">
        <v>347</v>
      </c>
      <c r="D164" s="241">
        <f t="shared" ref="D164:G164" si="36">IF(D178=0,0,D146/D178)</f>
        <v>1.2418386435262689</v>
      </c>
      <c r="E164" s="241">
        <f t="shared" si="36"/>
        <v>0</v>
      </c>
      <c r="F164" s="241">
        <f t="shared" si="36"/>
        <v>0.98182328638847682</v>
      </c>
      <c r="G164" s="241">
        <f t="shared" si="36"/>
        <v>0</v>
      </c>
    </row>
    <row r="165" spans="1:7">
      <c r="A165" s="242" t="s">
        <v>348</v>
      </c>
      <c r="B165" s="243"/>
      <c r="C165" s="243" t="s">
        <v>349</v>
      </c>
      <c r="D165" s="244">
        <f t="shared" ref="D165:G165" si="37">IF(D177=0,0,D180/D177)</f>
        <v>6.7876515675222904E-2</v>
      </c>
      <c r="E165" s="244">
        <f t="shared" si="37"/>
        <v>9.6178322677363454E-2</v>
      </c>
      <c r="F165" s="244">
        <f t="shared" si="37"/>
        <v>8.0006870859309742E-2</v>
      </c>
      <c r="G165" s="244">
        <f t="shared" si="37"/>
        <v>0.11500156496409901</v>
      </c>
    </row>
    <row r="166" spans="1:7">
      <c r="A166" s="219" t="s">
        <v>350</v>
      </c>
      <c r="B166" s="220"/>
      <c r="C166" s="220" t="s">
        <v>218</v>
      </c>
      <c r="D166" s="218">
        <f t="shared" ref="D166:G166" si="38">D55</f>
        <v>101089</v>
      </c>
      <c r="E166" s="218">
        <f t="shared" si="38"/>
        <v>97948</v>
      </c>
      <c r="F166" s="218">
        <f t="shared" si="38"/>
        <v>95934.7</v>
      </c>
      <c r="G166" s="218">
        <f t="shared" si="38"/>
        <v>93516</v>
      </c>
    </row>
    <row r="167" spans="1:7">
      <c r="A167" s="236" t="s">
        <v>351</v>
      </c>
      <c r="B167" s="237"/>
      <c r="C167" s="237" t="s">
        <v>352</v>
      </c>
      <c r="D167" s="238">
        <f t="shared" ref="D167:G167" si="39">IF(0=D111,0,(D44+D45+D46+D47+D48)/D111)</f>
        <v>1.0640251136984689E-2</v>
      </c>
      <c r="E167" s="238">
        <f t="shared" si="39"/>
        <v>0</v>
      </c>
      <c r="F167" s="238">
        <f t="shared" si="39"/>
        <v>8.943170345198424E-3</v>
      </c>
      <c r="G167" s="238">
        <f t="shared" si="39"/>
        <v>0</v>
      </c>
    </row>
    <row r="168" spans="1:7">
      <c r="A168" s="219" t="s">
        <v>353</v>
      </c>
      <c r="B168" s="217"/>
      <c r="C168" s="217" t="s">
        <v>354</v>
      </c>
      <c r="D168" s="218">
        <f t="shared" ref="D168:G168" si="40">D38-D44</f>
        <v>-5326</v>
      </c>
      <c r="E168" s="218">
        <f t="shared" si="40"/>
        <v>-3240</v>
      </c>
      <c r="F168" s="218">
        <f t="shared" si="40"/>
        <v>-2470.6999999999998</v>
      </c>
      <c r="G168" s="218">
        <f t="shared" si="40"/>
        <v>-1666</v>
      </c>
    </row>
    <row r="169" spans="1:7">
      <c r="A169" s="236" t="s">
        <v>355</v>
      </c>
      <c r="B169" s="237"/>
      <c r="C169" s="237" t="s">
        <v>356</v>
      </c>
      <c r="D169" s="221">
        <f t="shared" ref="D169:G169" si="41">IF(D177=0,0,D168/D177)</f>
        <v>-2.6874694089686598E-3</v>
      </c>
      <c r="E169" s="221">
        <f t="shared" si="41"/>
        <v>-1.7175363107850149E-3</v>
      </c>
      <c r="F169" s="221">
        <f t="shared" si="41"/>
        <v>-1.1978430776601514E-3</v>
      </c>
      <c r="G169" s="221">
        <f t="shared" si="41"/>
        <v>-9.1321547774160603E-4</v>
      </c>
    </row>
    <row r="170" spans="1:7">
      <c r="A170" s="219" t="s">
        <v>357</v>
      </c>
      <c r="B170" s="220"/>
      <c r="C170" s="220" t="s">
        <v>358</v>
      </c>
      <c r="D170" s="218">
        <f t="shared" ref="D170:G170" si="42">SUM(D82:D87)+SUM(D89:D94)</f>
        <v>264198</v>
      </c>
      <c r="E170" s="218">
        <f t="shared" si="42"/>
        <v>340270</v>
      </c>
      <c r="F170" s="218">
        <f t="shared" si="42"/>
        <v>294660.30000000005</v>
      </c>
      <c r="G170" s="218">
        <f t="shared" si="42"/>
        <v>373145</v>
      </c>
    </row>
    <row r="171" spans="1:7">
      <c r="A171" s="219" t="s">
        <v>359</v>
      </c>
      <c r="B171" s="220"/>
      <c r="C171" s="220" t="s">
        <v>360</v>
      </c>
      <c r="D171" s="239">
        <f t="shared" ref="D171:G171" si="43">SUM(D96:D102)+SUM(D104:D105)</f>
        <v>136178</v>
      </c>
      <c r="E171" s="239">
        <f t="shared" si="43"/>
        <v>132601</v>
      </c>
      <c r="F171" s="239">
        <f t="shared" si="43"/>
        <v>131381</v>
      </c>
      <c r="G171" s="239">
        <f t="shared" si="43"/>
        <v>125920</v>
      </c>
    </row>
    <row r="172" spans="1:7">
      <c r="A172" s="242" t="s">
        <v>361</v>
      </c>
      <c r="B172" s="243"/>
      <c r="C172" s="243" t="s">
        <v>362</v>
      </c>
      <c r="D172" s="244">
        <f t="shared" ref="D172:G172" si="44">IF(D184=0,0,D170/D184)</f>
        <v>0.13403690558088849</v>
      </c>
      <c r="E172" s="244">
        <f t="shared" si="44"/>
        <v>0.16194696162046909</v>
      </c>
      <c r="F172" s="244">
        <f t="shared" si="44"/>
        <v>0.1472049595421574</v>
      </c>
      <c r="G172" s="244">
        <f t="shared" si="44"/>
        <v>0.18277632707481953</v>
      </c>
    </row>
    <row r="173" spans="1:7">
      <c r="A173" s="389"/>
    </row>
    <row r="174" spans="1:7">
      <c r="A174" s="310" t="s">
        <v>363</v>
      </c>
      <c r="B174" s="248"/>
      <c r="C174" s="247"/>
      <c r="D174" s="161"/>
      <c r="E174" s="161"/>
      <c r="F174" s="161"/>
      <c r="G174" s="161"/>
    </row>
    <row r="175" spans="1:7" s="91" customFormat="1">
      <c r="A175" s="312" t="s">
        <v>364</v>
      </c>
      <c r="B175" s="248"/>
      <c r="C175" s="248" t="s">
        <v>365</v>
      </c>
      <c r="D175" s="245">
        <v>195886</v>
      </c>
      <c r="E175" s="246">
        <v>195400</v>
      </c>
      <c r="F175" s="398">
        <v>196006</v>
      </c>
      <c r="G175" s="398">
        <v>196006</v>
      </c>
    </row>
    <row r="176" spans="1:7">
      <c r="A176" s="310" t="s">
        <v>366</v>
      </c>
      <c r="B176" s="248"/>
      <c r="C176" s="248"/>
      <c r="D176" s="248"/>
      <c r="E176" s="248"/>
      <c r="F176" s="248"/>
      <c r="G176" s="248"/>
    </row>
    <row r="177" spans="1:7">
      <c r="A177" s="312" t="s">
        <v>367</v>
      </c>
      <c r="B177" s="248"/>
      <c r="C177" s="248" t="s">
        <v>368</v>
      </c>
      <c r="D177" s="249">
        <f t="shared" ref="D177:G177" si="45">SUM(D22:D32)+SUM(D44:D53)+SUM(D65:D72)+D75</f>
        <v>1981790</v>
      </c>
      <c r="E177" s="249">
        <f t="shared" si="45"/>
        <v>1886423</v>
      </c>
      <c r="F177" s="249">
        <f t="shared" si="45"/>
        <v>2062624.0999999999</v>
      </c>
      <c r="G177" s="249">
        <f t="shared" si="45"/>
        <v>1824323</v>
      </c>
    </row>
    <row r="178" spans="1:7">
      <c r="A178" s="312" t="s">
        <v>369</v>
      </c>
      <c r="B178" s="248"/>
      <c r="C178" s="248" t="s">
        <v>370</v>
      </c>
      <c r="D178" s="249">
        <f t="shared" ref="D178:G178" si="46">D78-D17-D20-D59-D63-D64</f>
        <v>1933012</v>
      </c>
      <c r="E178" s="249">
        <f t="shared" si="46"/>
        <v>1949340</v>
      </c>
      <c r="F178" s="249">
        <f t="shared" si="46"/>
        <v>1974344.8</v>
      </c>
      <c r="G178" s="249">
        <f t="shared" si="46"/>
        <v>1880139</v>
      </c>
    </row>
    <row r="179" spans="1:7">
      <c r="A179" s="312"/>
      <c r="B179" s="248"/>
      <c r="C179" s="248" t="s">
        <v>371</v>
      </c>
      <c r="D179" s="249">
        <f t="shared" ref="D179:G179" si="47">D178+D170</f>
        <v>2197210</v>
      </c>
      <c r="E179" s="249">
        <f t="shared" si="47"/>
        <v>2289610</v>
      </c>
      <c r="F179" s="249">
        <f t="shared" si="47"/>
        <v>2269005.1</v>
      </c>
      <c r="G179" s="249">
        <f t="shared" si="47"/>
        <v>2253284</v>
      </c>
    </row>
    <row r="180" spans="1:7">
      <c r="A180" s="312" t="s">
        <v>372</v>
      </c>
      <c r="B180" s="248"/>
      <c r="C180" s="248" t="s">
        <v>373</v>
      </c>
      <c r="D180" s="249">
        <f t="shared" ref="D180:G180" si="48">D38-D44+D8+D9+D10+D16-D33</f>
        <v>134517</v>
      </c>
      <c r="E180" s="249">
        <f t="shared" si="48"/>
        <v>181433</v>
      </c>
      <c r="F180" s="249">
        <f t="shared" si="48"/>
        <v>165024.09999999998</v>
      </c>
      <c r="G180" s="249">
        <f t="shared" si="48"/>
        <v>209800</v>
      </c>
    </row>
    <row r="181" spans="1:7" ht="27.5" customHeight="1">
      <c r="A181" s="315" t="s">
        <v>374</v>
      </c>
      <c r="B181" s="251"/>
      <c r="C181" s="251" t="s">
        <v>375</v>
      </c>
      <c r="D181" s="252">
        <f t="shared" ref="D181:G181" si="49">D22+D23+D24+D25+D26+D29+SUM(D44:D47)+SUM(D49:D53)-D54+D32-D33+SUM(D65:D70)+D72</f>
        <v>1953484</v>
      </c>
      <c r="E181" s="252">
        <f t="shared" si="49"/>
        <v>1838674</v>
      </c>
      <c r="F181" s="252">
        <f t="shared" si="49"/>
        <v>2040871.4000000001</v>
      </c>
      <c r="G181" s="252">
        <f t="shared" si="49"/>
        <v>1772858</v>
      </c>
    </row>
    <row r="182" spans="1:7">
      <c r="A182" s="317" t="s">
        <v>376</v>
      </c>
      <c r="B182" s="251"/>
      <c r="C182" s="251" t="s">
        <v>377</v>
      </c>
      <c r="D182" s="252">
        <f t="shared" ref="D182:G182" si="50">D181+D171</f>
        <v>2089662</v>
      </c>
      <c r="E182" s="252">
        <f t="shared" si="50"/>
        <v>1971275</v>
      </c>
      <c r="F182" s="252">
        <f t="shared" si="50"/>
        <v>2172252.4000000004</v>
      </c>
      <c r="G182" s="252">
        <f t="shared" si="50"/>
        <v>1898778</v>
      </c>
    </row>
    <row r="183" spans="1:7">
      <c r="A183" s="317" t="s">
        <v>378</v>
      </c>
      <c r="B183" s="251"/>
      <c r="C183" s="251" t="s">
        <v>379</v>
      </c>
      <c r="D183" s="252">
        <f t="shared" ref="D183" si="51">D4+D5-D7+D38+D39+D40+D41+D43+D13-D16+D57+D58+D60+D62</f>
        <v>1706886</v>
      </c>
      <c r="E183" s="252">
        <f>E4+E5-E7+E38+E39+E40+E41+E43+E13-E16+E57+E58+E60+E62</f>
        <v>1760850</v>
      </c>
      <c r="F183" s="252">
        <f>F4+F5-F7+F38+F39+F40+F41+F43+F13-F16+F57+F58+F60+F62</f>
        <v>1707040.6</v>
      </c>
      <c r="G183" s="252">
        <f>G4+G5-G7+G38+G39+G40+G41+G43+G13-G16+G57+G58+G60+G62</f>
        <v>1668394</v>
      </c>
    </row>
    <row r="184" spans="1:7">
      <c r="A184" s="317" t="s">
        <v>380</v>
      </c>
      <c r="B184" s="251"/>
      <c r="C184" s="251" t="s">
        <v>381</v>
      </c>
      <c r="D184" s="252">
        <f t="shared" ref="D184:G184" si="52">D183+D170</f>
        <v>1971084</v>
      </c>
      <c r="E184" s="252">
        <f t="shared" si="52"/>
        <v>2101120</v>
      </c>
      <c r="F184" s="252">
        <f t="shared" si="52"/>
        <v>2001700.9000000001</v>
      </c>
      <c r="G184" s="252">
        <f t="shared" si="52"/>
        <v>2041539</v>
      </c>
    </row>
    <row r="185" spans="1:7">
      <c r="A185" s="317"/>
      <c r="B185" s="251"/>
      <c r="C185" s="251" t="s">
        <v>382</v>
      </c>
      <c r="D185" s="252">
        <f t="shared" ref="D185:G186" si="53">D181-D183</f>
        <v>246598</v>
      </c>
      <c r="E185" s="252">
        <f t="shared" si="53"/>
        <v>77824</v>
      </c>
      <c r="F185" s="252">
        <f t="shared" si="53"/>
        <v>333830.80000000005</v>
      </c>
      <c r="G185" s="252">
        <f t="shared" si="53"/>
        <v>104464</v>
      </c>
    </row>
    <row r="186" spans="1:7">
      <c r="A186" s="317"/>
      <c r="B186" s="251"/>
      <c r="C186" s="251" t="s">
        <v>383</v>
      </c>
      <c r="D186" s="252">
        <f t="shared" si="53"/>
        <v>118578</v>
      </c>
      <c r="E186" s="252">
        <f t="shared" si="53"/>
        <v>-129845</v>
      </c>
      <c r="F186" s="252">
        <f t="shared" si="53"/>
        <v>170551.50000000023</v>
      </c>
      <c r="G186" s="252">
        <f t="shared" si="53"/>
        <v>-142761</v>
      </c>
    </row>
  </sheetData>
  <sheetProtection selectLockedCells="1" sort="0" autoFilter="0" pivotTables="0"/>
  <autoFilter ref="A1:F1" xr:uid="{00000000-0009-0000-0000-000013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8" man="1"/>
    <brk id="148" max="8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AR186"/>
  <sheetViews>
    <sheetView tabSelected="1" zoomScale="115" zoomScaleNormal="115" workbookViewId="0">
      <pane xSplit="3" ySplit="2" topLeftCell="D9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11.5" defaultRowHeight="13"/>
  <cols>
    <col min="1" max="1" width="15.1640625" style="84" customWidth="1"/>
    <col min="2" max="2" width="3.6640625" style="84" customWidth="1"/>
    <col min="3" max="3" width="44.6640625" style="84" customWidth="1"/>
    <col min="4" max="5" width="11.5" style="84"/>
    <col min="6" max="7" width="11.5" style="84" customWidth="1"/>
    <col min="8" max="16384" width="11.5" style="84"/>
  </cols>
  <sheetData>
    <row r="1" spans="1:44" s="77" customFormat="1" ht="18" customHeight="1">
      <c r="A1" s="72" t="s">
        <v>156</v>
      </c>
      <c r="B1" s="73" t="s">
        <v>157</v>
      </c>
      <c r="C1" s="73" t="s">
        <v>146</v>
      </c>
      <c r="D1" s="74" t="s">
        <v>7</v>
      </c>
      <c r="E1" s="75" t="s">
        <v>9</v>
      </c>
      <c r="F1" s="74" t="s">
        <v>7</v>
      </c>
      <c r="G1" s="75" t="s">
        <v>9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</row>
    <row r="2" spans="1:44" s="83" customFormat="1" ht="15" customHeight="1">
      <c r="A2" s="78"/>
      <c r="B2" s="79"/>
      <c r="C2" s="80" t="s">
        <v>158</v>
      </c>
      <c r="D2" s="81">
        <v>2014</v>
      </c>
      <c r="E2" s="82">
        <v>2015</v>
      </c>
      <c r="F2" s="81">
        <v>2015</v>
      </c>
      <c r="G2" s="82">
        <v>2016</v>
      </c>
    </row>
    <row r="3" spans="1:44" ht="15" customHeight="1">
      <c r="A3" s="678" t="s">
        <v>159</v>
      </c>
      <c r="B3" s="679"/>
      <c r="C3" s="679"/>
      <c r="E3" s="85"/>
      <c r="F3" s="85"/>
      <c r="G3" s="85"/>
    </row>
    <row r="4" spans="1:44" s="91" customFormat="1" ht="12.75" customHeight="1">
      <c r="A4" s="86">
        <v>30</v>
      </c>
      <c r="B4" s="87"/>
      <c r="C4" s="88" t="s">
        <v>14</v>
      </c>
      <c r="D4" s="89">
        <v>1632056.3621499999</v>
      </c>
      <c r="E4" s="90">
        <v>1607797.0120000001</v>
      </c>
      <c r="F4" s="90">
        <v>1628166.0209999999</v>
      </c>
      <c r="G4" s="90">
        <v>1614778.7120000001</v>
      </c>
    </row>
    <row r="5" spans="1:44" s="91" customFormat="1" ht="12.75" customHeight="1">
      <c r="A5" s="92">
        <v>31</v>
      </c>
      <c r="B5" s="93"/>
      <c r="C5" s="94" t="s">
        <v>160</v>
      </c>
      <c r="D5" s="95">
        <v>372969.30953999999</v>
      </c>
      <c r="E5" s="96">
        <v>371422.08100000001</v>
      </c>
      <c r="F5" s="96">
        <v>404408.70799999998</v>
      </c>
      <c r="G5" s="96">
        <v>400961.17800000001</v>
      </c>
    </row>
    <row r="6" spans="1:44" s="91" customFormat="1" ht="12.75" customHeight="1">
      <c r="A6" s="97" t="s">
        <v>17</v>
      </c>
      <c r="B6" s="98"/>
      <c r="C6" s="99" t="s">
        <v>161</v>
      </c>
      <c r="D6" s="100">
        <v>28239.331579999998</v>
      </c>
      <c r="E6" s="96">
        <v>29452.400000000001</v>
      </c>
      <c r="F6" s="96">
        <v>30119.914000000001</v>
      </c>
      <c r="G6" s="96">
        <v>32537.3</v>
      </c>
    </row>
    <row r="7" spans="1:44" s="91" customFormat="1" ht="12.75" customHeight="1">
      <c r="A7" s="97" t="s">
        <v>162</v>
      </c>
      <c r="B7" s="98"/>
      <c r="C7" s="99" t="s">
        <v>163</v>
      </c>
      <c r="D7" s="100">
        <v>8139.8884699999999</v>
      </c>
      <c r="E7" s="96">
        <v>1200</v>
      </c>
      <c r="F7" s="96">
        <v>7740.402</v>
      </c>
      <c r="G7" s="96">
        <v>4554</v>
      </c>
    </row>
    <row r="8" spans="1:44" s="91" customFormat="1" ht="12.75" customHeight="1">
      <c r="A8" s="101">
        <v>330</v>
      </c>
      <c r="B8" s="93"/>
      <c r="C8" s="94" t="s">
        <v>164</v>
      </c>
      <c r="D8" s="95">
        <v>142527.91931999999</v>
      </c>
      <c r="E8" s="96">
        <v>189544.54754</v>
      </c>
      <c r="F8" s="96">
        <v>158628.61199999999</v>
      </c>
      <c r="G8" s="96">
        <v>178431.05300000001</v>
      </c>
    </row>
    <row r="9" spans="1:44" s="91" customFormat="1" ht="12.75" customHeight="1">
      <c r="A9" s="101">
        <v>332</v>
      </c>
      <c r="B9" s="93"/>
      <c r="C9" s="94" t="s">
        <v>165</v>
      </c>
      <c r="D9" s="95">
        <v>0</v>
      </c>
      <c r="E9" s="96">
        <v>0</v>
      </c>
      <c r="F9" s="96">
        <v>0</v>
      </c>
      <c r="G9" s="96">
        <v>0</v>
      </c>
    </row>
    <row r="10" spans="1:44" s="91" customFormat="1" ht="12.75" customHeight="1">
      <c r="A10" s="101">
        <v>339</v>
      </c>
      <c r="B10" s="93"/>
      <c r="C10" s="94" t="s">
        <v>166</v>
      </c>
      <c r="D10" s="95">
        <v>11000</v>
      </c>
      <c r="E10" s="96">
        <v>10594</v>
      </c>
      <c r="F10" s="96">
        <v>0</v>
      </c>
      <c r="G10" s="96">
        <v>0</v>
      </c>
    </row>
    <row r="11" spans="1:44" s="91" customFormat="1" ht="12.75" customHeight="1">
      <c r="A11" s="92">
        <v>350</v>
      </c>
      <c r="B11" s="93"/>
      <c r="C11" s="94" t="s">
        <v>167</v>
      </c>
      <c r="D11" s="95">
        <v>486.31211999999999</v>
      </c>
      <c r="E11" s="96">
        <v>0</v>
      </c>
      <c r="F11" s="96">
        <v>2017.123</v>
      </c>
      <c r="G11" s="96">
        <v>0</v>
      </c>
    </row>
    <row r="12" spans="1:44" s="106" customFormat="1" ht="14">
      <c r="A12" s="102">
        <v>351</v>
      </c>
      <c r="B12" s="103"/>
      <c r="C12" s="104" t="s">
        <v>168</v>
      </c>
      <c r="D12" s="105">
        <v>52539.166689999998</v>
      </c>
      <c r="E12" s="96">
        <v>172084.19039999999</v>
      </c>
      <c r="F12" s="96">
        <v>35731.915439999997</v>
      </c>
      <c r="G12" s="96">
        <v>35037.692999999999</v>
      </c>
    </row>
    <row r="13" spans="1:44" s="91" customFormat="1" ht="12.75" customHeight="1">
      <c r="A13" s="92">
        <v>36</v>
      </c>
      <c r="B13" s="93"/>
      <c r="C13" s="94" t="s">
        <v>169</v>
      </c>
      <c r="D13" s="100">
        <v>2281100.7833400001</v>
      </c>
      <c r="E13" s="96">
        <v>2302243.5070000002</v>
      </c>
      <c r="F13" s="96">
        <v>2337764.4300000002</v>
      </c>
      <c r="G13" s="96">
        <v>2357274.2570000002</v>
      </c>
    </row>
    <row r="14" spans="1:44" s="91" customFormat="1" ht="12.75" customHeight="1">
      <c r="A14" s="107" t="s">
        <v>170</v>
      </c>
      <c r="B14" s="93"/>
      <c r="C14" s="108" t="s">
        <v>171</v>
      </c>
      <c r="D14" s="100">
        <v>744615.51460999995</v>
      </c>
      <c r="E14" s="96">
        <v>768309.16399999999</v>
      </c>
      <c r="F14" s="96">
        <v>800975.37</v>
      </c>
      <c r="G14" s="96">
        <v>770343.98100000003</v>
      </c>
    </row>
    <row r="15" spans="1:44" s="91" customFormat="1" ht="12.75" customHeight="1">
      <c r="A15" s="107" t="s">
        <v>172</v>
      </c>
      <c r="B15" s="93"/>
      <c r="C15" s="108" t="s">
        <v>173</v>
      </c>
      <c r="D15" s="100">
        <v>21640.7906</v>
      </c>
      <c r="E15" s="96">
        <v>500</v>
      </c>
      <c r="F15" s="96">
        <v>2812.4870000000001</v>
      </c>
      <c r="G15" s="96">
        <v>1166.087</v>
      </c>
    </row>
    <row r="16" spans="1:44" s="111" customFormat="1" ht="26.25" customHeight="1">
      <c r="A16" s="107" t="s">
        <v>174</v>
      </c>
      <c r="B16" s="109"/>
      <c r="C16" s="108" t="s">
        <v>175</v>
      </c>
      <c r="D16" s="110">
        <v>21172.646189999999</v>
      </c>
      <c r="E16" s="96">
        <v>31663.648000000001</v>
      </c>
      <c r="F16" s="96">
        <v>34085.983</v>
      </c>
      <c r="G16" s="96">
        <v>21054.44</v>
      </c>
    </row>
    <row r="17" spans="1:7" s="113" customFormat="1">
      <c r="A17" s="92">
        <v>37</v>
      </c>
      <c r="B17" s="93"/>
      <c r="C17" s="94" t="s">
        <v>176</v>
      </c>
      <c r="D17" s="112">
        <v>254995.21963000001</v>
      </c>
      <c r="E17" s="96">
        <v>294824.59999999998</v>
      </c>
      <c r="F17" s="96">
        <v>267663.94900000002</v>
      </c>
      <c r="G17" s="96">
        <v>265638.59999999998</v>
      </c>
    </row>
    <row r="18" spans="1:7" s="113" customFormat="1">
      <c r="A18" s="114" t="s">
        <v>177</v>
      </c>
      <c r="B18" s="98"/>
      <c r="C18" s="99" t="s">
        <v>178</v>
      </c>
      <c r="D18" s="115">
        <v>57809.060319999997</v>
      </c>
      <c r="E18" s="96">
        <v>75210</v>
      </c>
      <c r="F18" s="96">
        <v>63584.468000000001</v>
      </c>
      <c r="G18" s="96">
        <v>74750</v>
      </c>
    </row>
    <row r="19" spans="1:7" s="113" customFormat="1">
      <c r="A19" s="114" t="s">
        <v>179</v>
      </c>
      <c r="B19" s="98"/>
      <c r="C19" s="99" t="s">
        <v>180</v>
      </c>
      <c r="D19" s="115">
        <v>162276.78849000001</v>
      </c>
      <c r="E19" s="96">
        <v>188380.3</v>
      </c>
      <c r="F19" s="96">
        <v>171989.77100000001</v>
      </c>
      <c r="G19" s="96">
        <v>162549.29999999999</v>
      </c>
    </row>
    <row r="20" spans="1:7" s="91" customFormat="1" ht="12.75" customHeight="1">
      <c r="A20" s="116">
        <v>39</v>
      </c>
      <c r="B20" s="117"/>
      <c r="C20" s="118" t="s">
        <v>181</v>
      </c>
      <c r="D20" s="119">
        <v>201908.98060000001</v>
      </c>
      <c r="E20" s="120">
        <v>227074.1</v>
      </c>
      <c r="F20" s="120">
        <v>220910.747</v>
      </c>
      <c r="G20" s="120">
        <v>205689.05</v>
      </c>
    </row>
    <row r="21" spans="1:7" ht="12.75" customHeight="1">
      <c r="A21" s="121"/>
      <c r="B21" s="121"/>
      <c r="C21" s="122" t="s">
        <v>182</v>
      </c>
      <c r="D21" s="123">
        <f t="shared" ref="D21" si="0">D4+D5+SUM(D8:D13)+D17</f>
        <v>4747675.0727900006</v>
      </c>
      <c r="E21" s="123">
        <f>E4+E5+SUM(E8:E13)+E17</f>
        <v>4948509.9379399996</v>
      </c>
      <c r="F21" s="123">
        <f>F4+F5+SUM(F8:F13)+F17</f>
        <v>4834380.75844</v>
      </c>
      <c r="G21" s="123">
        <f>G4+G5+SUM(G8:G13)+G17</f>
        <v>4852121.4929999998</v>
      </c>
    </row>
    <row r="22" spans="1:7" s="91" customFormat="1" ht="12.75" customHeight="1">
      <c r="A22" s="101" t="s">
        <v>183</v>
      </c>
      <c r="B22" s="93"/>
      <c r="C22" s="94" t="s">
        <v>184</v>
      </c>
      <c r="D22" s="95">
        <v>2052065.04067</v>
      </c>
      <c r="E22" s="124">
        <v>2104500</v>
      </c>
      <c r="F22" s="124">
        <v>2061539.3570000001</v>
      </c>
      <c r="G22" s="124">
        <v>2099800</v>
      </c>
    </row>
    <row r="23" spans="1:7" s="91" customFormat="1" ht="12.75" customHeight="1">
      <c r="A23" s="101" t="s">
        <v>185</v>
      </c>
      <c r="B23" s="93"/>
      <c r="C23" s="94" t="s">
        <v>186</v>
      </c>
      <c r="D23" s="95">
        <v>232008.70564999999</v>
      </c>
      <c r="E23" s="124">
        <v>229420</v>
      </c>
      <c r="F23" s="124">
        <v>235612.72099999999</v>
      </c>
      <c r="G23" s="124">
        <v>232952</v>
      </c>
    </row>
    <row r="24" spans="1:7" s="125" customFormat="1" ht="12.75" customHeight="1">
      <c r="A24" s="92">
        <v>41</v>
      </c>
      <c r="B24" s="93"/>
      <c r="C24" s="94" t="s">
        <v>187</v>
      </c>
      <c r="D24" s="95">
        <v>65846.990309999994</v>
      </c>
      <c r="E24" s="124">
        <v>233395</v>
      </c>
      <c r="F24" s="124">
        <v>179322.80799999999</v>
      </c>
      <c r="G24" s="124">
        <v>73443</v>
      </c>
    </row>
    <row r="25" spans="1:7" s="91" customFormat="1" ht="12.75" customHeight="1">
      <c r="A25" s="126">
        <v>42</v>
      </c>
      <c r="B25" s="127"/>
      <c r="C25" s="94" t="s">
        <v>188</v>
      </c>
      <c r="D25" s="95">
        <v>278563.59537</v>
      </c>
      <c r="E25" s="124">
        <v>280702.02</v>
      </c>
      <c r="F25" s="124">
        <v>316691.875</v>
      </c>
      <c r="G25" s="124">
        <v>307965.96000000002</v>
      </c>
    </row>
    <row r="26" spans="1:7" s="129" customFormat="1" ht="12.75" customHeight="1">
      <c r="A26" s="102">
        <v>430</v>
      </c>
      <c r="B26" s="93"/>
      <c r="C26" s="94" t="s">
        <v>189</v>
      </c>
      <c r="D26" s="112">
        <v>198.01410000000001</v>
      </c>
      <c r="E26" s="128">
        <v>71</v>
      </c>
      <c r="F26" s="128">
        <v>819.05700000000002</v>
      </c>
      <c r="G26" s="128">
        <v>116</v>
      </c>
    </row>
    <row r="27" spans="1:7" s="129" customFormat="1" ht="12.75" customHeight="1">
      <c r="A27" s="102">
        <v>431</v>
      </c>
      <c r="B27" s="93"/>
      <c r="C27" s="94" t="s">
        <v>190</v>
      </c>
      <c r="D27" s="112">
        <v>0</v>
      </c>
      <c r="E27" s="128">
        <v>0</v>
      </c>
      <c r="F27" s="128">
        <v>0</v>
      </c>
      <c r="G27" s="128">
        <v>0</v>
      </c>
    </row>
    <row r="28" spans="1:7" s="129" customFormat="1" ht="12.75" customHeight="1">
      <c r="A28" s="102">
        <v>432</v>
      </c>
      <c r="B28" s="93"/>
      <c r="C28" s="94" t="s">
        <v>191</v>
      </c>
      <c r="D28" s="112">
        <v>0</v>
      </c>
      <c r="E28" s="128">
        <v>0</v>
      </c>
      <c r="F28" s="128">
        <v>0</v>
      </c>
      <c r="G28" s="128">
        <v>0</v>
      </c>
    </row>
    <row r="29" spans="1:7" s="129" customFormat="1" ht="12.75" customHeight="1">
      <c r="A29" s="102">
        <v>439</v>
      </c>
      <c r="B29" s="93"/>
      <c r="C29" s="94" t="s">
        <v>192</v>
      </c>
      <c r="D29" s="112">
        <v>760.16134999999997</v>
      </c>
      <c r="E29" s="128">
        <v>0.5</v>
      </c>
      <c r="F29" s="128">
        <v>386.779</v>
      </c>
      <c r="G29" s="128">
        <v>27.6</v>
      </c>
    </row>
    <row r="30" spans="1:7" s="91" customFormat="1" ht="14">
      <c r="A30" s="102">
        <v>450</v>
      </c>
      <c r="B30" s="103"/>
      <c r="C30" s="104" t="s">
        <v>193</v>
      </c>
      <c r="D30" s="130">
        <v>0</v>
      </c>
      <c r="E30" s="96">
        <v>17405.5</v>
      </c>
      <c r="F30" s="96">
        <v>309.74</v>
      </c>
      <c r="G30" s="96">
        <v>13326.5</v>
      </c>
    </row>
    <row r="31" spans="1:7" s="106" customFormat="1" ht="14">
      <c r="A31" s="102">
        <v>451</v>
      </c>
      <c r="B31" s="103"/>
      <c r="C31" s="104" t="s">
        <v>194</v>
      </c>
      <c r="D31" s="131">
        <v>154005.68882000001</v>
      </c>
      <c r="E31" s="124">
        <v>94864.8</v>
      </c>
      <c r="F31" s="124">
        <v>14500.886</v>
      </c>
      <c r="G31" s="124">
        <v>13298</v>
      </c>
    </row>
    <row r="32" spans="1:7" s="91" customFormat="1" ht="12.75" customHeight="1">
      <c r="A32" s="92">
        <v>46</v>
      </c>
      <c r="B32" s="93"/>
      <c r="C32" s="94" t="s">
        <v>195</v>
      </c>
      <c r="D32" s="95">
        <v>1506000.9361</v>
      </c>
      <c r="E32" s="124">
        <v>1534069.88433</v>
      </c>
      <c r="F32" s="124">
        <v>1558646.04</v>
      </c>
      <c r="G32" s="124">
        <v>1607134.8929999999</v>
      </c>
    </row>
    <row r="33" spans="1:7" s="106" customFormat="1" ht="12.75" customHeight="1">
      <c r="A33" s="114" t="s">
        <v>196</v>
      </c>
      <c r="B33" s="98"/>
      <c r="C33" s="99" t="s">
        <v>197</v>
      </c>
      <c r="D33" s="100">
        <v>0</v>
      </c>
      <c r="E33" s="132"/>
      <c r="F33" s="132">
        <v>0</v>
      </c>
      <c r="G33" s="132">
        <v>0</v>
      </c>
    </row>
    <row r="34" spans="1:7" s="91" customFormat="1" ht="15" customHeight="1">
      <c r="A34" s="92">
        <v>47</v>
      </c>
      <c r="B34" s="93"/>
      <c r="C34" s="94" t="s">
        <v>176</v>
      </c>
      <c r="D34" s="95">
        <v>254995.21963000001</v>
      </c>
      <c r="E34" s="124">
        <v>294824.59999999998</v>
      </c>
      <c r="F34" s="124">
        <v>267663.94900000002</v>
      </c>
      <c r="G34" s="124">
        <v>265638.59999999998</v>
      </c>
    </row>
    <row r="35" spans="1:7" s="91" customFormat="1" ht="15" customHeight="1">
      <c r="A35" s="116">
        <v>49</v>
      </c>
      <c r="B35" s="117"/>
      <c r="C35" s="118" t="s">
        <v>198</v>
      </c>
      <c r="D35" s="119">
        <v>201908.98060000001</v>
      </c>
      <c r="E35" s="133">
        <v>227074.1</v>
      </c>
      <c r="F35" s="133">
        <v>220910.747</v>
      </c>
      <c r="G35" s="133">
        <v>205689.05</v>
      </c>
    </row>
    <row r="36" spans="1:7" ht="13.5" customHeight="1">
      <c r="A36" s="121"/>
      <c r="B36" s="134"/>
      <c r="C36" s="122" t="s">
        <v>199</v>
      </c>
      <c r="D36" s="123">
        <f t="shared" ref="D36:G36" si="1">D22+D23+D24+D25+D26+D27+D28+D29+D30+D31+D32+D34</f>
        <v>4544444.351999999</v>
      </c>
      <c r="E36" s="123">
        <f t="shared" si="1"/>
        <v>4789253.3043299997</v>
      </c>
      <c r="F36" s="123">
        <f t="shared" si="1"/>
        <v>4635493.2120000003</v>
      </c>
      <c r="G36" s="123">
        <f t="shared" si="1"/>
        <v>4613702.5529999994</v>
      </c>
    </row>
    <row r="37" spans="1:7" s="135" customFormat="1" ht="15" customHeight="1">
      <c r="A37" s="121"/>
      <c r="B37" s="134"/>
      <c r="C37" s="122" t="s">
        <v>200</v>
      </c>
      <c r="D37" s="123">
        <f t="shared" ref="D37:G37" si="2">D36-D21</f>
        <v>-203230.72079000156</v>
      </c>
      <c r="E37" s="123">
        <f t="shared" si="2"/>
        <v>-159256.6336099999</v>
      </c>
      <c r="F37" s="123">
        <f t="shared" si="2"/>
        <v>-198887.54643999971</v>
      </c>
      <c r="G37" s="123">
        <f t="shared" si="2"/>
        <v>-238418.94000000041</v>
      </c>
    </row>
    <row r="38" spans="1:7" s="106" customFormat="1" ht="15" customHeight="1">
      <c r="A38" s="101">
        <v>340</v>
      </c>
      <c r="B38" s="93"/>
      <c r="C38" s="94" t="s">
        <v>201</v>
      </c>
      <c r="D38" s="95">
        <v>37859.704689999999</v>
      </c>
      <c r="E38" s="124">
        <v>30190.400000000001</v>
      </c>
      <c r="F38" s="124">
        <v>29670.655999999999</v>
      </c>
      <c r="G38" s="124">
        <v>22740.75</v>
      </c>
    </row>
    <row r="39" spans="1:7" s="106" customFormat="1" ht="15" customHeight="1">
      <c r="A39" s="101">
        <v>341</v>
      </c>
      <c r="B39" s="93"/>
      <c r="C39" s="94" t="s">
        <v>202</v>
      </c>
      <c r="D39" s="95">
        <v>0</v>
      </c>
      <c r="E39" s="124">
        <v>0</v>
      </c>
      <c r="F39" s="124">
        <v>1.4999999999999999E-2</v>
      </c>
      <c r="G39" s="124">
        <v>0</v>
      </c>
    </row>
    <row r="40" spans="1:7" s="106" customFormat="1" ht="15" customHeight="1">
      <c r="A40" s="101">
        <v>342</v>
      </c>
      <c r="B40" s="93"/>
      <c r="C40" s="94" t="s">
        <v>203</v>
      </c>
      <c r="D40" s="95">
        <v>777.30971999999997</v>
      </c>
      <c r="E40" s="124">
        <v>399</v>
      </c>
      <c r="F40" s="124">
        <v>427.28300000000002</v>
      </c>
      <c r="G40" s="124">
        <v>350</v>
      </c>
    </row>
    <row r="41" spans="1:7" s="106" customFormat="1" ht="15" customHeight="1">
      <c r="A41" s="101">
        <v>343</v>
      </c>
      <c r="B41" s="93"/>
      <c r="C41" s="94" t="s">
        <v>204</v>
      </c>
      <c r="D41" s="95">
        <v>0</v>
      </c>
      <c r="E41" s="124">
        <v>0</v>
      </c>
      <c r="F41" s="124">
        <v>0</v>
      </c>
      <c r="G41" s="124">
        <v>0</v>
      </c>
    </row>
    <row r="42" spans="1:7" s="106" customFormat="1" ht="15" customHeight="1">
      <c r="A42" s="101">
        <v>344</v>
      </c>
      <c r="B42" s="93"/>
      <c r="C42" s="94" t="s">
        <v>205</v>
      </c>
      <c r="D42" s="95">
        <v>0</v>
      </c>
      <c r="E42" s="124">
        <v>0</v>
      </c>
      <c r="F42" s="124">
        <v>21.187999999999999</v>
      </c>
      <c r="G42" s="124">
        <v>0</v>
      </c>
    </row>
    <row r="43" spans="1:7" s="106" customFormat="1" ht="15" customHeight="1">
      <c r="A43" s="101">
        <v>349</v>
      </c>
      <c r="B43" s="93"/>
      <c r="C43" s="94" t="s">
        <v>206</v>
      </c>
      <c r="D43" s="95">
        <v>0</v>
      </c>
      <c r="E43" s="124">
        <v>0</v>
      </c>
      <c r="F43" s="124">
        <v>82.197999999999993</v>
      </c>
      <c r="G43" s="124">
        <v>0</v>
      </c>
    </row>
    <row r="44" spans="1:7" s="91" customFormat="1" ht="15" customHeight="1">
      <c r="A44" s="92">
        <v>440</v>
      </c>
      <c r="B44" s="93"/>
      <c r="C44" s="94" t="s">
        <v>207</v>
      </c>
      <c r="D44" s="95">
        <v>6022.91885</v>
      </c>
      <c r="E44" s="124">
        <v>7665.5</v>
      </c>
      <c r="F44" s="124">
        <v>5523.1509999999998</v>
      </c>
      <c r="G44" s="124">
        <v>6095.2</v>
      </c>
    </row>
    <row r="45" spans="1:7" s="91" customFormat="1" ht="15" customHeight="1">
      <c r="A45" s="92">
        <v>441</v>
      </c>
      <c r="B45" s="93"/>
      <c r="C45" s="94" t="s">
        <v>208</v>
      </c>
      <c r="D45" s="95">
        <v>4001.0349200000001</v>
      </c>
      <c r="E45" s="124">
        <v>2000</v>
      </c>
      <c r="F45" s="124">
        <v>1684.59</v>
      </c>
      <c r="G45" s="124">
        <v>2010</v>
      </c>
    </row>
    <row r="46" spans="1:7" s="91" customFormat="1" ht="15" customHeight="1">
      <c r="A46" s="92">
        <v>442</v>
      </c>
      <c r="B46" s="93"/>
      <c r="C46" s="94" t="s">
        <v>209</v>
      </c>
      <c r="D46" s="95">
        <v>0</v>
      </c>
      <c r="E46" s="124">
        <v>414</v>
      </c>
      <c r="F46" s="124">
        <v>21.4</v>
      </c>
      <c r="G46" s="124"/>
    </row>
    <row r="47" spans="1:7" s="91" customFormat="1" ht="15" customHeight="1">
      <c r="A47" s="92">
        <v>443</v>
      </c>
      <c r="B47" s="93"/>
      <c r="C47" s="94" t="s">
        <v>210</v>
      </c>
      <c r="D47" s="95">
        <v>2600.1169799999998</v>
      </c>
      <c r="E47" s="124">
        <v>2427</v>
      </c>
      <c r="F47" s="124">
        <v>4361.549</v>
      </c>
      <c r="G47" s="124">
        <v>4373.53</v>
      </c>
    </row>
    <row r="48" spans="1:7" s="91" customFormat="1" ht="15" customHeight="1">
      <c r="A48" s="92">
        <v>444</v>
      </c>
      <c r="B48" s="93"/>
      <c r="C48" s="94" t="s">
        <v>205</v>
      </c>
      <c r="D48" s="95">
        <v>57.606999999999999</v>
      </c>
      <c r="E48" s="124">
        <v>4700</v>
      </c>
      <c r="F48" s="124">
        <v>10032.370000000001</v>
      </c>
      <c r="G48" s="124">
        <v>472.69</v>
      </c>
    </row>
    <row r="49" spans="1:7" s="91" customFormat="1" ht="15" customHeight="1">
      <c r="A49" s="92">
        <v>445</v>
      </c>
      <c r="B49" s="93"/>
      <c r="C49" s="94" t="s">
        <v>211</v>
      </c>
      <c r="D49" s="95">
        <v>7266.1217999999999</v>
      </c>
      <c r="E49" s="124">
        <v>7061</v>
      </c>
      <c r="F49" s="124">
        <v>5995.6570000000002</v>
      </c>
      <c r="G49" s="124">
        <v>5941</v>
      </c>
    </row>
    <row r="50" spans="1:7" s="91" customFormat="1" ht="15" customHeight="1">
      <c r="A50" s="92">
        <v>446</v>
      </c>
      <c r="B50" s="93"/>
      <c r="C50" s="94" t="s">
        <v>212</v>
      </c>
      <c r="D50" s="95">
        <v>125150.4227</v>
      </c>
      <c r="E50" s="124">
        <v>143840.5</v>
      </c>
      <c r="F50" s="124">
        <v>104490.52099999999</v>
      </c>
      <c r="G50" s="124">
        <v>101912</v>
      </c>
    </row>
    <row r="51" spans="1:7" s="91" customFormat="1" ht="15" customHeight="1">
      <c r="A51" s="92">
        <v>447</v>
      </c>
      <c r="B51" s="93"/>
      <c r="C51" s="94" t="s">
        <v>213</v>
      </c>
      <c r="D51" s="95">
        <v>22129.110939999999</v>
      </c>
      <c r="E51" s="124">
        <v>20595</v>
      </c>
      <c r="F51" s="124">
        <v>22683.631000000001</v>
      </c>
      <c r="G51" s="124">
        <v>22247.125</v>
      </c>
    </row>
    <row r="52" spans="1:7" s="91" customFormat="1" ht="15" customHeight="1">
      <c r="A52" s="92">
        <v>448</v>
      </c>
      <c r="B52" s="93"/>
      <c r="C52" s="94" t="s">
        <v>214</v>
      </c>
      <c r="D52" s="95">
        <v>0</v>
      </c>
      <c r="E52" s="124">
        <v>0</v>
      </c>
      <c r="F52" s="124">
        <v>0</v>
      </c>
      <c r="G52" s="124">
        <v>0</v>
      </c>
    </row>
    <row r="53" spans="1:7" s="91" customFormat="1" ht="15" customHeight="1">
      <c r="A53" s="92">
        <v>449</v>
      </c>
      <c r="B53" s="93"/>
      <c r="C53" s="94" t="s">
        <v>215</v>
      </c>
      <c r="D53" s="95">
        <v>0</v>
      </c>
      <c r="E53" s="124">
        <v>0</v>
      </c>
      <c r="F53" s="124">
        <v>2473.2559999999999</v>
      </c>
      <c r="G53" s="124">
        <v>0</v>
      </c>
    </row>
    <row r="54" spans="1:7" s="106" customFormat="1" ht="13.5" customHeight="1">
      <c r="A54" s="136" t="s">
        <v>216</v>
      </c>
      <c r="B54" s="137"/>
      <c r="C54" s="137" t="s">
        <v>217</v>
      </c>
      <c r="D54" s="138">
        <v>0</v>
      </c>
      <c r="E54" s="139">
        <v>0</v>
      </c>
      <c r="F54" s="139"/>
      <c r="G54" s="139"/>
    </row>
    <row r="55" spans="1:7" ht="15" customHeight="1">
      <c r="A55" s="134"/>
      <c r="B55" s="134"/>
      <c r="C55" s="122" t="s">
        <v>218</v>
      </c>
      <c r="D55" s="123">
        <f t="shared" ref="D55:G55" si="3">SUM(D44:D53)-SUM(D38:D43)</f>
        <v>128590.31877999997</v>
      </c>
      <c r="E55" s="123">
        <f t="shared" si="3"/>
        <v>158113.60000000001</v>
      </c>
      <c r="F55" s="123">
        <f t="shared" si="3"/>
        <v>127064.78499999997</v>
      </c>
      <c r="G55" s="123">
        <f t="shared" si="3"/>
        <v>119960.79499999998</v>
      </c>
    </row>
    <row r="56" spans="1:7" ht="14.25" customHeight="1">
      <c r="A56" s="134"/>
      <c r="B56" s="134"/>
      <c r="C56" s="122" t="s">
        <v>219</v>
      </c>
      <c r="D56" s="123">
        <f t="shared" ref="D56:G56" si="4">D55+D37</f>
        <v>-74640.402010001591</v>
      </c>
      <c r="E56" s="123">
        <f t="shared" si="4"/>
        <v>-1143.0336099998967</v>
      </c>
      <c r="F56" s="123">
        <f t="shared" si="4"/>
        <v>-71822.76143999974</v>
      </c>
      <c r="G56" s="123">
        <f t="shared" si="4"/>
        <v>-118458.14500000043</v>
      </c>
    </row>
    <row r="57" spans="1:7" s="91" customFormat="1" ht="15.75" customHeight="1">
      <c r="A57" s="140">
        <v>380</v>
      </c>
      <c r="B57" s="141"/>
      <c r="C57" s="142" t="s">
        <v>220</v>
      </c>
      <c r="D57" s="89"/>
      <c r="E57" s="89">
        <v>0</v>
      </c>
      <c r="F57" s="89">
        <v>0</v>
      </c>
      <c r="G57" s="89">
        <v>0</v>
      </c>
    </row>
    <row r="58" spans="1:7" s="91" customFormat="1" ht="15.75" customHeight="1">
      <c r="A58" s="140">
        <v>381</v>
      </c>
      <c r="B58" s="141"/>
      <c r="C58" s="142" t="s">
        <v>221</v>
      </c>
      <c r="D58" s="89"/>
      <c r="E58" s="89">
        <v>0</v>
      </c>
      <c r="F58" s="89">
        <v>0</v>
      </c>
      <c r="G58" s="89">
        <v>0</v>
      </c>
    </row>
    <row r="59" spans="1:7" s="106" customFormat="1" ht="14">
      <c r="A59" s="102">
        <v>383</v>
      </c>
      <c r="B59" s="103"/>
      <c r="C59" s="104" t="s">
        <v>222</v>
      </c>
      <c r="D59" s="143"/>
      <c r="E59" s="144">
        <v>0</v>
      </c>
      <c r="F59" s="144">
        <v>0</v>
      </c>
      <c r="G59" s="144">
        <v>0</v>
      </c>
    </row>
    <row r="60" spans="1:7" s="106" customFormat="1" ht="14">
      <c r="A60" s="102">
        <v>3840</v>
      </c>
      <c r="B60" s="103"/>
      <c r="C60" s="104" t="s">
        <v>223</v>
      </c>
      <c r="D60" s="145"/>
      <c r="E60" s="146">
        <v>0</v>
      </c>
      <c r="F60" s="146">
        <v>0</v>
      </c>
      <c r="G60" s="146">
        <v>0</v>
      </c>
    </row>
    <row r="61" spans="1:7" s="106" customFormat="1" ht="14">
      <c r="A61" s="102">
        <v>3841</v>
      </c>
      <c r="B61" s="103"/>
      <c r="C61" s="104" t="s">
        <v>224</v>
      </c>
      <c r="D61" s="145"/>
      <c r="E61" s="146">
        <v>0</v>
      </c>
      <c r="F61" s="146">
        <v>0</v>
      </c>
      <c r="G61" s="146">
        <v>0</v>
      </c>
    </row>
    <row r="62" spans="1:7" s="106" customFormat="1" ht="14">
      <c r="A62" s="147">
        <v>386</v>
      </c>
      <c r="B62" s="148"/>
      <c r="C62" s="149" t="s">
        <v>225</v>
      </c>
      <c r="D62" s="145"/>
      <c r="E62" s="146">
        <v>0</v>
      </c>
      <c r="F62" s="146">
        <v>0</v>
      </c>
      <c r="G62" s="146">
        <v>0</v>
      </c>
    </row>
    <row r="63" spans="1:7" s="106" customFormat="1" ht="28">
      <c r="A63" s="102">
        <v>387</v>
      </c>
      <c r="B63" s="103"/>
      <c r="C63" s="104" t="s">
        <v>226</v>
      </c>
      <c r="D63" s="145"/>
      <c r="E63" s="146">
        <v>0</v>
      </c>
      <c r="F63" s="146">
        <v>0</v>
      </c>
      <c r="G63" s="146">
        <v>0</v>
      </c>
    </row>
    <row r="64" spans="1:7" s="106" customFormat="1">
      <c r="A64" s="101">
        <v>389</v>
      </c>
      <c r="B64" s="150"/>
      <c r="C64" s="94" t="s">
        <v>42</v>
      </c>
      <c r="D64" s="95"/>
      <c r="E64" s="124">
        <v>0</v>
      </c>
      <c r="F64" s="124">
        <v>72023.724000000002</v>
      </c>
      <c r="G64" s="124">
        <v>35263</v>
      </c>
    </row>
    <row r="65" spans="1:7" s="91" customFormat="1">
      <c r="A65" s="101" t="s">
        <v>227</v>
      </c>
      <c r="B65" s="93"/>
      <c r="C65" s="94" t="s">
        <v>228</v>
      </c>
      <c r="D65" s="95"/>
      <c r="E65" s="124">
        <v>0</v>
      </c>
      <c r="F65" s="124">
        <v>0</v>
      </c>
      <c r="G65" s="124">
        <v>0</v>
      </c>
    </row>
    <row r="66" spans="1:7" s="153" customFormat="1" ht="14">
      <c r="A66" s="151" t="s">
        <v>229</v>
      </c>
      <c r="B66" s="152"/>
      <c r="C66" s="104" t="s">
        <v>230</v>
      </c>
      <c r="D66" s="143"/>
      <c r="E66" s="144">
        <v>0</v>
      </c>
      <c r="F66" s="144">
        <v>0</v>
      </c>
      <c r="G66" s="144">
        <v>0</v>
      </c>
    </row>
    <row r="67" spans="1:7" s="91" customFormat="1">
      <c r="A67" s="154">
        <v>481</v>
      </c>
      <c r="B67" s="93"/>
      <c r="C67" s="94" t="s">
        <v>231</v>
      </c>
      <c r="D67" s="95"/>
      <c r="E67" s="124">
        <v>0</v>
      </c>
      <c r="F67" s="124">
        <v>0</v>
      </c>
      <c r="G67" s="124">
        <v>0</v>
      </c>
    </row>
    <row r="68" spans="1:7" s="91" customFormat="1">
      <c r="A68" s="154">
        <v>482</v>
      </c>
      <c r="B68" s="93"/>
      <c r="C68" s="94" t="s">
        <v>232</v>
      </c>
      <c r="D68" s="95"/>
      <c r="E68" s="124">
        <v>0</v>
      </c>
      <c r="F68" s="124">
        <v>0</v>
      </c>
      <c r="G68" s="124">
        <v>0</v>
      </c>
    </row>
    <row r="69" spans="1:7" s="91" customFormat="1">
      <c r="A69" s="154">
        <v>483</v>
      </c>
      <c r="B69" s="93"/>
      <c r="C69" s="94" t="s">
        <v>233</v>
      </c>
      <c r="D69" s="95"/>
      <c r="E69" s="124">
        <v>0</v>
      </c>
      <c r="F69" s="124">
        <v>0</v>
      </c>
      <c r="G69" s="124">
        <v>0</v>
      </c>
    </row>
    <row r="70" spans="1:7" s="91" customFormat="1">
      <c r="A70" s="154">
        <v>484</v>
      </c>
      <c r="B70" s="93"/>
      <c r="C70" s="94" t="s">
        <v>234</v>
      </c>
      <c r="D70" s="95"/>
      <c r="E70" s="124">
        <v>0</v>
      </c>
      <c r="F70" s="124">
        <v>0</v>
      </c>
      <c r="G70" s="124">
        <v>0</v>
      </c>
    </row>
    <row r="71" spans="1:7" s="91" customFormat="1">
      <c r="A71" s="154">
        <v>485</v>
      </c>
      <c r="B71" s="93"/>
      <c r="C71" s="94" t="s">
        <v>235</v>
      </c>
      <c r="D71" s="95"/>
      <c r="E71" s="124">
        <v>0</v>
      </c>
      <c r="F71" s="124">
        <v>0</v>
      </c>
      <c r="G71" s="124">
        <v>0</v>
      </c>
    </row>
    <row r="72" spans="1:7" s="91" customFormat="1">
      <c r="A72" s="154">
        <v>486</v>
      </c>
      <c r="B72" s="93"/>
      <c r="C72" s="94" t="s">
        <v>236</v>
      </c>
      <c r="D72" s="95"/>
      <c r="E72" s="124">
        <v>0</v>
      </c>
      <c r="F72" s="124">
        <v>0</v>
      </c>
      <c r="G72" s="124">
        <v>0</v>
      </c>
    </row>
    <row r="73" spans="1:7" s="106" customFormat="1">
      <c r="A73" s="154">
        <v>487</v>
      </c>
      <c r="B73" s="98"/>
      <c r="C73" s="94" t="s">
        <v>237</v>
      </c>
      <c r="D73" s="95"/>
      <c r="E73" s="124">
        <v>0</v>
      </c>
      <c r="F73" s="124">
        <v>0</v>
      </c>
      <c r="G73" s="124">
        <v>0</v>
      </c>
    </row>
    <row r="74" spans="1:7" s="106" customFormat="1">
      <c r="A74" s="154">
        <v>489</v>
      </c>
      <c r="B74" s="155"/>
      <c r="C74" s="118" t="s">
        <v>59</v>
      </c>
      <c r="D74" s="95"/>
      <c r="E74" s="124">
        <v>0</v>
      </c>
      <c r="F74" s="124">
        <v>115866.88</v>
      </c>
      <c r="G74" s="124">
        <v>126235.8</v>
      </c>
    </row>
    <row r="75" spans="1:7" s="106" customFormat="1">
      <c r="A75" s="156" t="s">
        <v>238</v>
      </c>
      <c r="B75" s="155"/>
      <c r="C75" s="137" t="s">
        <v>239</v>
      </c>
      <c r="D75" s="95"/>
      <c r="E75" s="124">
        <v>0</v>
      </c>
      <c r="F75" s="124">
        <v>0</v>
      </c>
      <c r="G75" s="124">
        <v>0</v>
      </c>
    </row>
    <row r="76" spans="1:7">
      <c r="A76" s="121"/>
      <c r="B76" s="121"/>
      <c r="C76" s="122" t="s">
        <v>240</v>
      </c>
      <c r="D76" s="123">
        <f t="shared" ref="D76:G76" si="5">SUM(D65:D74)-SUM(D57:D64)</f>
        <v>0</v>
      </c>
      <c r="E76" s="123">
        <f t="shared" si="5"/>
        <v>0</v>
      </c>
      <c r="F76" s="123">
        <f t="shared" si="5"/>
        <v>43843.156000000003</v>
      </c>
      <c r="G76" s="123">
        <f t="shared" si="5"/>
        <v>90972.800000000003</v>
      </c>
    </row>
    <row r="77" spans="1:7">
      <c r="A77" s="157"/>
      <c r="B77" s="157"/>
      <c r="C77" s="122" t="s">
        <v>241</v>
      </c>
      <c r="D77" s="123">
        <f t="shared" ref="D77:G77" si="6">D56+D76</f>
        <v>-74640.402010001591</v>
      </c>
      <c r="E77" s="123">
        <f t="shared" si="6"/>
        <v>-1143.0336099998967</v>
      </c>
      <c r="F77" s="123">
        <f t="shared" si="6"/>
        <v>-27979.605439999737</v>
      </c>
      <c r="G77" s="123">
        <f t="shared" si="6"/>
        <v>-27485.345000000423</v>
      </c>
    </row>
    <row r="78" spans="1:7">
      <c r="A78" s="158">
        <v>3</v>
      </c>
      <c r="B78" s="158"/>
      <c r="C78" s="159" t="s">
        <v>242</v>
      </c>
      <c r="D78" s="160">
        <f t="shared" ref="D78" si="7">D20+D21+SUM(D38:D43)+SUM(D57:D64)</f>
        <v>4988221.0678000012</v>
      </c>
      <c r="E78" s="160">
        <f>E20+E21+SUM(E38:E43)+SUM(E57:E64)</f>
        <v>5206173.4379399996</v>
      </c>
      <c r="F78" s="160">
        <f>F20+F21+SUM(F38:F43)+SUM(F57:F64)</f>
        <v>5157516.5694400007</v>
      </c>
      <c r="G78" s="160">
        <f>G20+G21+SUM(G38:G43)+SUM(G57:G64)</f>
        <v>5116164.2929999996</v>
      </c>
    </row>
    <row r="79" spans="1:7">
      <c r="A79" s="158">
        <v>4</v>
      </c>
      <c r="B79" s="158"/>
      <c r="C79" s="159" t="s">
        <v>243</v>
      </c>
      <c r="D79" s="160">
        <f t="shared" ref="D79:G79" si="8">D35+D36+SUM(D44:D53)+SUM(D65:D74)</f>
        <v>4913580.6657899991</v>
      </c>
      <c r="E79" s="160">
        <f t="shared" si="8"/>
        <v>5205030.4043299994</v>
      </c>
      <c r="F79" s="160">
        <f t="shared" si="8"/>
        <v>5129536.9640000006</v>
      </c>
      <c r="G79" s="160">
        <f t="shared" si="8"/>
        <v>5088678.9479999989</v>
      </c>
    </row>
    <row r="80" spans="1:7">
      <c r="C80" s="135"/>
      <c r="D80" s="161"/>
      <c r="E80" s="161"/>
      <c r="F80" s="161"/>
      <c r="G80" s="161"/>
    </row>
    <row r="81" spans="1:7">
      <c r="A81" s="680" t="s">
        <v>244</v>
      </c>
      <c r="B81" s="681"/>
      <c r="C81" s="681"/>
      <c r="D81" s="162"/>
      <c r="E81" s="163"/>
      <c r="F81" s="163"/>
      <c r="G81" s="163"/>
    </row>
    <row r="82" spans="1:7" s="91" customFormat="1">
      <c r="A82" s="164">
        <v>50</v>
      </c>
      <c r="B82" s="165"/>
      <c r="C82" s="165" t="s">
        <v>245</v>
      </c>
      <c r="D82" s="95">
        <v>194216.95009</v>
      </c>
      <c r="E82" s="124">
        <v>287211.86200000002</v>
      </c>
      <c r="F82" s="124">
        <v>224841.27600000001</v>
      </c>
      <c r="G82" s="124">
        <v>251933.5</v>
      </c>
    </row>
    <row r="83" spans="1:7" s="91" customFormat="1">
      <c r="A83" s="164">
        <v>51</v>
      </c>
      <c r="B83" s="165"/>
      <c r="C83" s="165" t="s">
        <v>246</v>
      </c>
      <c r="D83" s="95">
        <v>80.029089999999997</v>
      </c>
      <c r="E83" s="124">
        <v>0</v>
      </c>
      <c r="F83" s="124">
        <v>985.06200000000001</v>
      </c>
      <c r="G83" s="124">
        <v>400</v>
      </c>
    </row>
    <row r="84" spans="1:7" s="91" customFormat="1">
      <c r="A84" s="164">
        <v>52</v>
      </c>
      <c r="B84" s="165"/>
      <c r="C84" s="165" t="s">
        <v>247</v>
      </c>
      <c r="D84" s="95">
        <v>0</v>
      </c>
      <c r="E84" s="124">
        <v>0</v>
      </c>
      <c r="F84" s="124">
        <v>0</v>
      </c>
      <c r="G84" s="124">
        <v>0</v>
      </c>
    </row>
    <row r="85" spans="1:7" s="91" customFormat="1">
      <c r="A85" s="166">
        <v>54</v>
      </c>
      <c r="B85" s="167"/>
      <c r="C85" s="167" t="s">
        <v>248</v>
      </c>
      <c r="D85" s="100">
        <v>0</v>
      </c>
      <c r="E85" s="124">
        <v>0</v>
      </c>
      <c r="F85" s="124">
        <v>0</v>
      </c>
      <c r="G85" s="124">
        <v>0</v>
      </c>
    </row>
    <row r="86" spans="1:7" s="91" customFormat="1">
      <c r="A86" s="166">
        <v>55</v>
      </c>
      <c r="B86" s="167"/>
      <c r="C86" s="167" t="s">
        <v>249</v>
      </c>
      <c r="D86" s="100">
        <v>0</v>
      </c>
      <c r="E86" s="124">
        <v>0</v>
      </c>
      <c r="F86" s="124">
        <v>0</v>
      </c>
      <c r="G86" s="124">
        <v>0</v>
      </c>
    </row>
    <row r="87" spans="1:7" s="91" customFormat="1">
      <c r="A87" s="166">
        <v>56</v>
      </c>
      <c r="B87" s="167"/>
      <c r="C87" s="167" t="s">
        <v>250</v>
      </c>
      <c r="D87" s="100">
        <v>20269.296849999999</v>
      </c>
      <c r="E87" s="124">
        <v>30663.648000000001</v>
      </c>
      <c r="F87" s="124">
        <v>40337.226000000002</v>
      </c>
      <c r="G87" s="124">
        <v>32694.44</v>
      </c>
    </row>
    <row r="88" spans="1:7" s="91" customFormat="1">
      <c r="A88" s="164">
        <v>57</v>
      </c>
      <c r="B88" s="165"/>
      <c r="C88" s="165" t="s">
        <v>251</v>
      </c>
      <c r="D88" s="95">
        <v>2670.0371500000001</v>
      </c>
      <c r="E88" s="124">
        <v>4172</v>
      </c>
      <c r="F88" s="124">
        <v>2692.6590000000001</v>
      </c>
      <c r="G88" s="124">
        <v>5230</v>
      </c>
    </row>
    <row r="89" spans="1:7" s="91" customFormat="1">
      <c r="A89" s="164">
        <v>580</v>
      </c>
      <c r="B89" s="165"/>
      <c r="C89" s="165" t="s">
        <v>252</v>
      </c>
      <c r="D89" s="95">
        <v>0</v>
      </c>
      <c r="E89" s="124">
        <v>0</v>
      </c>
      <c r="F89" s="124">
        <v>0</v>
      </c>
      <c r="G89" s="124">
        <v>0</v>
      </c>
    </row>
    <row r="90" spans="1:7" s="91" customFormat="1">
      <c r="A90" s="164">
        <v>582</v>
      </c>
      <c r="B90" s="165"/>
      <c r="C90" s="165" t="s">
        <v>253</v>
      </c>
      <c r="D90" s="95">
        <v>0</v>
      </c>
      <c r="E90" s="124">
        <v>0</v>
      </c>
      <c r="F90" s="124">
        <v>0</v>
      </c>
      <c r="G90" s="124">
        <v>0</v>
      </c>
    </row>
    <row r="91" spans="1:7" s="91" customFormat="1">
      <c r="A91" s="164">
        <v>584</v>
      </c>
      <c r="B91" s="165"/>
      <c r="C91" s="165" t="s">
        <v>254</v>
      </c>
      <c r="D91" s="95">
        <v>0</v>
      </c>
      <c r="E91" s="124">
        <v>0</v>
      </c>
      <c r="F91" s="124">
        <v>0</v>
      </c>
      <c r="G91" s="124">
        <v>0</v>
      </c>
    </row>
    <row r="92" spans="1:7" s="91" customFormat="1">
      <c r="A92" s="164">
        <v>585</v>
      </c>
      <c r="B92" s="165"/>
      <c r="C92" s="165" t="s">
        <v>255</v>
      </c>
      <c r="D92" s="95">
        <v>0</v>
      </c>
      <c r="E92" s="124">
        <v>0</v>
      </c>
      <c r="F92" s="124">
        <v>0</v>
      </c>
      <c r="G92" s="124">
        <v>0</v>
      </c>
    </row>
    <row r="93" spans="1:7" s="91" customFormat="1">
      <c r="A93" s="164">
        <v>586</v>
      </c>
      <c r="B93" s="165"/>
      <c r="C93" s="165" t="s">
        <v>256</v>
      </c>
      <c r="D93" s="95">
        <v>0</v>
      </c>
      <c r="E93" s="124">
        <v>0</v>
      </c>
      <c r="F93" s="124">
        <v>0</v>
      </c>
      <c r="G93" s="124">
        <v>0</v>
      </c>
    </row>
    <row r="94" spans="1:7" s="91" customFormat="1">
      <c r="A94" s="168">
        <v>589</v>
      </c>
      <c r="B94" s="169"/>
      <c r="C94" s="169" t="s">
        <v>257</v>
      </c>
      <c r="D94" s="119">
        <v>0</v>
      </c>
      <c r="E94" s="133">
        <v>0</v>
      </c>
      <c r="F94" s="133">
        <v>0</v>
      </c>
      <c r="G94" s="133">
        <v>0</v>
      </c>
    </row>
    <row r="95" spans="1:7">
      <c r="A95" s="170">
        <v>5</v>
      </c>
      <c r="B95" s="171"/>
      <c r="C95" s="171" t="s">
        <v>258</v>
      </c>
      <c r="D95" s="172">
        <f t="shared" ref="D95:G95" si="9">SUM(D82:D94)</f>
        <v>217236.31318</v>
      </c>
      <c r="E95" s="172">
        <f t="shared" si="9"/>
        <v>322047.51</v>
      </c>
      <c r="F95" s="172">
        <f t="shared" si="9"/>
        <v>268856.223</v>
      </c>
      <c r="G95" s="172">
        <f t="shared" si="9"/>
        <v>290257.94</v>
      </c>
    </row>
    <row r="96" spans="1:7" s="91" customFormat="1">
      <c r="A96" s="164">
        <v>60</v>
      </c>
      <c r="B96" s="165"/>
      <c r="C96" s="165" t="s">
        <v>259</v>
      </c>
      <c r="D96" s="95">
        <v>0</v>
      </c>
      <c r="E96" s="124">
        <v>5669</v>
      </c>
      <c r="F96" s="124">
        <v>7476.2039999999997</v>
      </c>
      <c r="G96" s="124">
        <v>962.30899999999997</v>
      </c>
    </row>
    <row r="97" spans="1:7" s="91" customFormat="1">
      <c r="A97" s="164">
        <v>61</v>
      </c>
      <c r="B97" s="165"/>
      <c r="C97" s="165" t="s">
        <v>260</v>
      </c>
      <c r="D97" s="95">
        <v>80.029089999999997</v>
      </c>
      <c r="E97" s="124">
        <v>0</v>
      </c>
      <c r="F97" s="124">
        <v>985.06200000000001</v>
      </c>
      <c r="G97" s="124">
        <v>400</v>
      </c>
    </row>
    <row r="98" spans="1:7" s="91" customFormat="1">
      <c r="A98" s="164">
        <v>62</v>
      </c>
      <c r="B98" s="165"/>
      <c r="C98" s="165" t="s">
        <v>261</v>
      </c>
      <c r="D98" s="95">
        <v>0</v>
      </c>
      <c r="E98" s="124">
        <v>0</v>
      </c>
      <c r="F98" s="124">
        <v>0</v>
      </c>
      <c r="G98" s="124">
        <v>0</v>
      </c>
    </row>
    <row r="99" spans="1:7" s="91" customFormat="1">
      <c r="A99" s="164">
        <v>63</v>
      </c>
      <c r="B99" s="165"/>
      <c r="C99" s="165" t="s">
        <v>262</v>
      </c>
      <c r="D99" s="95">
        <v>60823.168790000003</v>
      </c>
      <c r="E99" s="124">
        <v>94613.69</v>
      </c>
      <c r="F99" s="124">
        <v>93822.135999999999</v>
      </c>
      <c r="G99" s="124">
        <v>112288.535</v>
      </c>
    </row>
    <row r="100" spans="1:7" s="91" customFormat="1">
      <c r="A100" s="166">
        <v>64</v>
      </c>
      <c r="B100" s="167"/>
      <c r="C100" s="167" t="s">
        <v>263</v>
      </c>
      <c r="D100" s="100">
        <v>0</v>
      </c>
      <c r="E100" s="124">
        <v>0</v>
      </c>
      <c r="F100" s="124">
        <v>0</v>
      </c>
      <c r="G100" s="124">
        <v>0</v>
      </c>
    </row>
    <row r="101" spans="1:7" s="91" customFormat="1">
      <c r="A101" s="166">
        <v>65</v>
      </c>
      <c r="B101" s="167"/>
      <c r="C101" s="167" t="s">
        <v>264</v>
      </c>
      <c r="D101" s="100">
        <v>0</v>
      </c>
      <c r="E101" s="124">
        <v>0</v>
      </c>
      <c r="F101" s="124">
        <v>0</v>
      </c>
      <c r="G101" s="124">
        <v>0</v>
      </c>
    </row>
    <row r="102" spans="1:7" s="91" customFormat="1">
      <c r="A102" s="166">
        <v>66</v>
      </c>
      <c r="B102" s="167"/>
      <c r="C102" s="167" t="s">
        <v>265</v>
      </c>
      <c r="D102" s="100">
        <v>0</v>
      </c>
      <c r="E102" s="124">
        <v>0</v>
      </c>
      <c r="F102" s="124">
        <v>316.54399999999998</v>
      </c>
      <c r="G102" s="124">
        <v>362.5</v>
      </c>
    </row>
    <row r="103" spans="1:7" s="91" customFormat="1">
      <c r="A103" s="164">
        <v>67</v>
      </c>
      <c r="B103" s="165"/>
      <c r="C103" s="165" t="s">
        <v>251</v>
      </c>
      <c r="D103" s="95">
        <v>2670.0371500000001</v>
      </c>
      <c r="E103" s="96">
        <v>4172</v>
      </c>
      <c r="F103" s="96">
        <v>2692.6590000000001</v>
      </c>
      <c r="G103" s="96">
        <v>5230</v>
      </c>
    </row>
    <row r="104" spans="1:7" s="91" customFormat="1" ht="28">
      <c r="A104" s="173" t="s">
        <v>266</v>
      </c>
      <c r="B104" s="165"/>
      <c r="C104" s="174" t="s">
        <v>267</v>
      </c>
      <c r="D104" s="130">
        <v>0</v>
      </c>
      <c r="E104" s="96">
        <v>0</v>
      </c>
      <c r="F104" s="96">
        <v>0</v>
      </c>
      <c r="G104" s="96">
        <v>0</v>
      </c>
    </row>
    <row r="105" spans="1:7" s="91" customFormat="1" ht="42">
      <c r="A105" s="175" t="s">
        <v>268</v>
      </c>
      <c r="B105" s="169"/>
      <c r="C105" s="176" t="s">
        <v>269</v>
      </c>
      <c r="D105" s="177">
        <v>0</v>
      </c>
      <c r="E105" s="120">
        <v>0</v>
      </c>
      <c r="F105" s="120">
        <v>0</v>
      </c>
      <c r="G105" s="120">
        <v>0</v>
      </c>
    </row>
    <row r="106" spans="1:7">
      <c r="A106" s="170">
        <v>6</v>
      </c>
      <c r="B106" s="171"/>
      <c r="C106" s="171" t="s">
        <v>270</v>
      </c>
      <c r="D106" s="172">
        <f t="shared" ref="D106:G106" si="10">SUM(D96:D105)</f>
        <v>63573.235030000011</v>
      </c>
      <c r="E106" s="172">
        <f t="shared" si="10"/>
        <v>104454.69</v>
      </c>
      <c r="F106" s="172">
        <f t="shared" si="10"/>
        <v>105292.605</v>
      </c>
      <c r="G106" s="172">
        <f t="shared" si="10"/>
        <v>119243.344</v>
      </c>
    </row>
    <row r="107" spans="1:7">
      <c r="A107" s="178" t="s">
        <v>271</v>
      </c>
      <c r="B107" s="178"/>
      <c r="C107" s="171" t="s">
        <v>1</v>
      </c>
      <c r="D107" s="172">
        <f t="shared" ref="D107:G107" si="11">(D95-D88)-(D106-D103)</f>
        <v>153663.07815000002</v>
      </c>
      <c r="E107" s="172">
        <f t="shared" si="11"/>
        <v>217592.82</v>
      </c>
      <c r="F107" s="172">
        <f t="shared" si="11"/>
        <v>163563.61800000002</v>
      </c>
      <c r="G107" s="172">
        <f t="shared" si="11"/>
        <v>171014.59600000002</v>
      </c>
    </row>
    <row r="108" spans="1:7">
      <c r="A108" s="179" t="s">
        <v>272</v>
      </c>
      <c r="B108" s="179"/>
      <c r="C108" s="180" t="s">
        <v>273</v>
      </c>
      <c r="D108" s="172">
        <f t="shared" ref="D108:G108" si="12">D107-D85-D86+D100+D101</f>
        <v>153663.07815000002</v>
      </c>
      <c r="E108" s="172">
        <f t="shared" si="12"/>
        <v>217592.82</v>
      </c>
      <c r="F108" s="172">
        <f t="shared" si="12"/>
        <v>163563.61800000002</v>
      </c>
      <c r="G108" s="172">
        <f t="shared" si="12"/>
        <v>171014.59600000002</v>
      </c>
    </row>
    <row r="109" spans="1:7">
      <c r="C109" s="135"/>
      <c r="D109" s="161"/>
      <c r="E109" s="161"/>
      <c r="F109" s="161"/>
      <c r="G109" s="161"/>
    </row>
    <row r="110" spans="1:7">
      <c r="A110" s="181" t="s">
        <v>274</v>
      </c>
      <c r="B110" s="182"/>
      <c r="C110" s="181"/>
      <c r="D110" s="161"/>
      <c r="E110" s="161"/>
      <c r="F110" s="161"/>
      <c r="G110" s="161"/>
    </row>
    <row r="111" spans="1:7" s="91" customFormat="1">
      <c r="A111" s="183">
        <v>10</v>
      </c>
      <c r="B111" s="184"/>
      <c r="C111" s="184" t="s">
        <v>275</v>
      </c>
      <c r="D111" s="185">
        <f t="shared" ref="D111:G111" si="13">D112+D117</f>
        <v>1344006.3283199996</v>
      </c>
      <c r="E111" s="186">
        <f t="shared" si="13"/>
        <v>0</v>
      </c>
      <c r="F111" s="186">
        <f t="shared" si="13"/>
        <v>1372413.7620999999</v>
      </c>
      <c r="G111" s="186">
        <f t="shared" si="13"/>
        <v>0</v>
      </c>
    </row>
    <row r="112" spans="1:7" s="91" customFormat="1">
      <c r="A112" s="187" t="s">
        <v>276</v>
      </c>
      <c r="B112" s="188"/>
      <c r="C112" s="188" t="s">
        <v>277</v>
      </c>
      <c r="D112" s="185">
        <f t="shared" ref="D112:G112" si="14">D113+D114+D115+D116</f>
        <v>1320631.3789999997</v>
      </c>
      <c r="E112" s="186">
        <f t="shared" si="14"/>
        <v>0</v>
      </c>
      <c r="F112" s="186">
        <f t="shared" si="14"/>
        <v>1352719.0691199999</v>
      </c>
      <c r="G112" s="186">
        <f t="shared" si="14"/>
        <v>0</v>
      </c>
    </row>
    <row r="113" spans="1:7" s="91" customFormat="1">
      <c r="A113" s="189" t="s">
        <v>278</v>
      </c>
      <c r="B113" s="190"/>
      <c r="C113" s="190" t="s">
        <v>279</v>
      </c>
      <c r="D113" s="95">
        <v>1006784.8385599999</v>
      </c>
      <c r="E113" s="124"/>
      <c r="F113" s="124">
        <v>1003122.6090000001</v>
      </c>
      <c r="G113" s="124"/>
    </row>
    <row r="114" spans="1:7" s="153" customFormat="1" ht="15" customHeight="1">
      <c r="A114" s="191">
        <v>102</v>
      </c>
      <c r="B114" s="192"/>
      <c r="C114" s="192" t="s">
        <v>280</v>
      </c>
      <c r="D114" s="143">
        <v>1100</v>
      </c>
      <c r="E114" s="144"/>
      <c r="F114" s="144"/>
      <c r="G114" s="144"/>
    </row>
    <row r="115" spans="1:7" s="91" customFormat="1">
      <c r="A115" s="189">
        <v>104</v>
      </c>
      <c r="B115" s="190"/>
      <c r="C115" s="190" t="s">
        <v>281</v>
      </c>
      <c r="D115" s="95">
        <v>308130.2304</v>
      </c>
      <c r="E115" s="124"/>
      <c r="F115" s="124">
        <v>345007.64662000001</v>
      </c>
      <c r="G115" s="124"/>
    </row>
    <row r="116" spans="1:7" s="91" customFormat="1">
      <c r="A116" s="189">
        <v>106</v>
      </c>
      <c r="B116" s="190"/>
      <c r="C116" s="190" t="s">
        <v>282</v>
      </c>
      <c r="D116" s="95">
        <v>4616.3100400000003</v>
      </c>
      <c r="E116" s="124"/>
      <c r="F116" s="124">
        <v>4588.8135000000002</v>
      </c>
      <c r="G116" s="124"/>
    </row>
    <row r="117" spans="1:7" s="91" customFormat="1">
      <c r="A117" s="187" t="s">
        <v>283</v>
      </c>
      <c r="B117" s="188"/>
      <c r="C117" s="188" t="s">
        <v>284</v>
      </c>
      <c r="D117" s="185">
        <f t="shared" ref="D117:G117" si="15">D118+D119+D120</f>
        <v>23374.94932</v>
      </c>
      <c r="E117" s="186">
        <f t="shared" si="15"/>
        <v>0</v>
      </c>
      <c r="F117" s="186">
        <f t="shared" si="15"/>
        <v>19694.69298</v>
      </c>
      <c r="G117" s="186">
        <f t="shared" si="15"/>
        <v>0</v>
      </c>
    </row>
    <row r="118" spans="1:7" s="91" customFormat="1">
      <c r="A118" s="189">
        <v>107</v>
      </c>
      <c r="B118" s="190"/>
      <c r="C118" s="190" t="s">
        <v>285</v>
      </c>
      <c r="D118" s="95">
        <v>12015.972320000001</v>
      </c>
      <c r="E118" s="124"/>
      <c r="F118" s="124">
        <v>11555.715980000001</v>
      </c>
      <c r="G118" s="124"/>
    </row>
    <row r="119" spans="1:7" s="91" customFormat="1">
      <c r="A119" s="189">
        <v>108</v>
      </c>
      <c r="B119" s="190"/>
      <c r="C119" s="190" t="s">
        <v>286</v>
      </c>
      <c r="D119" s="95">
        <v>11358.976999999999</v>
      </c>
      <c r="E119" s="124"/>
      <c r="F119" s="124">
        <v>8138.9769999999999</v>
      </c>
      <c r="G119" s="124"/>
    </row>
    <row r="120" spans="1:7" s="195" customFormat="1" ht="14">
      <c r="A120" s="191">
        <v>109</v>
      </c>
      <c r="B120" s="193"/>
      <c r="C120" s="193" t="s">
        <v>287</v>
      </c>
      <c r="D120" s="131"/>
      <c r="E120" s="194"/>
      <c r="F120" s="194"/>
      <c r="G120" s="194"/>
    </row>
    <row r="121" spans="1:7" s="91" customFormat="1">
      <c r="A121" s="187">
        <v>14</v>
      </c>
      <c r="B121" s="188"/>
      <c r="C121" s="188" t="s">
        <v>288</v>
      </c>
      <c r="D121" s="185">
        <f t="shared" ref="D121:G121" si="16">SUM(D122:D130)</f>
        <v>2028408.0173200001</v>
      </c>
      <c r="E121" s="185">
        <f t="shared" si="16"/>
        <v>0</v>
      </c>
      <c r="F121" s="185">
        <f t="shared" si="16"/>
        <v>1989123.30299</v>
      </c>
      <c r="G121" s="185">
        <f t="shared" si="16"/>
        <v>0</v>
      </c>
    </row>
    <row r="122" spans="1:7" s="91" customFormat="1">
      <c r="A122" s="189" t="s">
        <v>289</v>
      </c>
      <c r="B122" s="190"/>
      <c r="C122" s="190" t="s">
        <v>290</v>
      </c>
      <c r="D122" s="95">
        <v>974488.13984000008</v>
      </c>
      <c r="E122" s="124"/>
      <c r="F122" s="124">
        <v>946415.94676000008</v>
      </c>
      <c r="G122" s="124"/>
    </row>
    <row r="123" spans="1:7" s="91" customFormat="1">
      <c r="A123" s="189">
        <v>144</v>
      </c>
      <c r="B123" s="190"/>
      <c r="C123" s="190" t="s">
        <v>248</v>
      </c>
      <c r="D123" s="95">
        <v>276327.99647999997</v>
      </c>
      <c r="E123" s="124"/>
      <c r="F123" s="124">
        <v>265264.07523000002</v>
      </c>
      <c r="G123" s="124"/>
    </row>
    <row r="124" spans="1:7" s="91" customFormat="1">
      <c r="A124" s="189">
        <v>145</v>
      </c>
      <c r="B124" s="190"/>
      <c r="C124" s="190" t="s">
        <v>291</v>
      </c>
      <c r="D124" s="95">
        <v>777591.88100000005</v>
      </c>
      <c r="E124" s="196"/>
      <c r="F124" s="124">
        <v>777443.28099999996</v>
      </c>
      <c r="G124" s="196"/>
    </row>
    <row r="125" spans="1:7" s="91" customFormat="1">
      <c r="A125" s="189">
        <v>146</v>
      </c>
      <c r="B125" s="190"/>
      <c r="C125" s="190" t="s">
        <v>292</v>
      </c>
      <c r="D125" s="95">
        <v>0</v>
      </c>
      <c r="E125" s="196"/>
      <c r="F125" s="124">
        <v>0</v>
      </c>
      <c r="G125" s="196"/>
    </row>
    <row r="126" spans="1:7" s="195" customFormat="1" ht="29.5" customHeight="1">
      <c r="A126" s="191" t="s">
        <v>293</v>
      </c>
      <c r="B126" s="193"/>
      <c r="C126" s="193" t="s">
        <v>294</v>
      </c>
      <c r="D126" s="95">
        <v>0</v>
      </c>
      <c r="E126" s="197"/>
      <c r="F126" s="124">
        <v>0</v>
      </c>
      <c r="G126" s="197"/>
    </row>
    <row r="127" spans="1:7" s="91" customFormat="1">
      <c r="A127" s="189">
        <v>1484</v>
      </c>
      <c r="B127" s="190"/>
      <c r="C127" s="190" t="s">
        <v>295</v>
      </c>
      <c r="D127" s="95">
        <v>0</v>
      </c>
      <c r="E127" s="196"/>
      <c r="F127" s="124">
        <v>0</v>
      </c>
      <c r="G127" s="196"/>
    </row>
    <row r="128" spans="1:7" s="91" customFormat="1">
      <c r="A128" s="189">
        <v>1485</v>
      </c>
      <c r="B128" s="190"/>
      <c r="C128" s="190" t="s">
        <v>296</v>
      </c>
      <c r="D128" s="95">
        <v>0</v>
      </c>
      <c r="E128" s="196"/>
      <c r="F128" s="124">
        <v>0</v>
      </c>
      <c r="G128" s="196"/>
    </row>
    <row r="129" spans="1:7" s="91" customFormat="1">
      <c r="A129" s="189">
        <v>1486</v>
      </c>
      <c r="B129" s="190"/>
      <c r="C129" s="190" t="s">
        <v>297</v>
      </c>
      <c r="D129" s="95">
        <v>0</v>
      </c>
      <c r="E129" s="196"/>
      <c r="F129" s="124">
        <v>0</v>
      </c>
      <c r="G129" s="196"/>
    </row>
    <row r="130" spans="1:7" s="91" customFormat="1">
      <c r="A130" s="198">
        <v>1489</v>
      </c>
      <c r="B130" s="199"/>
      <c r="C130" s="199" t="s">
        <v>298</v>
      </c>
      <c r="D130" s="119">
        <v>0</v>
      </c>
      <c r="E130" s="200"/>
      <c r="F130" s="124">
        <v>0</v>
      </c>
      <c r="G130" s="200"/>
    </row>
    <row r="131" spans="1:7">
      <c r="A131" s="201">
        <v>1</v>
      </c>
      <c r="B131" s="202"/>
      <c r="C131" s="201" t="s">
        <v>299</v>
      </c>
      <c r="D131" s="203">
        <f t="shared" ref="D131:G131" si="17">D111+D121</f>
        <v>3372414.34564</v>
      </c>
      <c r="E131" s="203">
        <f t="shared" si="17"/>
        <v>0</v>
      </c>
      <c r="F131" s="203">
        <f t="shared" si="17"/>
        <v>3361537.0650899997</v>
      </c>
      <c r="G131" s="203">
        <f t="shared" si="17"/>
        <v>0</v>
      </c>
    </row>
    <row r="132" spans="1:7">
      <c r="C132" s="135"/>
      <c r="D132" s="161"/>
      <c r="E132" s="161"/>
      <c r="F132" s="161"/>
      <c r="G132" s="161"/>
    </row>
    <row r="133" spans="1:7" s="91" customFormat="1">
      <c r="A133" s="183">
        <v>20</v>
      </c>
      <c r="B133" s="184"/>
      <c r="C133" s="184" t="s">
        <v>300</v>
      </c>
      <c r="D133" s="204">
        <f t="shared" ref="D133:G133" si="18">D134+D140</f>
        <v>2957866.9876700002</v>
      </c>
      <c r="E133" s="204">
        <f t="shared" si="18"/>
        <v>0</v>
      </c>
      <c r="F133" s="204">
        <f t="shared" si="18"/>
        <v>3008346.5310899997</v>
      </c>
      <c r="G133" s="204">
        <f t="shared" si="18"/>
        <v>0</v>
      </c>
    </row>
    <row r="134" spans="1:7" s="91" customFormat="1">
      <c r="A134" s="205" t="s">
        <v>301</v>
      </c>
      <c r="B134" s="188"/>
      <c r="C134" s="188" t="s">
        <v>302</v>
      </c>
      <c r="D134" s="185">
        <f t="shared" ref="D134:G134" si="19">D135+D136+D138+D139</f>
        <v>1619978.3478300001</v>
      </c>
      <c r="E134" s="186">
        <f t="shared" si="19"/>
        <v>0</v>
      </c>
      <c r="F134" s="186">
        <f t="shared" si="19"/>
        <v>1706303.26382</v>
      </c>
      <c r="G134" s="186">
        <f t="shared" si="19"/>
        <v>0</v>
      </c>
    </row>
    <row r="135" spans="1:7" s="106" customFormat="1">
      <c r="A135" s="206">
        <v>200</v>
      </c>
      <c r="B135" s="190"/>
      <c r="C135" s="190" t="s">
        <v>303</v>
      </c>
      <c r="D135" s="95">
        <v>618241.63059000007</v>
      </c>
      <c r="E135" s="124"/>
      <c r="F135" s="124">
        <v>606347.71279999986</v>
      </c>
      <c r="G135" s="124"/>
    </row>
    <row r="136" spans="1:7" s="106" customFormat="1">
      <c r="A136" s="206">
        <v>201</v>
      </c>
      <c r="B136" s="190"/>
      <c r="C136" s="190" t="s">
        <v>304</v>
      </c>
      <c r="D136" s="95">
        <v>388000</v>
      </c>
      <c r="E136" s="124"/>
      <c r="F136" s="124">
        <v>415000</v>
      </c>
      <c r="G136" s="124"/>
    </row>
    <row r="137" spans="1:7" s="106" customFormat="1">
      <c r="A137" s="207" t="s">
        <v>305</v>
      </c>
      <c r="B137" s="208"/>
      <c r="C137" s="208" t="s">
        <v>306</v>
      </c>
      <c r="D137" s="100">
        <v>0</v>
      </c>
      <c r="E137" s="209"/>
      <c r="F137" s="124">
        <v>0</v>
      </c>
      <c r="G137" s="209"/>
    </row>
    <row r="138" spans="1:7" s="106" customFormat="1">
      <c r="A138" s="206">
        <v>204</v>
      </c>
      <c r="B138" s="190"/>
      <c r="C138" s="190" t="s">
        <v>307</v>
      </c>
      <c r="D138" s="95">
        <v>601336.65943999996</v>
      </c>
      <c r="E138" s="196"/>
      <c r="F138" s="124">
        <v>675659.14922000002</v>
      </c>
      <c r="G138" s="196"/>
    </row>
    <row r="139" spans="1:7" s="106" customFormat="1">
      <c r="A139" s="206">
        <v>205</v>
      </c>
      <c r="B139" s="190"/>
      <c r="C139" s="190" t="s">
        <v>308</v>
      </c>
      <c r="D139" s="95">
        <v>12400.0578</v>
      </c>
      <c r="E139" s="196"/>
      <c r="F139" s="124">
        <v>9296.4017999999996</v>
      </c>
      <c r="G139" s="196"/>
    </row>
    <row r="140" spans="1:7" s="106" customFormat="1">
      <c r="A140" s="205" t="s">
        <v>309</v>
      </c>
      <c r="B140" s="188"/>
      <c r="C140" s="188" t="s">
        <v>310</v>
      </c>
      <c r="D140" s="185">
        <f t="shared" ref="D140:G140" si="20">D141+D143+D144</f>
        <v>1337888.6398400001</v>
      </c>
      <c r="E140" s="186">
        <f t="shared" si="20"/>
        <v>0</v>
      </c>
      <c r="F140" s="186">
        <f t="shared" si="20"/>
        <v>1302043.26727</v>
      </c>
      <c r="G140" s="186">
        <f t="shared" si="20"/>
        <v>0</v>
      </c>
    </row>
    <row r="141" spans="1:7" s="106" customFormat="1">
      <c r="A141" s="206">
        <v>206</v>
      </c>
      <c r="B141" s="190"/>
      <c r="C141" s="190" t="s">
        <v>311</v>
      </c>
      <c r="D141" s="95">
        <v>1212000</v>
      </c>
      <c r="E141" s="196"/>
      <c r="F141" s="124">
        <v>1175000</v>
      </c>
      <c r="G141" s="196"/>
    </row>
    <row r="142" spans="1:7" s="106" customFormat="1">
      <c r="A142" s="207" t="s">
        <v>312</v>
      </c>
      <c r="B142" s="208"/>
      <c r="C142" s="208" t="s">
        <v>313</v>
      </c>
      <c r="D142" s="100">
        <v>0</v>
      </c>
      <c r="E142" s="132"/>
      <c r="F142" s="124">
        <v>0</v>
      </c>
      <c r="G142" s="132"/>
    </row>
    <row r="143" spans="1:7" s="106" customFormat="1">
      <c r="A143" s="206">
        <v>208</v>
      </c>
      <c r="B143" s="190"/>
      <c r="C143" s="190" t="s">
        <v>314</v>
      </c>
      <c r="D143" s="95">
        <v>33144.586199999998</v>
      </c>
      <c r="E143" s="124"/>
      <c r="F143" s="124">
        <v>32591.8302</v>
      </c>
      <c r="G143" s="124"/>
    </row>
    <row r="144" spans="1:7" s="111" customFormat="1" ht="28">
      <c r="A144" s="191">
        <v>209</v>
      </c>
      <c r="B144" s="193"/>
      <c r="C144" s="193" t="s">
        <v>315</v>
      </c>
      <c r="D144" s="131">
        <v>92744.053639999998</v>
      </c>
      <c r="E144" s="194"/>
      <c r="F144" s="124">
        <v>94451.43707</v>
      </c>
      <c r="G144" s="194"/>
    </row>
    <row r="145" spans="1:7" s="91" customFormat="1">
      <c r="A145" s="205">
        <v>29</v>
      </c>
      <c r="B145" s="188"/>
      <c r="C145" s="188" t="s">
        <v>316</v>
      </c>
      <c r="D145" s="210">
        <v>414547.35797000013</v>
      </c>
      <c r="E145" s="196"/>
      <c r="F145" s="196">
        <v>353190.53484000004</v>
      </c>
      <c r="G145" s="196"/>
    </row>
    <row r="146" spans="1:7" s="91" customFormat="1">
      <c r="A146" s="211" t="s">
        <v>317</v>
      </c>
      <c r="B146" s="212"/>
      <c r="C146" s="212" t="s">
        <v>318</v>
      </c>
      <c r="D146" s="138">
        <v>353421.85288000002</v>
      </c>
      <c r="E146" s="139"/>
      <c r="F146" s="139">
        <v>370807.45410999999</v>
      </c>
      <c r="G146" s="139"/>
    </row>
    <row r="147" spans="1:7">
      <c r="A147" s="201">
        <v>2</v>
      </c>
      <c r="B147" s="202"/>
      <c r="C147" s="201" t="s">
        <v>319</v>
      </c>
      <c r="D147" s="203">
        <f t="shared" ref="D147:G147" si="21">D133+D145</f>
        <v>3372414.3456400004</v>
      </c>
      <c r="E147" s="203">
        <f t="shared" si="21"/>
        <v>0</v>
      </c>
      <c r="F147" s="203">
        <f t="shared" si="21"/>
        <v>3361537.0659299996</v>
      </c>
      <c r="G147" s="203">
        <f t="shared" si="21"/>
        <v>0</v>
      </c>
    </row>
    <row r="148" spans="1:7" ht="7.5" customHeight="1"/>
    <row r="149" spans="1:7" ht="13.5" customHeight="1">
      <c r="A149" s="213" t="s">
        <v>320</v>
      </c>
      <c r="B149" s="214"/>
      <c r="C149" s="215" t="s">
        <v>321</v>
      </c>
      <c r="D149" s="214"/>
      <c r="E149" s="214"/>
      <c r="F149" s="214"/>
      <c r="G149" s="214"/>
    </row>
    <row r="150" spans="1:7">
      <c r="A150" s="216" t="s">
        <v>322</v>
      </c>
      <c r="B150" s="217"/>
      <c r="C150" s="217" t="s">
        <v>82</v>
      </c>
      <c r="D150" s="218">
        <f t="shared" ref="D150" si="22">D77+SUM(D8:D12)-D30-D31+D16-D33+D59+D63-D73+D64-D74-D54+D20-D35</f>
        <v>-920.04651000161539</v>
      </c>
      <c r="E150" s="218">
        <f>E77+SUM(E8:E12)-E30-E31+E16-E33+E59+E63-E73+E64-E74-E54+E20-E35</f>
        <v>290473.05233000009</v>
      </c>
      <c r="F150" s="218">
        <f>F77+SUM(F8:F12)-F30-F31+F16-F33+F59+F63-F73+F64-F74-F54+F20-F35</f>
        <v>143830.24600000025</v>
      </c>
      <c r="G150" s="218">
        <f>G77+SUM(G8:G12)-G30-G31+G16-G33+G59+G63-G73+G64-G74-G54+G20-G35</f>
        <v>89440.540999999619</v>
      </c>
    </row>
    <row r="151" spans="1:7">
      <c r="A151" s="219" t="s">
        <v>323</v>
      </c>
      <c r="B151" s="220"/>
      <c r="C151" s="220" t="s">
        <v>324</v>
      </c>
      <c r="D151" s="221">
        <f t="shared" ref="D151:G151" si="23">IF(D177=0,0,D150/D177)</f>
        <v>-2.0644229328996356E-4</v>
      </c>
      <c r="E151" s="221">
        <f t="shared" si="23"/>
        <v>6.2025386145222045E-2</v>
      </c>
      <c r="F151" s="221">
        <f t="shared" si="23"/>
        <v>3.1785019688517609E-2</v>
      </c>
      <c r="G151" s="221">
        <f t="shared" si="23"/>
        <v>1.9914994624348811E-2</v>
      </c>
    </row>
    <row r="152" spans="1:7" s="225" customFormat="1" ht="28">
      <c r="A152" s="222" t="s">
        <v>325</v>
      </c>
      <c r="B152" s="223"/>
      <c r="C152" s="223" t="s">
        <v>326</v>
      </c>
      <c r="D152" s="224">
        <f t="shared" ref="D152:G152" si="24">IF(D107=0,0,D150/D107)</f>
        <v>-5.9874273057546144E-3</v>
      </c>
      <c r="E152" s="224">
        <f t="shared" si="24"/>
        <v>1.3349385900233293</v>
      </c>
      <c r="F152" s="224">
        <f t="shared" si="24"/>
        <v>0.87935353692164131</v>
      </c>
      <c r="G152" s="224">
        <f t="shared" si="24"/>
        <v>0.52299945789422331</v>
      </c>
    </row>
    <row r="153" spans="1:7" s="225" customFormat="1" ht="28">
      <c r="A153" s="226" t="s">
        <v>325</v>
      </c>
      <c r="B153" s="227"/>
      <c r="C153" s="227" t="s">
        <v>327</v>
      </c>
      <c r="D153" s="228">
        <f t="shared" ref="D153:G153" si="25">IF(0=D108,0,D150/D108)</f>
        <v>-5.9874273057546144E-3</v>
      </c>
      <c r="E153" s="228">
        <f t="shared" si="25"/>
        <v>1.3349385900233293</v>
      </c>
      <c r="F153" s="228">
        <f t="shared" si="25"/>
        <v>0.87935353692164131</v>
      </c>
      <c r="G153" s="228">
        <f t="shared" si="25"/>
        <v>0.52299945789422331</v>
      </c>
    </row>
    <row r="154" spans="1:7" ht="28">
      <c r="A154" s="229" t="s">
        <v>328</v>
      </c>
      <c r="B154" s="230"/>
      <c r="C154" s="230" t="s">
        <v>329</v>
      </c>
      <c r="D154" s="231">
        <f t="shared" ref="D154:G154" si="26">D150-D107</f>
        <v>-154583.12466000163</v>
      </c>
      <c r="E154" s="231">
        <f t="shared" si="26"/>
        <v>72880.232330000086</v>
      </c>
      <c r="F154" s="231">
        <f t="shared" si="26"/>
        <v>-19733.37199999977</v>
      </c>
      <c r="G154" s="231">
        <f t="shared" si="26"/>
        <v>-81574.0550000004</v>
      </c>
    </row>
    <row r="155" spans="1:7" ht="28">
      <c r="A155" s="232" t="s">
        <v>330</v>
      </c>
      <c r="B155" s="233"/>
      <c r="C155" s="233" t="s">
        <v>331</v>
      </c>
      <c r="D155" s="234">
        <f t="shared" ref="D155:G155" si="27">D150-D108</f>
        <v>-154583.12466000163</v>
      </c>
      <c r="E155" s="234">
        <f t="shared" si="27"/>
        <v>72880.232330000086</v>
      </c>
      <c r="F155" s="234">
        <f t="shared" si="27"/>
        <v>-19733.37199999977</v>
      </c>
      <c r="G155" s="234">
        <f t="shared" si="27"/>
        <v>-81574.0550000004</v>
      </c>
    </row>
    <row r="156" spans="1:7">
      <c r="A156" s="216" t="s">
        <v>332</v>
      </c>
      <c r="B156" s="217"/>
      <c r="C156" s="217" t="s">
        <v>333</v>
      </c>
      <c r="D156" s="235">
        <f t="shared" ref="D156:G156" si="28">D135+D136-D137+D141-D142</f>
        <v>2218241.6305900002</v>
      </c>
      <c r="E156" s="235">
        <f t="shared" si="28"/>
        <v>0</v>
      </c>
      <c r="F156" s="235">
        <f t="shared" si="28"/>
        <v>2196347.7127999999</v>
      </c>
      <c r="G156" s="235">
        <f t="shared" si="28"/>
        <v>0</v>
      </c>
    </row>
    <row r="157" spans="1:7">
      <c r="A157" s="236" t="s">
        <v>334</v>
      </c>
      <c r="B157" s="237"/>
      <c r="C157" s="237" t="s">
        <v>335</v>
      </c>
      <c r="D157" s="238">
        <f t="shared" ref="D157:G157" si="29">IF(D177=0,0,D156/D177)</f>
        <v>0.49773449962813704</v>
      </c>
      <c r="E157" s="238">
        <f t="shared" si="29"/>
        <v>0</v>
      </c>
      <c r="F157" s="238">
        <f t="shared" si="29"/>
        <v>0.48537047829410301</v>
      </c>
      <c r="G157" s="238">
        <f t="shared" si="29"/>
        <v>0</v>
      </c>
    </row>
    <row r="158" spans="1:7">
      <c r="A158" s="216" t="s">
        <v>336</v>
      </c>
      <c r="B158" s="217"/>
      <c r="C158" s="217" t="s">
        <v>337</v>
      </c>
      <c r="D158" s="235">
        <f t="shared" ref="D158:G158" si="30">D133-D142-D111</f>
        <v>1613860.6593500006</v>
      </c>
      <c r="E158" s="235">
        <f t="shared" si="30"/>
        <v>0</v>
      </c>
      <c r="F158" s="235">
        <f t="shared" si="30"/>
        <v>1635932.7689899998</v>
      </c>
      <c r="G158" s="235">
        <f t="shared" si="30"/>
        <v>0</v>
      </c>
    </row>
    <row r="159" spans="1:7">
      <c r="A159" s="219" t="s">
        <v>338</v>
      </c>
      <c r="B159" s="220"/>
      <c r="C159" s="220" t="s">
        <v>339</v>
      </c>
      <c r="D159" s="239">
        <f t="shared" ref="D159:G159" si="31">D121-D123-D124-D142-D145</f>
        <v>559940.78186999995</v>
      </c>
      <c r="E159" s="239">
        <f t="shared" si="31"/>
        <v>0</v>
      </c>
      <c r="F159" s="239">
        <f t="shared" si="31"/>
        <v>593225.41191999987</v>
      </c>
      <c r="G159" s="239">
        <f t="shared" si="31"/>
        <v>0</v>
      </c>
    </row>
    <row r="160" spans="1:7">
      <c r="A160" s="219" t="s">
        <v>340</v>
      </c>
      <c r="B160" s="220"/>
      <c r="C160" s="220" t="s">
        <v>341</v>
      </c>
      <c r="D160" s="240">
        <f t="shared" ref="D160:G160" si="32">IF(D175=0,"-",1000*D158/D175)</f>
        <v>2502.7691939736064</v>
      </c>
      <c r="E160" s="240">
        <f t="shared" si="32"/>
        <v>0</v>
      </c>
      <c r="F160" s="240">
        <f t="shared" si="32"/>
        <v>2504.0413290791448</v>
      </c>
      <c r="G160" s="240">
        <f t="shared" si="32"/>
        <v>0</v>
      </c>
    </row>
    <row r="161" spans="1:7">
      <c r="A161" s="219" t="s">
        <v>340</v>
      </c>
      <c r="B161" s="220"/>
      <c r="C161" s="220" t="s">
        <v>342</v>
      </c>
      <c r="D161" s="239">
        <f t="shared" ref="D161:G161" si="33">IF(D175=0,0,1000*(D159/D175))</f>
        <v>868.3541117348758</v>
      </c>
      <c r="E161" s="239">
        <f t="shared" si="33"/>
        <v>0</v>
      </c>
      <c r="F161" s="239">
        <f t="shared" si="33"/>
        <v>908.02077998888728</v>
      </c>
      <c r="G161" s="239">
        <f t="shared" si="33"/>
        <v>0</v>
      </c>
    </row>
    <row r="162" spans="1:7">
      <c r="A162" s="236" t="s">
        <v>343</v>
      </c>
      <c r="B162" s="237"/>
      <c r="C162" s="237" t="s">
        <v>344</v>
      </c>
      <c r="D162" s="238">
        <f t="shared" ref="D162:G162" si="34">IF((D22+D23+D65+D66)=0,0,D158/(D22+D23+D65+D66))</f>
        <v>0.70657117002031244</v>
      </c>
      <c r="E162" s="238">
        <f t="shared" si="34"/>
        <v>0</v>
      </c>
      <c r="F162" s="238">
        <f t="shared" si="34"/>
        <v>0.71215692885876036</v>
      </c>
      <c r="G162" s="238">
        <f t="shared" si="34"/>
        <v>0</v>
      </c>
    </row>
    <row r="163" spans="1:7">
      <c r="A163" s="219" t="s">
        <v>345</v>
      </c>
      <c r="B163" s="220"/>
      <c r="C163" s="220" t="s">
        <v>316</v>
      </c>
      <c r="D163" s="218">
        <f t="shared" ref="D163:G163" si="35">D145</f>
        <v>414547.35797000013</v>
      </c>
      <c r="E163" s="218">
        <f t="shared" si="35"/>
        <v>0</v>
      </c>
      <c r="F163" s="218">
        <f t="shared" si="35"/>
        <v>353190.53484000004</v>
      </c>
      <c r="G163" s="218">
        <f t="shared" si="35"/>
        <v>0</v>
      </c>
    </row>
    <row r="164" spans="1:7" ht="28">
      <c r="A164" s="222" t="s">
        <v>346</v>
      </c>
      <c r="B164" s="237"/>
      <c r="C164" s="237" t="s">
        <v>347</v>
      </c>
      <c r="D164" s="241">
        <f t="shared" ref="D164:G164" si="36">IF(D178=0,0,D146/D178)</f>
        <v>7.7995395865910561E-2</v>
      </c>
      <c r="E164" s="241">
        <f t="shared" si="36"/>
        <v>0</v>
      </c>
      <c r="F164" s="241">
        <f t="shared" si="36"/>
        <v>8.066435861059916E-2</v>
      </c>
      <c r="G164" s="241">
        <f t="shared" si="36"/>
        <v>0</v>
      </c>
    </row>
    <row r="165" spans="1:7">
      <c r="A165" s="242" t="s">
        <v>348</v>
      </c>
      <c r="B165" s="243"/>
      <c r="C165" s="243" t="s">
        <v>349</v>
      </c>
      <c r="D165" s="244">
        <f t="shared" ref="D165:G165" si="37">IF(D177=0,0,D180/D177)</f>
        <v>4.6343357644663075E-2</v>
      </c>
      <c r="E165" s="244">
        <f t="shared" si="37"/>
        <v>5.4307055961046416E-2</v>
      </c>
      <c r="F165" s="244">
        <f t="shared" si="37"/>
        <v>4.7924315711684616E-2</v>
      </c>
      <c r="G165" s="244">
        <f t="shared" si="37"/>
        <v>4.8124133769494079E-2</v>
      </c>
    </row>
    <row r="166" spans="1:7">
      <c r="A166" s="219" t="s">
        <v>350</v>
      </c>
      <c r="B166" s="220"/>
      <c r="C166" s="220" t="s">
        <v>218</v>
      </c>
      <c r="D166" s="218">
        <f t="shared" ref="D166:G166" si="38">D55</f>
        <v>128590.31877999997</v>
      </c>
      <c r="E166" s="218">
        <f t="shared" si="38"/>
        <v>158113.60000000001</v>
      </c>
      <c r="F166" s="218">
        <f t="shared" si="38"/>
        <v>127064.78499999997</v>
      </c>
      <c r="G166" s="218">
        <f t="shared" si="38"/>
        <v>119960.79499999998</v>
      </c>
    </row>
    <row r="167" spans="1:7">
      <c r="A167" s="236" t="s">
        <v>351</v>
      </c>
      <c r="B167" s="237"/>
      <c r="C167" s="237" t="s">
        <v>352</v>
      </c>
      <c r="D167" s="238">
        <f t="shared" ref="D167:G167" si="39">IF(0=D111,0,(D44+D45+D46+D47+D48)/D111)</f>
        <v>9.4357277066187805E-3</v>
      </c>
      <c r="E167" s="238">
        <f t="shared" si="39"/>
        <v>0</v>
      </c>
      <c r="F167" s="238">
        <f t="shared" si="39"/>
        <v>1.5755496335823283E-2</v>
      </c>
      <c r="G167" s="238">
        <f t="shared" si="39"/>
        <v>0</v>
      </c>
    </row>
    <row r="168" spans="1:7">
      <c r="A168" s="219" t="s">
        <v>353</v>
      </c>
      <c r="B168" s="217"/>
      <c r="C168" s="217" t="s">
        <v>354</v>
      </c>
      <c r="D168" s="218">
        <f t="shared" ref="D168:G168" si="40">D38-D44</f>
        <v>31836.785839999997</v>
      </c>
      <c r="E168" s="218">
        <f t="shared" si="40"/>
        <v>22524.9</v>
      </c>
      <c r="F168" s="218">
        <f t="shared" si="40"/>
        <v>24147.504999999997</v>
      </c>
      <c r="G168" s="218">
        <f t="shared" si="40"/>
        <v>16645.55</v>
      </c>
    </row>
    <row r="169" spans="1:7">
      <c r="A169" s="236" t="s">
        <v>355</v>
      </c>
      <c r="B169" s="237"/>
      <c r="C169" s="237" t="s">
        <v>356</v>
      </c>
      <c r="D169" s="221">
        <f t="shared" ref="D169:G169" si="41">IF(D177=0,0,D168/D177)</f>
        <v>7.1436161197758344E-3</v>
      </c>
      <c r="E169" s="221">
        <f t="shared" si="41"/>
        <v>4.8097942620690323E-3</v>
      </c>
      <c r="F169" s="221">
        <f t="shared" si="41"/>
        <v>5.3363527018759046E-3</v>
      </c>
      <c r="G169" s="221">
        <f t="shared" si="41"/>
        <v>3.7063286409384612E-3</v>
      </c>
    </row>
    <row r="170" spans="1:7">
      <c r="A170" s="219" t="s">
        <v>357</v>
      </c>
      <c r="B170" s="220"/>
      <c r="C170" s="220" t="s">
        <v>358</v>
      </c>
      <c r="D170" s="218">
        <f t="shared" ref="D170:G170" si="42">SUM(D82:D87)+SUM(D89:D94)</f>
        <v>214566.27603000001</v>
      </c>
      <c r="E170" s="218">
        <f t="shared" si="42"/>
        <v>317875.51</v>
      </c>
      <c r="F170" s="218">
        <f t="shared" si="42"/>
        <v>266163.56400000001</v>
      </c>
      <c r="G170" s="218">
        <f t="shared" si="42"/>
        <v>285027.94</v>
      </c>
    </row>
    <row r="171" spans="1:7">
      <c r="A171" s="219" t="s">
        <v>359</v>
      </c>
      <c r="B171" s="220"/>
      <c r="C171" s="220" t="s">
        <v>360</v>
      </c>
      <c r="D171" s="239">
        <f t="shared" ref="D171:G171" si="43">SUM(D96:D102)+SUM(D104:D105)</f>
        <v>60903.197880000007</v>
      </c>
      <c r="E171" s="239">
        <f t="shared" si="43"/>
        <v>100282.69</v>
      </c>
      <c r="F171" s="239">
        <f t="shared" si="43"/>
        <v>102599.946</v>
      </c>
      <c r="G171" s="239">
        <f t="shared" si="43"/>
        <v>114013.344</v>
      </c>
    </row>
    <row r="172" spans="1:7">
      <c r="A172" s="242" t="s">
        <v>361</v>
      </c>
      <c r="B172" s="243"/>
      <c r="C172" s="243" t="s">
        <v>362</v>
      </c>
      <c r="D172" s="244">
        <f t="shared" ref="D172:G172" si="44">IF(D184=0,0,D170/D184)</f>
        <v>4.7575489405164338E-2</v>
      </c>
      <c r="E172" s="244">
        <f t="shared" si="44"/>
        <v>6.9147507962115842E-2</v>
      </c>
      <c r="F172" s="244">
        <f t="shared" si="44"/>
        <v>5.7550664453157985E-2</v>
      </c>
      <c r="G172" s="244">
        <f t="shared" si="44"/>
        <v>6.1223594958211537E-2</v>
      </c>
    </row>
    <row r="174" spans="1:7">
      <c r="A174" s="135" t="s">
        <v>363</v>
      </c>
      <c r="C174" s="135"/>
      <c r="D174" s="161"/>
      <c r="E174" s="161"/>
      <c r="F174" s="161"/>
      <c r="G174" s="161"/>
    </row>
    <row r="175" spans="1:7" s="91" customFormat="1">
      <c r="A175" s="84" t="s">
        <v>364</v>
      </c>
      <c r="B175" s="84"/>
      <c r="C175" s="84" t="s">
        <v>365</v>
      </c>
      <c r="D175" s="245">
        <v>644830</v>
      </c>
      <c r="E175" s="246">
        <v>654233</v>
      </c>
      <c r="F175" s="246">
        <v>653317</v>
      </c>
      <c r="G175" s="246">
        <v>663190</v>
      </c>
    </row>
    <row r="176" spans="1:7">
      <c r="A176" s="247" t="s">
        <v>366</v>
      </c>
      <c r="B176" s="248"/>
      <c r="C176" s="248"/>
      <c r="D176" s="248"/>
      <c r="E176" s="248"/>
      <c r="F176" s="248"/>
      <c r="G176" s="248"/>
    </row>
    <row r="177" spans="1:7">
      <c r="A177" s="248" t="s">
        <v>367</v>
      </c>
      <c r="B177" s="248"/>
      <c r="C177" s="248" t="s">
        <v>368</v>
      </c>
      <c r="D177" s="249">
        <f t="shared" ref="D177:G177" si="45">SUM(D22:D32)+SUM(D44:D53)+SUM(D65:D72)+D75</f>
        <v>4456676.4655599985</v>
      </c>
      <c r="E177" s="249">
        <f t="shared" si="45"/>
        <v>4683131.7043300001</v>
      </c>
      <c r="F177" s="249">
        <f t="shared" si="45"/>
        <v>4525095.3880000003</v>
      </c>
      <c r="G177" s="249">
        <f t="shared" si="45"/>
        <v>4491115.4979999997</v>
      </c>
    </row>
    <row r="178" spans="1:7">
      <c r="A178" s="248" t="s">
        <v>369</v>
      </c>
      <c r="B178" s="248"/>
      <c r="C178" s="248" t="s">
        <v>370</v>
      </c>
      <c r="D178" s="249">
        <f t="shared" ref="D178" si="46">D78-D17-D20-D59-D63-D64</f>
        <v>4531316.8675700007</v>
      </c>
      <c r="E178" s="249">
        <f>E78-E17-E20-E59-E63-E64</f>
        <v>4684274.7379400004</v>
      </c>
      <c r="F178" s="249">
        <f>F78-F17-F20-F59-F63-F64</f>
        <v>4596918.1494399998</v>
      </c>
      <c r="G178" s="249">
        <f>G78-G17-G20-G59-G63-G64</f>
        <v>4609573.6430000002</v>
      </c>
    </row>
    <row r="179" spans="1:7">
      <c r="A179" s="248"/>
      <c r="B179" s="248"/>
      <c r="C179" s="248" t="s">
        <v>371</v>
      </c>
      <c r="D179" s="249">
        <f t="shared" ref="D179:G179" si="47">D178+D170</f>
        <v>4745883.143600001</v>
      </c>
      <c r="E179" s="249">
        <f t="shared" si="47"/>
        <v>5002150.2479400001</v>
      </c>
      <c r="F179" s="249">
        <f t="shared" si="47"/>
        <v>4863081.7134400001</v>
      </c>
      <c r="G179" s="249">
        <f t="shared" si="47"/>
        <v>4894601.5830000006</v>
      </c>
    </row>
    <row r="180" spans="1:7">
      <c r="A180" s="248" t="s">
        <v>372</v>
      </c>
      <c r="B180" s="248"/>
      <c r="C180" s="248" t="s">
        <v>373</v>
      </c>
      <c r="D180" s="249">
        <f t="shared" ref="D180" si="48">D38-D44+D8+D9+D10+D16-D33</f>
        <v>206537.35134999998</v>
      </c>
      <c r="E180" s="249">
        <f>E38-E44+E8+E9+E10+E16-E33</f>
        <v>254327.09554000001</v>
      </c>
      <c r="F180" s="249">
        <f>F38-F44+F8+F9+F10+F16-F33</f>
        <v>216862.1</v>
      </c>
      <c r="G180" s="249">
        <f>G38-G44+G8+G9+G10+G16-G33</f>
        <v>216131.04300000001</v>
      </c>
    </row>
    <row r="181" spans="1:7" ht="27.5" customHeight="1">
      <c r="A181" s="250" t="s">
        <v>374</v>
      </c>
      <c r="B181" s="251"/>
      <c r="C181" s="251" t="s">
        <v>375</v>
      </c>
      <c r="D181" s="252">
        <f t="shared" ref="D181:G181" si="49">D22+D23+D24+D25+D26+D29+SUM(D44:D47)+SUM(D49:D53)-D54+D32-D33+SUM(D65:D70)+D72</f>
        <v>4302613.1697399989</v>
      </c>
      <c r="E181" s="252">
        <f t="shared" si="49"/>
        <v>4566161.4043300003</v>
      </c>
      <c r="F181" s="252">
        <f t="shared" si="49"/>
        <v>4500252.3920000009</v>
      </c>
      <c r="G181" s="252">
        <f t="shared" si="49"/>
        <v>4464018.3080000002</v>
      </c>
    </row>
    <row r="182" spans="1:7">
      <c r="A182" s="251" t="s">
        <v>376</v>
      </c>
      <c r="B182" s="251"/>
      <c r="C182" s="251" t="s">
        <v>377</v>
      </c>
      <c r="D182" s="252">
        <f t="shared" ref="D182:G182" si="50">D181+D171</f>
        <v>4363516.3676199988</v>
      </c>
      <c r="E182" s="252">
        <f t="shared" si="50"/>
        <v>4666444.0943300007</v>
      </c>
      <c r="F182" s="252">
        <f t="shared" si="50"/>
        <v>4602852.3380000014</v>
      </c>
      <c r="G182" s="252">
        <f t="shared" si="50"/>
        <v>4578031.6519999998</v>
      </c>
    </row>
    <row r="183" spans="1:7">
      <c r="A183" s="251" t="s">
        <v>378</v>
      </c>
      <c r="B183" s="251"/>
      <c r="C183" s="251" t="s">
        <v>379</v>
      </c>
      <c r="D183" s="252">
        <f t="shared" ref="D183" si="51">D4+D5-D7+D38+D39+D40+D41+D43+D13-D16+D57+D58+D60+D62</f>
        <v>4295450.9347800007</v>
      </c>
      <c r="E183" s="252">
        <f>E4+E5-E7+E38+E39+E40+E41+E43+E13-E16+E57+E58+E60+E62</f>
        <v>4279188.352</v>
      </c>
      <c r="F183" s="252">
        <f>F4+F5-F7+F38+F39+F40+F41+F43+F13-F16+F57+F58+F60+F62</f>
        <v>4358692.926</v>
      </c>
      <c r="G183" s="252">
        <f>G4+G5-G7+G38+G39+G40+G41+G43+G13-G16+G57+G58+G60+G62</f>
        <v>4370496.4569999995</v>
      </c>
    </row>
    <row r="184" spans="1:7">
      <c r="A184" s="251" t="s">
        <v>380</v>
      </c>
      <c r="B184" s="251"/>
      <c r="C184" s="251" t="s">
        <v>381</v>
      </c>
      <c r="D184" s="252">
        <f t="shared" ref="D184:G184" si="52">D183+D170</f>
        <v>4510017.210810001</v>
      </c>
      <c r="E184" s="252">
        <f t="shared" si="52"/>
        <v>4597063.8619999997</v>
      </c>
      <c r="F184" s="252">
        <f t="shared" si="52"/>
        <v>4624856.49</v>
      </c>
      <c r="G184" s="252">
        <f t="shared" si="52"/>
        <v>4655524.3969999999</v>
      </c>
    </row>
    <row r="185" spans="1:7">
      <c r="A185" s="251"/>
      <c r="B185" s="251"/>
      <c r="C185" s="251" t="s">
        <v>382</v>
      </c>
      <c r="D185" s="252">
        <f t="shared" ref="D185:G186" si="53">D181-D183</f>
        <v>7162.2349599981681</v>
      </c>
      <c r="E185" s="252">
        <f t="shared" si="53"/>
        <v>286973.05233000033</v>
      </c>
      <c r="F185" s="252">
        <f t="shared" si="53"/>
        <v>141559.46600000095</v>
      </c>
      <c r="G185" s="252">
        <f t="shared" si="53"/>
        <v>93521.851000000723</v>
      </c>
    </row>
    <row r="186" spans="1:7">
      <c r="A186" s="251"/>
      <c r="B186" s="251"/>
      <c r="C186" s="251" t="s">
        <v>383</v>
      </c>
      <c r="D186" s="252">
        <f t="shared" si="53"/>
        <v>-146500.84319000226</v>
      </c>
      <c r="E186" s="252">
        <f t="shared" si="53"/>
        <v>69380.232330000959</v>
      </c>
      <c r="F186" s="252">
        <f t="shared" si="53"/>
        <v>-22004.151999998838</v>
      </c>
      <c r="G186" s="252">
        <f t="shared" si="53"/>
        <v>-77492.745000000112</v>
      </c>
    </row>
  </sheetData>
  <sheetProtection selectLockedCells="1" sort="0" autoFilter="0" pivotTables="0"/>
  <autoFilter ref="A1:G79" xr:uid="{00000000-0009-0000-0000-000014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8" man="1"/>
    <brk id="148" max="8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G186"/>
  <sheetViews>
    <sheetView tabSelected="1" zoomScale="115" zoomScaleNormal="115" workbookViewId="0">
      <pane xSplit="3" ySplit="2" topLeftCell="D3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11.5" defaultRowHeight="13"/>
  <cols>
    <col min="1" max="1" width="15.1640625" style="84" customWidth="1"/>
    <col min="2" max="2" width="3.6640625" style="84" customWidth="1"/>
    <col min="3" max="3" width="44.6640625" style="84" customWidth="1"/>
    <col min="4" max="5" width="11.5" style="84"/>
    <col min="6" max="7" width="11.5" style="84" customWidth="1"/>
    <col min="8" max="16384" width="11.5" style="84"/>
  </cols>
  <sheetData>
    <row r="1" spans="1:7" s="77" customFormat="1" ht="18" customHeight="1">
      <c r="A1" s="319" t="s">
        <v>156</v>
      </c>
      <c r="B1" s="437" t="s">
        <v>626</v>
      </c>
      <c r="C1" s="437" t="s">
        <v>147</v>
      </c>
      <c r="D1" s="74" t="s">
        <v>7</v>
      </c>
      <c r="E1" s="75" t="s">
        <v>9</v>
      </c>
      <c r="F1" s="74" t="s">
        <v>7</v>
      </c>
      <c r="G1" s="75" t="s">
        <v>9</v>
      </c>
    </row>
    <row r="2" spans="1:7" s="83" customFormat="1" ht="15" customHeight="1">
      <c r="A2" s="78"/>
      <c r="B2" s="79"/>
      <c r="C2" s="80" t="s">
        <v>158</v>
      </c>
      <c r="D2" s="81">
        <v>2014</v>
      </c>
      <c r="E2" s="82">
        <v>2015</v>
      </c>
      <c r="F2" s="81">
        <v>2015</v>
      </c>
      <c r="G2" s="82">
        <v>2016</v>
      </c>
    </row>
    <row r="3" spans="1:7" ht="15" customHeight="1">
      <c r="A3" s="678" t="s">
        <v>159</v>
      </c>
      <c r="B3" s="679"/>
      <c r="C3" s="679"/>
      <c r="D3" s="91"/>
      <c r="E3" s="394" t="s">
        <v>389</v>
      </c>
      <c r="F3" s="85"/>
      <c r="G3" s="85"/>
    </row>
    <row r="4" spans="1:7" s="91" customFormat="1" ht="12.75" customHeight="1">
      <c r="A4" s="86">
        <v>30</v>
      </c>
      <c r="B4" s="87"/>
      <c r="C4" s="88" t="s">
        <v>14</v>
      </c>
      <c r="D4" s="89">
        <v>375615</v>
      </c>
      <c r="E4" s="90">
        <v>377622</v>
      </c>
      <c r="F4" s="90">
        <v>377003</v>
      </c>
      <c r="G4" s="90">
        <v>383090</v>
      </c>
    </row>
    <row r="5" spans="1:7" s="91" customFormat="1" ht="12.75" customHeight="1">
      <c r="A5" s="92">
        <v>31</v>
      </c>
      <c r="B5" s="93"/>
      <c r="C5" s="94" t="s">
        <v>160</v>
      </c>
      <c r="D5" s="95">
        <v>146196</v>
      </c>
      <c r="E5" s="96">
        <v>159773</v>
      </c>
      <c r="F5" s="96">
        <v>156889</v>
      </c>
      <c r="G5" s="96">
        <v>164382</v>
      </c>
    </row>
    <row r="6" spans="1:7" s="91" customFormat="1" ht="12.75" customHeight="1">
      <c r="A6" s="97" t="s">
        <v>17</v>
      </c>
      <c r="B6" s="98"/>
      <c r="C6" s="99" t="s">
        <v>161</v>
      </c>
      <c r="D6" s="100">
        <v>12127</v>
      </c>
      <c r="E6" s="96">
        <v>11278</v>
      </c>
      <c r="F6" s="96">
        <v>10327</v>
      </c>
      <c r="G6" s="96">
        <v>11148</v>
      </c>
    </row>
    <row r="7" spans="1:7" s="91" customFormat="1" ht="12.75" customHeight="1">
      <c r="A7" s="97" t="s">
        <v>162</v>
      </c>
      <c r="B7" s="98"/>
      <c r="C7" s="99" t="s">
        <v>163</v>
      </c>
      <c r="D7" s="100">
        <v>26</v>
      </c>
      <c r="E7" s="96">
        <v>285</v>
      </c>
      <c r="F7" s="96">
        <v>1</v>
      </c>
      <c r="G7" s="96">
        <v>0</v>
      </c>
    </row>
    <row r="8" spans="1:7" s="91" customFormat="1" ht="12.75" customHeight="1">
      <c r="A8" s="101">
        <v>330</v>
      </c>
      <c r="B8" s="93"/>
      <c r="C8" s="94" t="s">
        <v>164</v>
      </c>
      <c r="D8" s="95">
        <v>48699</v>
      </c>
      <c r="E8" s="96">
        <v>35212</v>
      </c>
      <c r="F8" s="96">
        <v>36694</v>
      </c>
      <c r="G8" s="96">
        <v>38223</v>
      </c>
    </row>
    <row r="9" spans="1:7" s="91" customFormat="1" ht="12.75" customHeight="1">
      <c r="A9" s="101">
        <v>332</v>
      </c>
      <c r="B9" s="93"/>
      <c r="C9" s="94" t="s">
        <v>165</v>
      </c>
      <c r="D9" s="95">
        <v>0</v>
      </c>
      <c r="E9" s="96">
        <v>0</v>
      </c>
      <c r="F9" s="96">
        <v>0</v>
      </c>
      <c r="G9" s="96">
        <v>0</v>
      </c>
    </row>
    <row r="10" spans="1:7" s="91" customFormat="1" ht="12.75" customHeight="1">
      <c r="A10" s="101">
        <v>339</v>
      </c>
      <c r="B10" s="93"/>
      <c r="C10" s="94" t="s">
        <v>166</v>
      </c>
      <c r="D10" s="95">
        <v>0</v>
      </c>
      <c r="E10" s="96">
        <v>0</v>
      </c>
      <c r="F10" s="96">
        <v>0</v>
      </c>
      <c r="G10" s="96">
        <v>0</v>
      </c>
    </row>
    <row r="11" spans="1:7" s="91" customFormat="1" ht="12.75" customHeight="1">
      <c r="A11" s="92">
        <v>350</v>
      </c>
      <c r="B11" s="93"/>
      <c r="C11" s="94" t="s">
        <v>167</v>
      </c>
      <c r="D11" s="95">
        <v>138509</v>
      </c>
      <c r="E11" s="96">
        <v>12861</v>
      </c>
      <c r="F11" s="96">
        <v>48931</v>
      </c>
      <c r="G11" s="96">
        <v>13188</v>
      </c>
    </row>
    <row r="12" spans="1:7" s="106" customFormat="1" ht="14">
      <c r="A12" s="102">
        <v>351</v>
      </c>
      <c r="B12" s="103"/>
      <c r="C12" s="104" t="s">
        <v>168</v>
      </c>
      <c r="D12" s="105">
        <v>127203</v>
      </c>
      <c r="E12" s="96">
        <v>0</v>
      </c>
      <c r="F12" s="96">
        <v>78494</v>
      </c>
      <c r="G12" s="96">
        <v>0</v>
      </c>
    </row>
    <row r="13" spans="1:7" s="91" customFormat="1" ht="12.75" customHeight="1">
      <c r="A13" s="92">
        <v>36</v>
      </c>
      <c r="B13" s="93"/>
      <c r="C13" s="94" t="s">
        <v>169</v>
      </c>
      <c r="D13" s="130">
        <v>930674</v>
      </c>
      <c r="E13" s="96">
        <v>937740</v>
      </c>
      <c r="F13" s="96">
        <v>944051</v>
      </c>
      <c r="G13" s="96">
        <v>991266</v>
      </c>
    </row>
    <row r="14" spans="1:7" s="91" customFormat="1" ht="12.75" customHeight="1">
      <c r="A14" s="107" t="s">
        <v>170</v>
      </c>
      <c r="B14" s="93"/>
      <c r="C14" s="108" t="s">
        <v>171</v>
      </c>
      <c r="D14" s="130">
        <v>415310</v>
      </c>
      <c r="E14" s="96">
        <v>411238</v>
      </c>
      <c r="F14" s="96">
        <v>433888</v>
      </c>
      <c r="G14" s="96">
        <v>470193</v>
      </c>
    </row>
    <row r="15" spans="1:7" s="91" customFormat="1" ht="12.75" customHeight="1">
      <c r="A15" s="107" t="s">
        <v>172</v>
      </c>
      <c r="B15" s="93"/>
      <c r="C15" s="108" t="s">
        <v>173</v>
      </c>
      <c r="D15" s="130">
        <v>132804</v>
      </c>
      <c r="E15" s="96">
        <v>145283</v>
      </c>
      <c r="F15" s="96">
        <v>141820</v>
      </c>
      <c r="G15" s="96">
        <v>148019</v>
      </c>
    </row>
    <row r="16" spans="1:7" s="111" customFormat="1" ht="39.5" customHeight="1">
      <c r="A16" s="107" t="s">
        <v>174</v>
      </c>
      <c r="B16" s="109"/>
      <c r="C16" s="108" t="s">
        <v>175</v>
      </c>
      <c r="D16" s="395">
        <v>0</v>
      </c>
      <c r="E16" s="96">
        <v>0</v>
      </c>
      <c r="F16" s="96">
        <v>0</v>
      </c>
      <c r="G16" s="96">
        <v>0</v>
      </c>
    </row>
    <row r="17" spans="1:7" s="113" customFormat="1">
      <c r="A17" s="92">
        <v>37</v>
      </c>
      <c r="B17" s="93"/>
      <c r="C17" s="94" t="s">
        <v>176</v>
      </c>
      <c r="D17" s="130">
        <v>270194</v>
      </c>
      <c r="E17" s="96">
        <v>286104</v>
      </c>
      <c r="F17" s="96">
        <v>278103</v>
      </c>
      <c r="G17" s="96">
        <v>297532</v>
      </c>
    </row>
    <row r="18" spans="1:7" s="113" customFormat="1">
      <c r="A18" s="114" t="s">
        <v>177</v>
      </c>
      <c r="B18" s="98"/>
      <c r="C18" s="99" t="s">
        <v>178</v>
      </c>
      <c r="D18" s="130">
        <v>0</v>
      </c>
      <c r="E18" s="96">
        <v>0</v>
      </c>
      <c r="F18" s="96">
        <v>0</v>
      </c>
      <c r="G18" s="96">
        <v>0</v>
      </c>
    </row>
    <row r="19" spans="1:7" s="113" customFormat="1">
      <c r="A19" s="114" t="s">
        <v>179</v>
      </c>
      <c r="B19" s="98"/>
      <c r="C19" s="99" t="s">
        <v>180</v>
      </c>
      <c r="D19" s="130">
        <v>71493</v>
      </c>
      <c r="E19" s="96">
        <v>72700</v>
      </c>
      <c r="F19" s="96">
        <v>75500</v>
      </c>
      <c r="G19" s="96">
        <v>77068</v>
      </c>
    </row>
    <row r="20" spans="1:7" s="91" customFormat="1" ht="12.75" customHeight="1">
      <c r="A20" s="116">
        <v>39</v>
      </c>
      <c r="B20" s="117"/>
      <c r="C20" s="118" t="s">
        <v>181</v>
      </c>
      <c r="D20" s="177">
        <v>145109</v>
      </c>
      <c r="E20" s="120">
        <v>151835</v>
      </c>
      <c r="F20" s="120">
        <v>149636</v>
      </c>
      <c r="G20" s="120">
        <v>151277</v>
      </c>
    </row>
    <row r="21" spans="1:7" ht="12.75" customHeight="1">
      <c r="A21" s="121"/>
      <c r="B21" s="121"/>
      <c r="C21" s="122" t="s">
        <v>182</v>
      </c>
      <c r="D21" s="123">
        <f t="shared" ref="D21:G21" si="0">D4+D5+SUM(D8:D13)+D17</f>
        <v>2037090</v>
      </c>
      <c r="E21" s="123">
        <f t="shared" si="0"/>
        <v>1809312</v>
      </c>
      <c r="F21" s="123">
        <f t="shared" si="0"/>
        <v>1920165</v>
      </c>
      <c r="G21" s="123">
        <f t="shared" si="0"/>
        <v>1887681</v>
      </c>
    </row>
    <row r="22" spans="1:7" s="91" customFormat="1" ht="12.75" customHeight="1">
      <c r="A22" s="101" t="s">
        <v>183</v>
      </c>
      <c r="B22" s="93"/>
      <c r="C22" s="94" t="s">
        <v>184</v>
      </c>
      <c r="D22" s="95">
        <v>606112</v>
      </c>
      <c r="E22" s="124">
        <v>614120</v>
      </c>
      <c r="F22" s="124">
        <v>621553</v>
      </c>
      <c r="G22" s="124">
        <v>636630</v>
      </c>
    </row>
    <row r="23" spans="1:7" s="91" customFormat="1" ht="12.75" customHeight="1">
      <c r="A23" s="101" t="s">
        <v>185</v>
      </c>
      <c r="B23" s="93"/>
      <c r="C23" s="94" t="s">
        <v>186</v>
      </c>
      <c r="D23" s="95">
        <v>187641</v>
      </c>
      <c r="E23" s="124">
        <v>179849</v>
      </c>
      <c r="F23" s="124">
        <v>188923</v>
      </c>
      <c r="G23" s="124">
        <v>182997</v>
      </c>
    </row>
    <row r="24" spans="1:7" s="125" customFormat="1" ht="12.75" customHeight="1">
      <c r="A24" s="92">
        <v>41</v>
      </c>
      <c r="B24" s="93"/>
      <c r="C24" s="94" t="s">
        <v>187</v>
      </c>
      <c r="D24" s="95">
        <v>14102</v>
      </c>
      <c r="E24" s="124">
        <v>34630</v>
      </c>
      <c r="F24" s="124">
        <v>57654</v>
      </c>
      <c r="G24" s="124">
        <v>35247</v>
      </c>
    </row>
    <row r="25" spans="1:7" s="91" customFormat="1" ht="12.75" customHeight="1">
      <c r="A25" s="126">
        <v>42</v>
      </c>
      <c r="B25" s="127"/>
      <c r="C25" s="94" t="s">
        <v>188</v>
      </c>
      <c r="D25" s="95">
        <v>144755</v>
      </c>
      <c r="E25" s="124">
        <v>143338</v>
      </c>
      <c r="F25" s="124">
        <v>147184</v>
      </c>
      <c r="G25" s="124">
        <v>147980</v>
      </c>
    </row>
    <row r="26" spans="1:7" s="129" customFormat="1" ht="12.75" customHeight="1">
      <c r="A26" s="102">
        <v>430</v>
      </c>
      <c r="B26" s="93"/>
      <c r="C26" s="94" t="s">
        <v>189</v>
      </c>
      <c r="D26" s="112">
        <v>5703</v>
      </c>
      <c r="E26" s="128">
        <v>3805</v>
      </c>
      <c r="F26" s="128">
        <v>5425</v>
      </c>
      <c r="G26" s="128">
        <v>4842</v>
      </c>
    </row>
    <row r="27" spans="1:7" s="129" customFormat="1" ht="12.75" customHeight="1">
      <c r="A27" s="102">
        <v>431</v>
      </c>
      <c r="B27" s="93"/>
      <c r="C27" s="94" t="s">
        <v>190</v>
      </c>
      <c r="D27" s="112">
        <v>0</v>
      </c>
      <c r="E27" s="128">
        <v>0</v>
      </c>
      <c r="F27" s="128">
        <v>0</v>
      </c>
      <c r="G27" s="128">
        <v>0</v>
      </c>
    </row>
    <row r="28" spans="1:7" s="129" customFormat="1" ht="12.75" customHeight="1">
      <c r="A28" s="102">
        <v>432</v>
      </c>
      <c r="B28" s="93"/>
      <c r="C28" s="94" t="s">
        <v>191</v>
      </c>
      <c r="D28" s="112">
        <v>0</v>
      </c>
      <c r="E28" s="128">
        <v>0</v>
      </c>
      <c r="F28" s="128">
        <v>3</v>
      </c>
      <c r="G28" s="128">
        <v>4</v>
      </c>
    </row>
    <row r="29" spans="1:7" s="129" customFormat="1" ht="12.75" customHeight="1">
      <c r="A29" s="102">
        <v>439</v>
      </c>
      <c r="B29" s="93"/>
      <c r="C29" s="94" t="s">
        <v>192</v>
      </c>
      <c r="D29" s="112"/>
      <c r="E29" s="128">
        <v>0</v>
      </c>
      <c r="F29" s="128">
        <v>0</v>
      </c>
      <c r="G29" s="128">
        <v>0</v>
      </c>
    </row>
    <row r="30" spans="1:7" s="91" customFormat="1" ht="14">
      <c r="A30" s="102">
        <v>450</v>
      </c>
      <c r="B30" s="103"/>
      <c r="C30" s="104" t="s">
        <v>193</v>
      </c>
      <c r="D30" s="130">
        <v>34375</v>
      </c>
      <c r="E30" s="96">
        <v>13499</v>
      </c>
      <c r="F30" s="96">
        <v>12042</v>
      </c>
      <c r="G30" s="96">
        <v>17977</v>
      </c>
    </row>
    <row r="31" spans="1:7" s="488" customFormat="1" ht="30.5" customHeight="1">
      <c r="A31" s="102">
        <v>451</v>
      </c>
      <c r="B31" s="103"/>
      <c r="C31" s="104" t="s">
        <v>194</v>
      </c>
      <c r="D31" s="131">
        <v>0</v>
      </c>
      <c r="E31" s="144">
        <v>0</v>
      </c>
      <c r="F31" s="144">
        <v>0</v>
      </c>
      <c r="G31" s="144">
        <v>0</v>
      </c>
    </row>
    <row r="32" spans="1:7" s="91" customFormat="1" ht="12.75" customHeight="1">
      <c r="A32" s="92">
        <v>46</v>
      </c>
      <c r="B32" s="93"/>
      <c r="C32" s="94" t="s">
        <v>195</v>
      </c>
      <c r="D32" s="95">
        <v>462587</v>
      </c>
      <c r="E32" s="124">
        <v>472065</v>
      </c>
      <c r="F32" s="124">
        <v>479283</v>
      </c>
      <c r="G32" s="124">
        <v>472984</v>
      </c>
    </row>
    <row r="33" spans="1:7" s="106" customFormat="1" ht="12.75" customHeight="1">
      <c r="A33" s="114" t="s">
        <v>196</v>
      </c>
      <c r="B33" s="98"/>
      <c r="C33" s="99" t="s">
        <v>197</v>
      </c>
      <c r="D33" s="95">
        <v>0</v>
      </c>
      <c r="E33" s="132">
        <v>0</v>
      </c>
      <c r="F33" s="132">
        <v>0</v>
      </c>
      <c r="G33" s="132">
        <v>0</v>
      </c>
    </row>
    <row r="34" spans="1:7" s="91" customFormat="1" ht="15" customHeight="1">
      <c r="A34" s="92">
        <v>47</v>
      </c>
      <c r="B34" s="93"/>
      <c r="C34" s="94" t="s">
        <v>176</v>
      </c>
      <c r="D34" s="95">
        <v>270194</v>
      </c>
      <c r="E34" s="124">
        <v>286104</v>
      </c>
      <c r="F34" s="124">
        <v>278103</v>
      </c>
      <c r="G34" s="124">
        <v>297532</v>
      </c>
    </row>
    <row r="35" spans="1:7" s="91" customFormat="1" ht="15" customHeight="1">
      <c r="A35" s="116">
        <v>49</v>
      </c>
      <c r="B35" s="117"/>
      <c r="C35" s="118" t="s">
        <v>198</v>
      </c>
      <c r="D35" s="177">
        <v>145109</v>
      </c>
      <c r="E35" s="133">
        <v>151835</v>
      </c>
      <c r="F35" s="133">
        <v>149636</v>
      </c>
      <c r="G35" s="133">
        <v>151277</v>
      </c>
    </row>
    <row r="36" spans="1:7" ht="13.5" customHeight="1">
      <c r="A36" s="121"/>
      <c r="B36" s="134"/>
      <c r="C36" s="122" t="s">
        <v>199</v>
      </c>
      <c r="D36" s="123">
        <f t="shared" ref="D36:G36" si="1">D22+D23+D24+D25+D26+D27+D28+D29+D30+D31+D32+D34</f>
        <v>1725469</v>
      </c>
      <c r="E36" s="123">
        <f t="shared" si="1"/>
        <v>1747410</v>
      </c>
      <c r="F36" s="123">
        <f t="shared" si="1"/>
        <v>1790170</v>
      </c>
      <c r="G36" s="123">
        <f t="shared" si="1"/>
        <v>1796193</v>
      </c>
    </row>
    <row r="37" spans="1:7" s="135" customFormat="1" ht="15" customHeight="1">
      <c r="A37" s="121"/>
      <c r="B37" s="134"/>
      <c r="C37" s="122" t="s">
        <v>200</v>
      </c>
      <c r="D37" s="123">
        <f t="shared" ref="D37:G37" si="2">D36-D21</f>
        <v>-311621</v>
      </c>
      <c r="E37" s="123">
        <f t="shared" si="2"/>
        <v>-61902</v>
      </c>
      <c r="F37" s="123">
        <f t="shared" si="2"/>
        <v>-129995</v>
      </c>
      <c r="G37" s="123">
        <f t="shared" si="2"/>
        <v>-91488</v>
      </c>
    </row>
    <row r="38" spans="1:7" s="106" customFormat="1" ht="15" customHeight="1">
      <c r="A38" s="101">
        <v>340</v>
      </c>
      <c r="B38" s="93"/>
      <c r="C38" s="94" t="s">
        <v>201</v>
      </c>
      <c r="D38" s="130">
        <v>7126</v>
      </c>
      <c r="E38" s="124">
        <v>8583</v>
      </c>
      <c r="F38" s="124">
        <v>6620</v>
      </c>
      <c r="G38" s="124">
        <v>6259</v>
      </c>
    </row>
    <row r="39" spans="1:7" s="106" customFormat="1" ht="15" customHeight="1">
      <c r="A39" s="101">
        <v>341</v>
      </c>
      <c r="B39" s="93"/>
      <c r="C39" s="94" t="s">
        <v>202</v>
      </c>
      <c r="D39" s="95">
        <v>0</v>
      </c>
      <c r="E39" s="124">
        <v>0</v>
      </c>
      <c r="F39" s="124">
        <v>0</v>
      </c>
      <c r="G39" s="124">
        <v>0</v>
      </c>
    </row>
    <row r="40" spans="1:7" s="106" customFormat="1" ht="15" customHeight="1">
      <c r="A40" s="101">
        <v>342</v>
      </c>
      <c r="B40" s="93"/>
      <c r="C40" s="94" t="s">
        <v>203</v>
      </c>
      <c r="D40" s="95">
        <v>1439</v>
      </c>
      <c r="E40" s="124">
        <v>1450</v>
      </c>
      <c r="F40" s="124">
        <v>1469</v>
      </c>
      <c r="G40" s="124">
        <v>1511</v>
      </c>
    </row>
    <row r="41" spans="1:7" s="106" customFormat="1" ht="15" customHeight="1">
      <c r="A41" s="101">
        <v>343</v>
      </c>
      <c r="B41" s="93"/>
      <c r="C41" s="94" t="s">
        <v>204</v>
      </c>
      <c r="D41" s="95">
        <v>2559</v>
      </c>
      <c r="E41" s="124">
        <v>2401</v>
      </c>
      <c r="F41" s="124">
        <v>2650</v>
      </c>
      <c r="G41" s="124">
        <v>1951</v>
      </c>
    </row>
    <row r="42" spans="1:7" s="106" customFormat="1" ht="15" customHeight="1">
      <c r="A42" s="101">
        <v>344</v>
      </c>
      <c r="B42" s="93"/>
      <c r="C42" s="94" t="s">
        <v>205</v>
      </c>
      <c r="D42" s="95">
        <v>0</v>
      </c>
      <c r="E42" s="124">
        <v>0</v>
      </c>
      <c r="F42" s="124">
        <v>0</v>
      </c>
      <c r="G42" s="124">
        <v>0</v>
      </c>
    </row>
    <row r="43" spans="1:7" s="106" customFormat="1" ht="15" customHeight="1">
      <c r="A43" s="101">
        <v>349</v>
      </c>
      <c r="B43" s="93"/>
      <c r="C43" s="94" t="s">
        <v>206</v>
      </c>
      <c r="D43" s="95">
        <v>0</v>
      </c>
      <c r="E43" s="124">
        <v>123</v>
      </c>
      <c r="F43" s="124">
        <v>105</v>
      </c>
      <c r="G43" s="124">
        <v>123</v>
      </c>
    </row>
    <row r="44" spans="1:7" s="91" customFormat="1" ht="15" customHeight="1">
      <c r="A44" s="92">
        <v>440</v>
      </c>
      <c r="B44" s="93"/>
      <c r="C44" s="94" t="s">
        <v>207</v>
      </c>
      <c r="D44" s="130">
        <v>11028</v>
      </c>
      <c r="E44" s="124">
        <v>10896</v>
      </c>
      <c r="F44" s="124">
        <v>11065</v>
      </c>
      <c r="G44" s="124">
        <v>9230</v>
      </c>
    </row>
    <row r="45" spans="1:7" s="91" customFormat="1" ht="15" customHeight="1">
      <c r="A45" s="92">
        <v>441</v>
      </c>
      <c r="B45" s="93"/>
      <c r="C45" s="94" t="s">
        <v>208</v>
      </c>
      <c r="D45" s="130">
        <v>0</v>
      </c>
      <c r="E45" s="124">
        <v>0</v>
      </c>
      <c r="F45" s="124">
        <v>0</v>
      </c>
      <c r="G45" s="124">
        <v>0</v>
      </c>
    </row>
    <row r="46" spans="1:7" s="91" customFormat="1" ht="15" customHeight="1">
      <c r="A46" s="92">
        <v>442</v>
      </c>
      <c r="B46" s="93"/>
      <c r="C46" s="94" t="s">
        <v>209</v>
      </c>
      <c r="D46" s="130">
        <v>45576</v>
      </c>
      <c r="E46" s="124">
        <v>50081</v>
      </c>
      <c r="F46" s="124">
        <v>54165</v>
      </c>
      <c r="G46" s="124">
        <v>53088</v>
      </c>
    </row>
    <row r="47" spans="1:7" s="91" customFormat="1" ht="15" customHeight="1">
      <c r="A47" s="92">
        <v>443</v>
      </c>
      <c r="B47" s="93"/>
      <c r="C47" s="94" t="s">
        <v>210</v>
      </c>
      <c r="D47" s="130">
        <v>17372</v>
      </c>
      <c r="E47" s="124">
        <v>5592</v>
      </c>
      <c r="F47" s="124">
        <v>5225</v>
      </c>
      <c r="G47" s="124">
        <v>5307</v>
      </c>
    </row>
    <row r="48" spans="1:7" s="91" customFormat="1" ht="15" customHeight="1">
      <c r="A48" s="92">
        <v>444</v>
      </c>
      <c r="B48" s="93"/>
      <c r="C48" s="94" t="s">
        <v>205</v>
      </c>
      <c r="D48" s="130">
        <v>109265</v>
      </c>
      <c r="E48" s="124">
        <v>1000</v>
      </c>
      <c r="F48" s="124">
        <v>0</v>
      </c>
      <c r="G48" s="124">
        <v>1000</v>
      </c>
    </row>
    <row r="49" spans="1:7" s="91" customFormat="1" ht="15" customHeight="1">
      <c r="A49" s="92">
        <v>445</v>
      </c>
      <c r="B49" s="93"/>
      <c r="C49" s="94" t="s">
        <v>211</v>
      </c>
      <c r="D49" s="130">
        <v>75</v>
      </c>
      <c r="E49" s="124">
        <v>75</v>
      </c>
      <c r="F49" s="124">
        <v>75</v>
      </c>
      <c r="G49" s="124">
        <v>75</v>
      </c>
    </row>
    <row r="50" spans="1:7" s="91" customFormat="1" ht="15" customHeight="1">
      <c r="A50" s="92">
        <v>446</v>
      </c>
      <c r="B50" s="93"/>
      <c r="C50" s="94" t="s">
        <v>212</v>
      </c>
      <c r="D50" s="130">
        <v>0</v>
      </c>
      <c r="E50" s="124">
        <v>0</v>
      </c>
      <c r="F50" s="124">
        <v>23</v>
      </c>
      <c r="G50" s="124">
        <v>0</v>
      </c>
    </row>
    <row r="51" spans="1:7" s="91" customFormat="1" ht="15" customHeight="1">
      <c r="A51" s="92">
        <v>447</v>
      </c>
      <c r="B51" s="93"/>
      <c r="C51" s="94" t="s">
        <v>213</v>
      </c>
      <c r="D51" s="130">
        <v>645</v>
      </c>
      <c r="E51" s="124">
        <v>693</v>
      </c>
      <c r="F51" s="124">
        <v>693</v>
      </c>
      <c r="G51" s="124">
        <v>666</v>
      </c>
    </row>
    <row r="52" spans="1:7" s="91" customFormat="1" ht="15" customHeight="1">
      <c r="A52" s="92">
        <v>448</v>
      </c>
      <c r="B52" s="93"/>
      <c r="C52" s="94" t="s">
        <v>214</v>
      </c>
      <c r="D52" s="130">
        <v>0</v>
      </c>
      <c r="E52" s="124">
        <v>0</v>
      </c>
      <c r="F52" s="124">
        <v>0</v>
      </c>
      <c r="G52" s="124">
        <v>0</v>
      </c>
    </row>
    <row r="53" spans="1:7" s="91" customFormat="1" ht="15" customHeight="1">
      <c r="A53" s="92">
        <v>449</v>
      </c>
      <c r="B53" s="93"/>
      <c r="C53" s="94" t="s">
        <v>215</v>
      </c>
      <c r="D53" s="130">
        <v>0</v>
      </c>
      <c r="E53" s="124">
        <v>0</v>
      </c>
      <c r="F53" s="124">
        <v>18521</v>
      </c>
      <c r="G53" s="124">
        <v>0</v>
      </c>
    </row>
    <row r="54" spans="1:7" s="106" customFormat="1" ht="13.5" customHeight="1">
      <c r="A54" s="136" t="s">
        <v>216</v>
      </c>
      <c r="B54" s="137"/>
      <c r="C54" s="137" t="s">
        <v>217</v>
      </c>
      <c r="D54" s="264">
        <v>0</v>
      </c>
      <c r="E54" s="139">
        <v>0</v>
      </c>
      <c r="F54" s="139">
        <v>18521</v>
      </c>
      <c r="G54" s="139">
        <v>0</v>
      </c>
    </row>
    <row r="55" spans="1:7" ht="15" customHeight="1">
      <c r="A55" s="134"/>
      <c r="B55" s="134"/>
      <c r="C55" s="122" t="s">
        <v>218</v>
      </c>
      <c r="D55" s="123">
        <f t="shared" ref="D55:G55" si="3">SUM(D44:D53)-SUM(D38:D43)</f>
        <v>172837</v>
      </c>
      <c r="E55" s="123">
        <f t="shared" si="3"/>
        <v>55780</v>
      </c>
      <c r="F55" s="123">
        <f t="shared" si="3"/>
        <v>78923</v>
      </c>
      <c r="G55" s="123">
        <f t="shared" si="3"/>
        <v>59522</v>
      </c>
    </row>
    <row r="56" spans="1:7" ht="14.25" customHeight="1">
      <c r="A56" s="134"/>
      <c r="B56" s="134"/>
      <c r="C56" s="122" t="s">
        <v>219</v>
      </c>
      <c r="D56" s="123">
        <f t="shared" ref="D56:G56" si="4">D55+D37</f>
        <v>-138784</v>
      </c>
      <c r="E56" s="123">
        <f t="shared" si="4"/>
        <v>-6122</v>
      </c>
      <c r="F56" s="123">
        <f t="shared" si="4"/>
        <v>-51072</v>
      </c>
      <c r="G56" s="123">
        <f t="shared" si="4"/>
        <v>-31966</v>
      </c>
    </row>
    <row r="57" spans="1:7" s="91" customFormat="1" ht="15.75" customHeight="1">
      <c r="A57" s="140">
        <v>380</v>
      </c>
      <c r="B57" s="141"/>
      <c r="C57" s="142" t="s">
        <v>220</v>
      </c>
      <c r="D57" s="265">
        <v>0</v>
      </c>
      <c r="E57" s="266">
        <v>0</v>
      </c>
      <c r="F57" s="266">
        <v>0</v>
      </c>
      <c r="G57" s="266">
        <v>0</v>
      </c>
    </row>
    <row r="58" spans="1:7" s="91" customFormat="1" ht="15.75" customHeight="1">
      <c r="A58" s="140">
        <v>381</v>
      </c>
      <c r="B58" s="141"/>
      <c r="C58" s="142" t="s">
        <v>221</v>
      </c>
      <c r="D58" s="265">
        <v>0</v>
      </c>
      <c r="E58" s="266">
        <v>0</v>
      </c>
      <c r="F58" s="266">
        <v>0</v>
      </c>
      <c r="G58" s="266">
        <v>0</v>
      </c>
    </row>
    <row r="59" spans="1:7" s="106" customFormat="1" ht="14">
      <c r="A59" s="102">
        <v>383</v>
      </c>
      <c r="B59" s="103"/>
      <c r="C59" s="104" t="s">
        <v>222</v>
      </c>
      <c r="D59" s="267">
        <v>0</v>
      </c>
      <c r="E59" s="144">
        <v>0</v>
      </c>
      <c r="F59" s="144">
        <v>0</v>
      </c>
      <c r="G59" s="144">
        <v>0</v>
      </c>
    </row>
    <row r="60" spans="1:7" s="106" customFormat="1" ht="14">
      <c r="A60" s="102">
        <v>3840</v>
      </c>
      <c r="B60" s="103"/>
      <c r="C60" s="104" t="s">
        <v>223</v>
      </c>
      <c r="D60" s="145">
        <v>0</v>
      </c>
      <c r="E60" s="146">
        <v>0</v>
      </c>
      <c r="F60" s="146">
        <v>0</v>
      </c>
      <c r="G60" s="146">
        <v>0</v>
      </c>
    </row>
    <row r="61" spans="1:7" s="106" customFormat="1" ht="14">
      <c r="A61" s="102">
        <v>3841</v>
      </c>
      <c r="B61" s="103"/>
      <c r="C61" s="104" t="s">
        <v>224</v>
      </c>
      <c r="D61" s="145">
        <v>0</v>
      </c>
      <c r="E61" s="146">
        <v>0</v>
      </c>
      <c r="F61" s="146">
        <v>0</v>
      </c>
      <c r="G61" s="146">
        <v>0</v>
      </c>
    </row>
    <row r="62" spans="1:7" s="106" customFormat="1" ht="14">
      <c r="A62" s="147">
        <v>386</v>
      </c>
      <c r="B62" s="148"/>
      <c r="C62" s="149" t="s">
        <v>225</v>
      </c>
      <c r="D62" s="145">
        <v>0</v>
      </c>
      <c r="E62" s="146">
        <v>0</v>
      </c>
      <c r="F62" s="146">
        <v>0</v>
      </c>
      <c r="G62" s="146">
        <v>0</v>
      </c>
    </row>
    <row r="63" spans="1:7" s="106" customFormat="1" ht="28">
      <c r="A63" s="102">
        <v>387</v>
      </c>
      <c r="B63" s="103"/>
      <c r="C63" s="104" t="s">
        <v>226</v>
      </c>
      <c r="D63" s="145">
        <v>0</v>
      </c>
      <c r="E63" s="146">
        <v>0</v>
      </c>
      <c r="F63" s="146">
        <v>0</v>
      </c>
      <c r="G63" s="146">
        <v>0</v>
      </c>
    </row>
    <row r="64" spans="1:7" s="106" customFormat="1">
      <c r="A64" s="101">
        <v>389</v>
      </c>
      <c r="B64" s="150"/>
      <c r="C64" s="94" t="s">
        <v>42</v>
      </c>
      <c r="D64" s="95">
        <v>1916</v>
      </c>
      <c r="E64" s="124">
        <v>0</v>
      </c>
      <c r="F64" s="124">
        <v>20619</v>
      </c>
      <c r="G64" s="124">
        <v>0</v>
      </c>
    </row>
    <row r="65" spans="1:7" s="91" customFormat="1">
      <c r="A65" s="101" t="s">
        <v>227</v>
      </c>
      <c r="B65" s="93"/>
      <c r="C65" s="94" t="s">
        <v>228</v>
      </c>
      <c r="D65" s="95">
        <v>0</v>
      </c>
      <c r="E65" s="124">
        <v>0</v>
      </c>
      <c r="F65" s="124">
        <v>0</v>
      </c>
      <c r="G65" s="124">
        <v>0</v>
      </c>
    </row>
    <row r="66" spans="1:7" s="153" customFormat="1" ht="14">
      <c r="A66" s="151" t="s">
        <v>229</v>
      </c>
      <c r="B66" s="152"/>
      <c r="C66" s="104" t="s">
        <v>230</v>
      </c>
      <c r="D66" s="143">
        <v>0</v>
      </c>
      <c r="E66" s="144">
        <v>0</v>
      </c>
      <c r="F66" s="144">
        <v>0</v>
      </c>
      <c r="G66" s="144">
        <v>0</v>
      </c>
    </row>
    <row r="67" spans="1:7" s="91" customFormat="1">
      <c r="A67" s="154">
        <v>481</v>
      </c>
      <c r="B67" s="93"/>
      <c r="C67" s="94" t="s">
        <v>231</v>
      </c>
      <c r="D67" s="95">
        <v>0</v>
      </c>
      <c r="E67" s="124">
        <v>0</v>
      </c>
      <c r="F67" s="124">
        <v>0</v>
      </c>
      <c r="G67" s="124">
        <v>0</v>
      </c>
    </row>
    <row r="68" spans="1:7" s="91" customFormat="1">
      <c r="A68" s="154">
        <v>482</v>
      </c>
      <c r="B68" s="93"/>
      <c r="C68" s="94" t="s">
        <v>232</v>
      </c>
      <c r="D68" s="95">
        <v>0</v>
      </c>
      <c r="E68" s="124">
        <v>0</v>
      </c>
      <c r="F68" s="124">
        <v>1307</v>
      </c>
      <c r="G68" s="124">
        <v>0</v>
      </c>
    </row>
    <row r="69" spans="1:7" s="91" customFormat="1">
      <c r="A69" s="154">
        <v>483</v>
      </c>
      <c r="B69" s="93"/>
      <c r="C69" s="94" t="s">
        <v>233</v>
      </c>
      <c r="D69" s="95">
        <v>0</v>
      </c>
      <c r="E69" s="124">
        <v>0</v>
      </c>
      <c r="F69" s="124">
        <v>0</v>
      </c>
      <c r="G69" s="124">
        <v>0</v>
      </c>
    </row>
    <row r="70" spans="1:7" s="91" customFormat="1">
      <c r="A70" s="154">
        <v>484</v>
      </c>
      <c r="B70" s="93"/>
      <c r="C70" s="94" t="s">
        <v>234</v>
      </c>
      <c r="D70" s="95">
        <v>127203</v>
      </c>
      <c r="E70" s="124">
        <v>2970</v>
      </c>
      <c r="F70" s="124">
        <v>78164</v>
      </c>
      <c r="G70" s="124">
        <v>0</v>
      </c>
    </row>
    <row r="71" spans="1:7" s="91" customFormat="1">
      <c r="A71" s="154">
        <v>485</v>
      </c>
      <c r="B71" s="93"/>
      <c r="C71" s="94" t="s">
        <v>235</v>
      </c>
      <c r="D71" s="95">
        <v>0</v>
      </c>
      <c r="E71" s="124">
        <v>0</v>
      </c>
      <c r="F71" s="124">
        <v>0</v>
      </c>
      <c r="G71" s="124">
        <v>0</v>
      </c>
    </row>
    <row r="72" spans="1:7" s="91" customFormat="1">
      <c r="A72" s="154">
        <v>486</v>
      </c>
      <c r="B72" s="93"/>
      <c r="C72" s="94" t="s">
        <v>236</v>
      </c>
      <c r="D72" s="95">
        <v>0</v>
      </c>
      <c r="E72" s="124">
        <v>0</v>
      </c>
      <c r="F72" s="124">
        <v>0</v>
      </c>
      <c r="G72" s="124">
        <v>0</v>
      </c>
    </row>
    <row r="73" spans="1:7" s="106" customFormat="1">
      <c r="A73" s="154">
        <v>487</v>
      </c>
      <c r="B73" s="98"/>
      <c r="C73" s="94" t="s">
        <v>237</v>
      </c>
      <c r="D73" s="130">
        <v>0</v>
      </c>
      <c r="E73" s="124">
        <v>0</v>
      </c>
      <c r="F73" s="124">
        <v>0</v>
      </c>
      <c r="G73" s="124">
        <v>0</v>
      </c>
    </row>
    <row r="74" spans="1:7" s="106" customFormat="1">
      <c r="A74" s="154">
        <v>489</v>
      </c>
      <c r="B74" s="155"/>
      <c r="C74" s="118" t="s">
        <v>59</v>
      </c>
      <c r="D74" s="130">
        <v>8409</v>
      </c>
      <c r="E74" s="124">
        <v>0</v>
      </c>
      <c r="F74" s="124">
        <v>47</v>
      </c>
      <c r="G74" s="124">
        <v>24100</v>
      </c>
    </row>
    <row r="75" spans="1:7" s="106" customFormat="1">
      <c r="A75" s="156" t="s">
        <v>238</v>
      </c>
      <c r="B75" s="155"/>
      <c r="C75" s="137" t="s">
        <v>239</v>
      </c>
      <c r="D75" s="95">
        <v>0</v>
      </c>
      <c r="E75" s="124">
        <v>0</v>
      </c>
      <c r="F75" s="124">
        <v>0</v>
      </c>
      <c r="G75" s="124">
        <v>9100</v>
      </c>
    </row>
    <row r="76" spans="1:7">
      <c r="A76" s="121"/>
      <c r="B76" s="121"/>
      <c r="C76" s="122" t="s">
        <v>240</v>
      </c>
      <c r="D76" s="123">
        <f t="shared" ref="D76:G76" si="5">SUM(D65:D74)-SUM(D57:D64)</f>
        <v>133696</v>
      </c>
      <c r="E76" s="123">
        <f t="shared" si="5"/>
        <v>2970</v>
      </c>
      <c r="F76" s="123">
        <f t="shared" si="5"/>
        <v>58899</v>
      </c>
      <c r="G76" s="123">
        <f t="shared" si="5"/>
        <v>24100</v>
      </c>
    </row>
    <row r="77" spans="1:7">
      <c r="A77" s="157"/>
      <c r="B77" s="157"/>
      <c r="C77" s="122" t="s">
        <v>241</v>
      </c>
      <c r="D77" s="123">
        <f t="shared" ref="D77:G77" si="6">D56+D76</f>
        <v>-5088</v>
      </c>
      <c r="E77" s="123">
        <f t="shared" si="6"/>
        <v>-3152</v>
      </c>
      <c r="F77" s="123">
        <f t="shared" si="6"/>
        <v>7827</v>
      </c>
      <c r="G77" s="123">
        <f t="shared" si="6"/>
        <v>-7866</v>
      </c>
    </row>
    <row r="78" spans="1:7">
      <c r="A78" s="158">
        <v>3</v>
      </c>
      <c r="B78" s="158"/>
      <c r="C78" s="159" t="s">
        <v>242</v>
      </c>
      <c r="D78" s="160">
        <f t="shared" ref="D78:G78" si="7">D20+D21+SUM(D38:D43)+SUM(D57:D64)</f>
        <v>2195239</v>
      </c>
      <c r="E78" s="160">
        <f t="shared" si="7"/>
        <v>1973704</v>
      </c>
      <c r="F78" s="160">
        <f t="shared" si="7"/>
        <v>2101264</v>
      </c>
      <c r="G78" s="160">
        <f t="shared" si="7"/>
        <v>2048802</v>
      </c>
    </row>
    <row r="79" spans="1:7">
      <c r="A79" s="158">
        <v>4</v>
      </c>
      <c r="B79" s="158"/>
      <c r="C79" s="159" t="s">
        <v>243</v>
      </c>
      <c r="D79" s="160">
        <f t="shared" ref="D79:G79" si="8">D35+D36+SUM(D44:D53)+SUM(D65:D74)</f>
        <v>2190151</v>
      </c>
      <c r="E79" s="160">
        <f t="shared" si="8"/>
        <v>1970552</v>
      </c>
      <c r="F79" s="160">
        <f t="shared" si="8"/>
        <v>2109091</v>
      </c>
      <c r="G79" s="160">
        <f t="shared" si="8"/>
        <v>2040936</v>
      </c>
    </row>
    <row r="80" spans="1:7">
      <c r="C80" s="135"/>
      <c r="D80" s="161"/>
      <c r="E80" s="161"/>
      <c r="F80" s="161"/>
      <c r="G80" s="161"/>
    </row>
    <row r="81" spans="1:7">
      <c r="A81" s="680" t="s">
        <v>244</v>
      </c>
      <c r="B81" s="681"/>
      <c r="C81" s="681"/>
      <c r="D81" s="162"/>
      <c r="E81" s="163"/>
      <c r="F81" s="163"/>
      <c r="G81" s="163"/>
    </row>
    <row r="82" spans="1:7" s="91" customFormat="1">
      <c r="A82" s="164">
        <v>50</v>
      </c>
      <c r="B82" s="165"/>
      <c r="C82" s="165" t="s">
        <v>245</v>
      </c>
      <c r="D82" s="95">
        <v>87842</v>
      </c>
      <c r="E82" s="124">
        <v>79925</v>
      </c>
      <c r="F82" s="124">
        <v>66738</v>
      </c>
      <c r="G82" s="124">
        <v>83593</v>
      </c>
    </row>
    <row r="83" spans="1:7" s="91" customFormat="1">
      <c r="A83" s="164">
        <v>51</v>
      </c>
      <c r="B83" s="165"/>
      <c r="C83" s="165" t="s">
        <v>246</v>
      </c>
      <c r="D83" s="95">
        <v>0</v>
      </c>
      <c r="E83" s="124">
        <v>0</v>
      </c>
      <c r="F83" s="124">
        <v>0</v>
      </c>
      <c r="G83" s="124">
        <v>0</v>
      </c>
    </row>
    <row r="84" spans="1:7" s="91" customFormat="1">
      <c r="A84" s="164">
        <v>52</v>
      </c>
      <c r="B84" s="165"/>
      <c r="C84" s="165" t="s">
        <v>247</v>
      </c>
      <c r="D84" s="95">
        <v>0</v>
      </c>
      <c r="E84" s="124">
        <v>0</v>
      </c>
      <c r="F84" s="124">
        <v>0</v>
      </c>
      <c r="G84" s="124">
        <v>0</v>
      </c>
    </row>
    <row r="85" spans="1:7" s="91" customFormat="1">
      <c r="A85" s="166">
        <v>54</v>
      </c>
      <c r="B85" s="167"/>
      <c r="C85" s="167" t="s">
        <v>248</v>
      </c>
      <c r="D85" s="95">
        <v>401</v>
      </c>
      <c r="E85" s="124">
        <v>700</v>
      </c>
      <c r="F85" s="124">
        <v>165</v>
      </c>
      <c r="G85" s="124">
        <v>700</v>
      </c>
    </row>
    <row r="86" spans="1:7" s="91" customFormat="1">
      <c r="A86" s="166">
        <v>55</v>
      </c>
      <c r="B86" s="167"/>
      <c r="C86" s="167" t="s">
        <v>249</v>
      </c>
      <c r="D86" s="95">
        <v>0</v>
      </c>
      <c r="E86" s="124">
        <v>0</v>
      </c>
      <c r="F86" s="124">
        <v>0</v>
      </c>
      <c r="G86" s="124">
        <v>0</v>
      </c>
    </row>
    <row r="87" spans="1:7" s="91" customFormat="1">
      <c r="A87" s="166">
        <v>56</v>
      </c>
      <c r="B87" s="167"/>
      <c r="C87" s="167" t="s">
        <v>250</v>
      </c>
      <c r="D87" s="95">
        <v>17633</v>
      </c>
      <c r="E87" s="124">
        <v>17188</v>
      </c>
      <c r="F87" s="124">
        <v>16968</v>
      </c>
      <c r="G87" s="124">
        <v>18080</v>
      </c>
    </row>
    <row r="88" spans="1:7" s="91" customFormat="1">
      <c r="A88" s="164">
        <v>57</v>
      </c>
      <c r="B88" s="165"/>
      <c r="C88" s="165" t="s">
        <v>251</v>
      </c>
      <c r="D88" s="95">
        <v>3451</v>
      </c>
      <c r="E88" s="124">
        <v>4270</v>
      </c>
      <c r="F88" s="124">
        <v>1612</v>
      </c>
      <c r="G88" s="124">
        <v>3214</v>
      </c>
    </row>
    <row r="89" spans="1:7" s="91" customFormat="1">
      <c r="A89" s="164">
        <v>580</v>
      </c>
      <c r="B89" s="165"/>
      <c r="C89" s="165" t="s">
        <v>252</v>
      </c>
      <c r="D89" s="95">
        <v>0</v>
      </c>
      <c r="E89" s="124">
        <v>0</v>
      </c>
      <c r="F89" s="124">
        <v>0</v>
      </c>
      <c r="G89" s="124">
        <v>0</v>
      </c>
    </row>
    <row r="90" spans="1:7" s="91" customFormat="1">
      <c r="A90" s="164">
        <v>582</v>
      </c>
      <c r="B90" s="165"/>
      <c r="C90" s="165" t="s">
        <v>253</v>
      </c>
      <c r="D90" s="95">
        <v>0</v>
      </c>
      <c r="E90" s="124">
        <v>0</v>
      </c>
      <c r="F90" s="124">
        <v>0</v>
      </c>
      <c r="G90" s="124">
        <v>0</v>
      </c>
    </row>
    <row r="91" spans="1:7" s="91" customFormat="1">
      <c r="A91" s="164">
        <v>584</v>
      </c>
      <c r="B91" s="165"/>
      <c r="C91" s="165" t="s">
        <v>254</v>
      </c>
      <c r="D91" s="95">
        <v>0</v>
      </c>
      <c r="E91" s="124">
        <v>0</v>
      </c>
      <c r="F91" s="124">
        <v>0</v>
      </c>
      <c r="G91" s="124">
        <v>0</v>
      </c>
    </row>
    <row r="92" spans="1:7" s="91" customFormat="1">
      <c r="A92" s="164">
        <v>585</v>
      </c>
      <c r="B92" s="165"/>
      <c r="C92" s="165" t="s">
        <v>255</v>
      </c>
      <c r="D92" s="95">
        <v>0</v>
      </c>
      <c r="E92" s="124">
        <v>0</v>
      </c>
      <c r="F92" s="124">
        <v>0</v>
      </c>
      <c r="G92" s="124">
        <v>0</v>
      </c>
    </row>
    <row r="93" spans="1:7" s="91" customFormat="1">
      <c r="A93" s="164">
        <v>586</v>
      </c>
      <c r="B93" s="165"/>
      <c r="C93" s="165" t="s">
        <v>256</v>
      </c>
      <c r="D93" s="95">
        <v>0</v>
      </c>
      <c r="E93" s="124">
        <v>0</v>
      </c>
      <c r="F93" s="124">
        <v>0</v>
      </c>
      <c r="G93" s="124">
        <v>0</v>
      </c>
    </row>
    <row r="94" spans="1:7" s="91" customFormat="1">
      <c r="A94" s="168">
        <v>589</v>
      </c>
      <c r="B94" s="169"/>
      <c r="C94" s="169" t="s">
        <v>257</v>
      </c>
      <c r="D94" s="119">
        <v>0</v>
      </c>
      <c r="E94" s="133">
        <v>1200</v>
      </c>
      <c r="F94" s="133">
        <v>1784</v>
      </c>
      <c r="G94" s="133">
        <v>0</v>
      </c>
    </row>
    <row r="95" spans="1:7">
      <c r="A95" s="170">
        <v>5</v>
      </c>
      <c r="B95" s="171"/>
      <c r="C95" s="171" t="s">
        <v>258</v>
      </c>
      <c r="D95" s="172">
        <f t="shared" ref="D95:G95" si="9">SUM(D82:D94)</f>
        <v>109327</v>
      </c>
      <c r="E95" s="172">
        <f t="shared" si="9"/>
        <v>103283</v>
      </c>
      <c r="F95" s="172">
        <f t="shared" si="9"/>
        <v>87267</v>
      </c>
      <c r="G95" s="172">
        <f t="shared" si="9"/>
        <v>105587</v>
      </c>
    </row>
    <row r="96" spans="1:7" s="91" customFormat="1">
      <c r="A96" s="164">
        <v>60</v>
      </c>
      <c r="B96" s="165"/>
      <c r="C96" s="165" t="s">
        <v>259</v>
      </c>
      <c r="D96" s="95">
        <v>36</v>
      </c>
      <c r="E96" s="124">
        <v>30</v>
      </c>
      <c r="F96" s="124">
        <v>106</v>
      </c>
      <c r="G96" s="124">
        <v>30</v>
      </c>
    </row>
    <row r="97" spans="1:7" s="91" customFormat="1">
      <c r="A97" s="164">
        <v>61</v>
      </c>
      <c r="B97" s="165"/>
      <c r="C97" s="165" t="s">
        <v>260</v>
      </c>
      <c r="D97" s="95">
        <v>0</v>
      </c>
      <c r="E97" s="124">
        <v>0</v>
      </c>
      <c r="F97" s="124">
        <v>0</v>
      </c>
      <c r="G97" s="124">
        <v>0</v>
      </c>
    </row>
    <row r="98" spans="1:7" s="91" customFormat="1">
      <c r="A98" s="164">
        <v>62</v>
      </c>
      <c r="B98" s="165"/>
      <c r="C98" s="165" t="s">
        <v>261</v>
      </c>
      <c r="D98" s="95">
        <v>0</v>
      </c>
      <c r="E98" s="124">
        <v>0</v>
      </c>
      <c r="F98" s="124">
        <v>0</v>
      </c>
      <c r="G98" s="124">
        <v>0</v>
      </c>
    </row>
    <row r="99" spans="1:7" s="91" customFormat="1">
      <c r="A99" s="164">
        <v>63</v>
      </c>
      <c r="B99" s="165"/>
      <c r="C99" s="165" t="s">
        <v>262</v>
      </c>
      <c r="D99" s="95">
        <v>30892</v>
      </c>
      <c r="E99" s="124">
        <v>28419</v>
      </c>
      <c r="F99" s="124">
        <v>29317</v>
      </c>
      <c r="G99" s="124">
        <v>31259</v>
      </c>
    </row>
    <row r="100" spans="1:7" s="91" customFormat="1">
      <c r="A100" s="164">
        <v>64</v>
      </c>
      <c r="B100" s="165"/>
      <c r="C100" s="165" t="s">
        <v>263</v>
      </c>
      <c r="D100" s="95">
        <v>0</v>
      </c>
      <c r="E100" s="124">
        <v>0</v>
      </c>
      <c r="F100" s="124">
        <v>0</v>
      </c>
      <c r="G100" s="124">
        <v>0</v>
      </c>
    </row>
    <row r="101" spans="1:7" s="91" customFormat="1">
      <c r="A101" s="164">
        <v>65</v>
      </c>
      <c r="B101" s="165"/>
      <c r="C101" s="165" t="s">
        <v>264</v>
      </c>
      <c r="D101" s="95">
        <v>0</v>
      </c>
      <c r="E101" s="124">
        <v>0</v>
      </c>
      <c r="F101" s="124">
        <v>0</v>
      </c>
      <c r="G101" s="124">
        <v>0</v>
      </c>
    </row>
    <row r="102" spans="1:7" s="91" customFormat="1">
      <c r="A102" s="164">
        <v>66</v>
      </c>
      <c r="B102" s="165"/>
      <c r="C102" s="165" t="s">
        <v>265</v>
      </c>
      <c r="D102" s="95">
        <v>652</v>
      </c>
      <c r="E102" s="124">
        <v>500</v>
      </c>
      <c r="F102" s="124">
        <v>584</v>
      </c>
      <c r="G102" s="124">
        <v>500</v>
      </c>
    </row>
    <row r="103" spans="1:7" s="91" customFormat="1">
      <c r="A103" s="164">
        <v>67</v>
      </c>
      <c r="B103" s="165"/>
      <c r="C103" s="165" t="s">
        <v>251</v>
      </c>
      <c r="D103" s="130">
        <v>3451</v>
      </c>
      <c r="E103" s="96">
        <v>4270</v>
      </c>
      <c r="F103" s="96">
        <v>1612</v>
      </c>
      <c r="G103" s="96">
        <v>3214</v>
      </c>
    </row>
    <row r="104" spans="1:7" s="91" customFormat="1" ht="28">
      <c r="A104" s="173" t="s">
        <v>266</v>
      </c>
      <c r="B104" s="165"/>
      <c r="C104" s="174" t="s">
        <v>267</v>
      </c>
      <c r="D104" s="130">
        <v>1761</v>
      </c>
      <c r="E104" s="96">
        <v>3780</v>
      </c>
      <c r="F104" s="96">
        <v>2750</v>
      </c>
      <c r="G104" s="96">
        <v>9678</v>
      </c>
    </row>
    <row r="105" spans="1:7" s="91" customFormat="1" ht="42">
      <c r="A105" s="175" t="s">
        <v>268</v>
      </c>
      <c r="B105" s="169"/>
      <c r="C105" s="176" t="s">
        <v>269</v>
      </c>
      <c r="D105" s="177">
        <v>0</v>
      </c>
      <c r="E105" s="120">
        <v>1300</v>
      </c>
      <c r="F105" s="120">
        <v>289</v>
      </c>
      <c r="G105" s="120">
        <v>1500</v>
      </c>
    </row>
    <row r="106" spans="1:7">
      <c r="A106" s="170">
        <v>6</v>
      </c>
      <c r="B106" s="171"/>
      <c r="C106" s="171" t="s">
        <v>270</v>
      </c>
      <c r="D106" s="172">
        <f t="shared" ref="D106:G106" si="10">SUM(D96:D105)</f>
        <v>36792</v>
      </c>
      <c r="E106" s="172">
        <f t="shared" si="10"/>
        <v>38299</v>
      </c>
      <c r="F106" s="172">
        <f t="shared" si="10"/>
        <v>34658</v>
      </c>
      <c r="G106" s="172">
        <f t="shared" si="10"/>
        <v>46181</v>
      </c>
    </row>
    <row r="107" spans="1:7">
      <c r="A107" s="178" t="s">
        <v>271</v>
      </c>
      <c r="B107" s="178"/>
      <c r="C107" s="171" t="s">
        <v>1</v>
      </c>
      <c r="D107" s="172">
        <f t="shared" ref="D107:G107" si="11">(D95-D88)-(D106-D103)</f>
        <v>72535</v>
      </c>
      <c r="E107" s="172">
        <f t="shared" si="11"/>
        <v>64984</v>
      </c>
      <c r="F107" s="172">
        <f t="shared" si="11"/>
        <v>52609</v>
      </c>
      <c r="G107" s="172">
        <f t="shared" si="11"/>
        <v>59406</v>
      </c>
    </row>
    <row r="108" spans="1:7">
      <c r="A108" s="179" t="s">
        <v>272</v>
      </c>
      <c r="B108" s="179"/>
      <c r="C108" s="180" t="s">
        <v>273</v>
      </c>
      <c r="D108" s="280">
        <f t="shared" ref="D108:G108" si="12">D107-D85-D86+D100+D101</f>
        <v>72134</v>
      </c>
      <c r="E108" s="280">
        <f t="shared" si="12"/>
        <v>64284</v>
      </c>
      <c r="F108" s="280">
        <f t="shared" si="12"/>
        <v>52444</v>
      </c>
      <c r="G108" s="280">
        <f t="shared" si="12"/>
        <v>58706</v>
      </c>
    </row>
    <row r="109" spans="1:7">
      <c r="C109" s="135"/>
      <c r="D109" s="161"/>
      <c r="E109" s="161"/>
      <c r="F109" s="161"/>
      <c r="G109" s="161"/>
    </row>
    <row r="110" spans="1:7">
      <c r="A110" s="181" t="s">
        <v>274</v>
      </c>
      <c r="B110" s="182"/>
      <c r="C110" s="181"/>
      <c r="D110" s="161"/>
      <c r="E110" s="161"/>
      <c r="F110" s="161"/>
      <c r="G110" s="161"/>
    </row>
    <row r="111" spans="1:7" s="91" customFormat="1">
      <c r="A111" s="183">
        <v>10</v>
      </c>
      <c r="B111" s="184"/>
      <c r="C111" s="184" t="s">
        <v>275</v>
      </c>
      <c r="D111" s="185">
        <f t="shared" ref="D111:G111" si="13">D112+D117</f>
        <v>647090</v>
      </c>
      <c r="E111" s="186">
        <f t="shared" si="13"/>
        <v>0</v>
      </c>
      <c r="F111" s="186">
        <f t="shared" si="13"/>
        <v>869340</v>
      </c>
      <c r="G111" s="186">
        <f t="shared" si="13"/>
        <v>0</v>
      </c>
    </row>
    <row r="112" spans="1:7" s="91" customFormat="1">
      <c r="A112" s="187" t="s">
        <v>276</v>
      </c>
      <c r="B112" s="188"/>
      <c r="C112" s="188" t="s">
        <v>277</v>
      </c>
      <c r="D112" s="185">
        <f>D113+D114+D115+D116</f>
        <v>446644</v>
      </c>
      <c r="E112" s="186">
        <f t="shared" ref="E112:G112" si="14">E113+E114+E115+E116</f>
        <v>0</v>
      </c>
      <c r="F112" s="186">
        <f t="shared" si="14"/>
        <v>602052</v>
      </c>
      <c r="G112" s="186">
        <f t="shared" si="14"/>
        <v>0</v>
      </c>
    </row>
    <row r="113" spans="1:7" s="91" customFormat="1">
      <c r="A113" s="189" t="s">
        <v>278</v>
      </c>
      <c r="B113" s="190"/>
      <c r="C113" s="190" t="s">
        <v>279</v>
      </c>
      <c r="D113" s="95">
        <v>396611</v>
      </c>
      <c r="E113" s="124"/>
      <c r="F113" s="124">
        <v>544394</v>
      </c>
      <c r="G113" s="124"/>
    </row>
    <row r="114" spans="1:7" s="153" customFormat="1" ht="15" customHeight="1">
      <c r="A114" s="191">
        <v>102</v>
      </c>
      <c r="B114" s="192"/>
      <c r="C114" s="192" t="s">
        <v>280</v>
      </c>
      <c r="D114" s="143">
        <v>0</v>
      </c>
      <c r="E114" s="144"/>
      <c r="F114" s="144"/>
      <c r="G114" s="144"/>
    </row>
    <row r="115" spans="1:7" s="91" customFormat="1">
      <c r="A115" s="189">
        <v>104</v>
      </c>
      <c r="B115" s="190"/>
      <c r="C115" s="190" t="s">
        <v>281</v>
      </c>
      <c r="D115" s="95">
        <v>47114</v>
      </c>
      <c r="E115" s="124"/>
      <c r="F115" s="124">
        <v>54449</v>
      </c>
      <c r="G115" s="124"/>
    </row>
    <row r="116" spans="1:7" s="91" customFormat="1">
      <c r="A116" s="189">
        <v>106</v>
      </c>
      <c r="B116" s="190"/>
      <c r="C116" s="190" t="s">
        <v>282</v>
      </c>
      <c r="D116" s="95">
        <v>2919</v>
      </c>
      <c r="E116" s="124"/>
      <c r="F116" s="124">
        <v>3209</v>
      </c>
      <c r="G116" s="124"/>
    </row>
    <row r="117" spans="1:7" s="91" customFormat="1">
      <c r="A117" s="187" t="s">
        <v>283</v>
      </c>
      <c r="B117" s="188"/>
      <c r="C117" s="188" t="s">
        <v>284</v>
      </c>
      <c r="D117" s="185">
        <f t="shared" ref="D117:G117" si="15">D118+D119+D120</f>
        <v>200446</v>
      </c>
      <c r="E117" s="186">
        <f t="shared" si="15"/>
        <v>0</v>
      </c>
      <c r="F117" s="186">
        <f t="shared" si="15"/>
        <v>267288</v>
      </c>
      <c r="G117" s="186">
        <f t="shared" si="15"/>
        <v>0</v>
      </c>
    </row>
    <row r="118" spans="1:7" s="91" customFormat="1">
      <c r="A118" s="189">
        <v>107</v>
      </c>
      <c r="B118" s="190"/>
      <c r="C118" s="190" t="s">
        <v>285</v>
      </c>
      <c r="D118" s="95">
        <v>151501</v>
      </c>
      <c r="E118" s="124"/>
      <c r="F118" s="124">
        <v>211438</v>
      </c>
      <c r="G118" s="124"/>
    </row>
    <row r="119" spans="1:7" s="91" customFormat="1">
      <c r="A119" s="189">
        <v>108</v>
      </c>
      <c r="B119" s="190"/>
      <c r="C119" s="190" t="s">
        <v>286</v>
      </c>
      <c r="D119" s="95">
        <v>48945</v>
      </c>
      <c r="E119" s="124"/>
      <c r="F119" s="124">
        <v>55850</v>
      </c>
      <c r="G119" s="124"/>
    </row>
    <row r="120" spans="1:7" s="195" customFormat="1" ht="14">
      <c r="A120" s="191">
        <v>109</v>
      </c>
      <c r="B120" s="193"/>
      <c r="C120" s="193" t="s">
        <v>287</v>
      </c>
      <c r="D120" s="131">
        <v>0</v>
      </c>
      <c r="E120" s="194"/>
      <c r="F120" s="194"/>
      <c r="G120" s="194"/>
    </row>
    <row r="121" spans="1:7" s="91" customFormat="1">
      <c r="A121" s="187">
        <v>14</v>
      </c>
      <c r="B121" s="188"/>
      <c r="C121" s="188" t="s">
        <v>288</v>
      </c>
      <c r="D121" s="185">
        <f t="shared" ref="D121:G121" si="16">SUM(D122:D130)</f>
        <v>999866</v>
      </c>
      <c r="E121" s="185">
        <f t="shared" si="16"/>
        <v>0</v>
      </c>
      <c r="F121" s="185">
        <f t="shared" si="16"/>
        <v>1051967</v>
      </c>
      <c r="G121" s="185">
        <f t="shared" si="16"/>
        <v>0</v>
      </c>
    </row>
    <row r="122" spans="1:7" s="91" customFormat="1">
      <c r="A122" s="189" t="s">
        <v>289</v>
      </c>
      <c r="B122" s="190"/>
      <c r="C122" s="190" t="s">
        <v>290</v>
      </c>
      <c r="D122" s="95">
        <v>337719</v>
      </c>
      <c r="E122" s="95"/>
      <c r="F122" s="124">
        <v>288199</v>
      </c>
      <c r="G122" s="124"/>
    </row>
    <row r="123" spans="1:7" s="91" customFormat="1">
      <c r="A123" s="189">
        <v>144</v>
      </c>
      <c r="B123" s="190"/>
      <c r="C123" s="190" t="s">
        <v>248</v>
      </c>
      <c r="D123" s="95">
        <v>137526</v>
      </c>
      <c r="E123" s="95"/>
      <c r="F123" s="124">
        <v>187094</v>
      </c>
      <c r="G123" s="124"/>
    </row>
    <row r="124" spans="1:7" s="91" customFormat="1">
      <c r="A124" s="189">
        <v>145</v>
      </c>
      <c r="B124" s="190"/>
      <c r="C124" s="190" t="s">
        <v>291</v>
      </c>
      <c r="D124" s="95">
        <v>524621</v>
      </c>
      <c r="E124" s="95"/>
      <c r="F124" s="196">
        <v>570672</v>
      </c>
      <c r="G124" s="196"/>
    </row>
    <row r="125" spans="1:7" s="91" customFormat="1">
      <c r="A125" s="189">
        <v>146</v>
      </c>
      <c r="B125" s="190"/>
      <c r="C125" s="190" t="s">
        <v>292</v>
      </c>
      <c r="D125" s="95">
        <v>0</v>
      </c>
      <c r="E125" s="95">
        <v>0</v>
      </c>
      <c r="F125" s="196">
        <v>6002</v>
      </c>
      <c r="G125" s="196"/>
    </row>
    <row r="126" spans="1:7" s="195" customFormat="1" ht="29.5" customHeight="1">
      <c r="A126" s="191" t="s">
        <v>293</v>
      </c>
      <c r="B126" s="193"/>
      <c r="C126" s="193" t="s">
        <v>294</v>
      </c>
      <c r="D126" s="131">
        <v>0</v>
      </c>
      <c r="E126" s="131">
        <v>0</v>
      </c>
      <c r="F126" s="197"/>
      <c r="G126" s="197"/>
    </row>
    <row r="127" spans="1:7" s="91" customFormat="1">
      <c r="A127" s="189">
        <v>1484</v>
      </c>
      <c r="B127" s="190"/>
      <c r="C127" s="190" t="s">
        <v>295</v>
      </c>
      <c r="D127" s="95">
        <v>0</v>
      </c>
      <c r="E127" s="95">
        <v>0</v>
      </c>
      <c r="F127" s="196"/>
      <c r="G127" s="196"/>
    </row>
    <row r="128" spans="1:7" s="91" customFormat="1">
      <c r="A128" s="189">
        <v>1485</v>
      </c>
      <c r="B128" s="190"/>
      <c r="C128" s="190" t="s">
        <v>296</v>
      </c>
      <c r="D128" s="95">
        <v>0</v>
      </c>
      <c r="E128" s="95">
        <v>0</v>
      </c>
      <c r="F128" s="196"/>
      <c r="G128" s="196"/>
    </row>
    <row r="129" spans="1:7" s="91" customFormat="1">
      <c r="A129" s="189">
        <v>1486</v>
      </c>
      <c r="B129" s="190"/>
      <c r="C129" s="190" t="s">
        <v>297</v>
      </c>
      <c r="D129" s="95">
        <v>0</v>
      </c>
      <c r="E129" s="95">
        <v>0</v>
      </c>
      <c r="F129" s="196"/>
      <c r="G129" s="196"/>
    </row>
    <row r="130" spans="1:7" s="91" customFormat="1">
      <c r="A130" s="198">
        <v>1489</v>
      </c>
      <c r="B130" s="199"/>
      <c r="C130" s="199" t="s">
        <v>298</v>
      </c>
      <c r="D130" s="119">
        <v>0</v>
      </c>
      <c r="E130" s="119">
        <v>0</v>
      </c>
      <c r="F130" s="200"/>
      <c r="G130" s="200"/>
    </row>
    <row r="131" spans="1:7">
      <c r="A131" s="201">
        <v>1</v>
      </c>
      <c r="B131" s="202"/>
      <c r="C131" s="201" t="s">
        <v>299</v>
      </c>
      <c r="D131" s="203">
        <f t="shared" ref="D131:G131" si="17">D111+D121</f>
        <v>1646956</v>
      </c>
      <c r="E131" s="203">
        <f t="shared" si="17"/>
        <v>0</v>
      </c>
      <c r="F131" s="203">
        <f t="shared" si="17"/>
        <v>1921307</v>
      </c>
      <c r="G131" s="203">
        <f t="shared" si="17"/>
        <v>0</v>
      </c>
    </row>
    <row r="132" spans="1:7">
      <c r="C132" s="135"/>
      <c r="D132" s="161"/>
      <c r="E132" s="161"/>
      <c r="F132" s="161"/>
      <c r="G132" s="161"/>
    </row>
    <row r="133" spans="1:7" s="91" customFormat="1">
      <c r="A133" s="183">
        <v>20</v>
      </c>
      <c r="B133" s="184"/>
      <c r="C133" s="184" t="s">
        <v>300</v>
      </c>
      <c r="D133" s="204">
        <f t="shared" ref="D133:G133" si="18">D134+D140</f>
        <v>1140190</v>
      </c>
      <c r="E133" s="318">
        <f t="shared" si="18"/>
        <v>0</v>
      </c>
      <c r="F133" s="318">
        <f t="shared" si="18"/>
        <v>1278518</v>
      </c>
      <c r="G133" s="318">
        <f t="shared" si="18"/>
        <v>0</v>
      </c>
    </row>
    <row r="134" spans="1:7" s="91" customFormat="1">
      <c r="A134" s="205" t="s">
        <v>301</v>
      </c>
      <c r="B134" s="188"/>
      <c r="C134" s="188" t="s">
        <v>302</v>
      </c>
      <c r="D134" s="185">
        <f t="shared" ref="D134:G134" si="19">D135+D136+D138+D139</f>
        <v>444700</v>
      </c>
      <c r="E134" s="186">
        <f t="shared" si="19"/>
        <v>0</v>
      </c>
      <c r="F134" s="186">
        <f t="shared" si="19"/>
        <v>444695</v>
      </c>
      <c r="G134" s="186">
        <f t="shared" si="19"/>
        <v>0</v>
      </c>
    </row>
    <row r="135" spans="1:7" s="106" customFormat="1">
      <c r="A135" s="206">
        <v>200</v>
      </c>
      <c r="B135" s="190"/>
      <c r="C135" s="190" t="s">
        <v>303</v>
      </c>
      <c r="D135" s="95">
        <v>228441</v>
      </c>
      <c r="E135" s="124"/>
      <c r="F135" s="124">
        <v>298280</v>
      </c>
      <c r="G135" s="124"/>
    </row>
    <row r="136" spans="1:7" s="106" customFormat="1">
      <c r="A136" s="206">
        <v>201</v>
      </c>
      <c r="B136" s="190"/>
      <c r="C136" s="190" t="s">
        <v>304</v>
      </c>
      <c r="D136" s="95">
        <v>130565</v>
      </c>
      <c r="E136" s="124"/>
      <c r="F136" s="124">
        <v>0</v>
      </c>
      <c r="G136" s="124"/>
    </row>
    <row r="137" spans="1:7" s="106" customFormat="1">
      <c r="A137" s="207" t="s">
        <v>305</v>
      </c>
      <c r="B137" s="208"/>
      <c r="C137" s="208" t="s">
        <v>306</v>
      </c>
      <c r="D137" s="100">
        <v>0</v>
      </c>
      <c r="E137" s="209"/>
      <c r="F137" s="209"/>
      <c r="G137" s="209"/>
    </row>
    <row r="138" spans="1:7" s="106" customFormat="1">
      <c r="A138" s="206">
        <v>204</v>
      </c>
      <c r="B138" s="190"/>
      <c r="C138" s="190" t="s">
        <v>307</v>
      </c>
      <c r="D138" s="95">
        <v>68913</v>
      </c>
      <c r="E138" s="196"/>
      <c r="F138" s="196">
        <v>123699</v>
      </c>
      <c r="G138" s="196"/>
    </row>
    <row r="139" spans="1:7" s="106" customFormat="1">
      <c r="A139" s="206">
        <v>205</v>
      </c>
      <c r="B139" s="190"/>
      <c r="C139" s="190" t="s">
        <v>308</v>
      </c>
      <c r="D139" s="95">
        <v>16781</v>
      </c>
      <c r="E139" s="196"/>
      <c r="F139" s="196">
        <v>22716</v>
      </c>
      <c r="G139" s="196"/>
    </row>
    <row r="140" spans="1:7" s="106" customFormat="1">
      <c r="A140" s="205" t="s">
        <v>309</v>
      </c>
      <c r="B140" s="188"/>
      <c r="C140" s="188" t="s">
        <v>310</v>
      </c>
      <c r="D140" s="185">
        <f t="shared" ref="D140:G140" si="20">D141+D143+D144</f>
        <v>695490</v>
      </c>
      <c r="E140" s="186">
        <f t="shared" si="20"/>
        <v>0</v>
      </c>
      <c r="F140" s="186">
        <f t="shared" si="20"/>
        <v>833823</v>
      </c>
      <c r="G140" s="186">
        <f t="shared" si="20"/>
        <v>0</v>
      </c>
    </row>
    <row r="141" spans="1:7" s="106" customFormat="1">
      <c r="A141" s="206">
        <v>206</v>
      </c>
      <c r="B141" s="190"/>
      <c r="C141" s="190" t="s">
        <v>311</v>
      </c>
      <c r="D141" s="95">
        <v>415397</v>
      </c>
      <c r="E141" s="196"/>
      <c r="F141" s="196">
        <v>565400</v>
      </c>
      <c r="G141" s="196"/>
    </row>
    <row r="142" spans="1:7" s="106" customFormat="1">
      <c r="A142" s="207" t="s">
        <v>312</v>
      </c>
      <c r="B142" s="208"/>
      <c r="C142" s="208" t="s">
        <v>313</v>
      </c>
      <c r="D142" s="100">
        <v>0</v>
      </c>
      <c r="E142" s="209"/>
      <c r="F142" s="209"/>
      <c r="G142" s="209"/>
    </row>
    <row r="143" spans="1:7" s="106" customFormat="1">
      <c r="A143" s="206">
        <v>208</v>
      </c>
      <c r="B143" s="190"/>
      <c r="C143" s="190" t="s">
        <v>314</v>
      </c>
      <c r="D143" s="95">
        <v>70756</v>
      </c>
      <c r="E143" s="196"/>
      <c r="F143" s="196">
        <v>42525</v>
      </c>
      <c r="G143" s="196"/>
    </row>
    <row r="144" spans="1:7" s="111" customFormat="1" ht="28">
      <c r="A144" s="191">
        <v>209</v>
      </c>
      <c r="B144" s="193"/>
      <c r="C144" s="193" t="s">
        <v>315</v>
      </c>
      <c r="D144" s="131">
        <v>209337</v>
      </c>
      <c r="E144" s="197"/>
      <c r="F144" s="197">
        <v>225898</v>
      </c>
      <c r="G144" s="197"/>
    </row>
    <row r="145" spans="1:7" s="91" customFormat="1">
      <c r="A145" s="205">
        <v>29</v>
      </c>
      <c r="B145" s="188"/>
      <c r="C145" s="188" t="s">
        <v>316</v>
      </c>
      <c r="D145" s="210">
        <v>506766</v>
      </c>
      <c r="E145" s="196"/>
      <c r="F145" s="196">
        <v>642789</v>
      </c>
      <c r="G145" s="196"/>
    </row>
    <row r="146" spans="1:7" s="91" customFormat="1">
      <c r="A146" s="211" t="s">
        <v>317</v>
      </c>
      <c r="B146" s="212"/>
      <c r="C146" s="212" t="s">
        <v>318</v>
      </c>
      <c r="D146" s="138">
        <v>211393</v>
      </c>
      <c r="E146" s="139"/>
      <c r="F146" s="139">
        <v>219221</v>
      </c>
      <c r="G146" s="139"/>
    </row>
    <row r="147" spans="1:7">
      <c r="A147" s="201">
        <v>2</v>
      </c>
      <c r="B147" s="202"/>
      <c r="C147" s="201" t="s">
        <v>319</v>
      </c>
      <c r="D147" s="203">
        <f t="shared" ref="D147:G147" si="21">D133+D145</f>
        <v>1646956</v>
      </c>
      <c r="E147" s="203">
        <f t="shared" si="21"/>
        <v>0</v>
      </c>
      <c r="F147" s="203">
        <f t="shared" si="21"/>
        <v>1921307</v>
      </c>
      <c r="G147" s="203">
        <f t="shared" si="21"/>
        <v>0</v>
      </c>
    </row>
    <row r="148" spans="1:7" ht="7.5" customHeight="1"/>
    <row r="149" spans="1:7" ht="13.5" customHeight="1">
      <c r="A149" s="213" t="s">
        <v>320</v>
      </c>
      <c r="B149" s="214"/>
      <c r="C149" s="215" t="s">
        <v>321</v>
      </c>
      <c r="D149" s="214"/>
      <c r="E149" s="214"/>
      <c r="F149" s="214"/>
      <c r="G149" s="214"/>
    </row>
    <row r="150" spans="1:7">
      <c r="A150" s="216" t="s">
        <v>322</v>
      </c>
      <c r="B150" s="290"/>
      <c r="C150" s="290" t="s">
        <v>82</v>
      </c>
      <c r="D150" s="218">
        <f t="shared" ref="D150:G150" si="22">D77+SUM(D8:D12)-D30-D31+D16-D33+D59+D63-D73+D64-D74-D54+D20-D35</f>
        <v>268455</v>
      </c>
      <c r="E150" s="218">
        <f t="shared" si="22"/>
        <v>31422</v>
      </c>
      <c r="F150" s="218">
        <f t="shared" si="22"/>
        <v>161955</v>
      </c>
      <c r="G150" s="218">
        <f t="shared" si="22"/>
        <v>1468</v>
      </c>
    </row>
    <row r="151" spans="1:7">
      <c r="A151" s="219" t="s">
        <v>323</v>
      </c>
      <c r="B151" s="214"/>
      <c r="C151" s="214" t="s">
        <v>324</v>
      </c>
      <c r="D151" s="221">
        <f t="shared" ref="D151:G151" si="23">IF(D177=0,0,D150/D177)</f>
        <v>0.15197524511177574</v>
      </c>
      <c r="E151" s="221">
        <f t="shared" si="23"/>
        <v>2.0502240291580459E-2</v>
      </c>
      <c r="F151" s="221">
        <f t="shared" si="23"/>
        <v>9.6326960307618184E-2</v>
      </c>
      <c r="G151" s="221">
        <f t="shared" si="23"/>
        <v>9.3080646010118399E-4</v>
      </c>
    </row>
    <row r="152" spans="1:7" s="296" customFormat="1" ht="28">
      <c r="A152" s="229" t="s">
        <v>325</v>
      </c>
      <c r="B152" s="293"/>
      <c r="C152" s="293" t="s">
        <v>326</v>
      </c>
      <c r="D152" s="295">
        <f t="shared" ref="D152:G152" si="24">IF(D107=0,0,D150/D107)</f>
        <v>3.7010408768180878</v>
      </c>
      <c r="E152" s="295">
        <f t="shared" si="24"/>
        <v>0.48353440846977719</v>
      </c>
      <c r="F152" s="295">
        <f t="shared" si="24"/>
        <v>3.0784656617688988</v>
      </c>
      <c r="G152" s="295">
        <f t="shared" si="24"/>
        <v>2.4711308622024711E-2</v>
      </c>
    </row>
    <row r="153" spans="1:7" s="296" customFormat="1" ht="28">
      <c r="A153" s="222" t="s">
        <v>325</v>
      </c>
      <c r="B153" s="297"/>
      <c r="C153" s="297" t="s">
        <v>327</v>
      </c>
      <c r="D153" s="241">
        <f t="shared" ref="D153:G153" si="25">IF(0=D108,0,D150/D108)</f>
        <v>3.7216153270302494</v>
      </c>
      <c r="E153" s="241">
        <f t="shared" si="25"/>
        <v>0.48879970132536865</v>
      </c>
      <c r="F153" s="241">
        <f t="shared" si="25"/>
        <v>3.0881511707726337</v>
      </c>
      <c r="G153" s="241">
        <f t="shared" si="25"/>
        <v>2.5005961911899976E-2</v>
      </c>
    </row>
    <row r="154" spans="1:7" ht="28">
      <c r="A154" s="226" t="s">
        <v>328</v>
      </c>
      <c r="B154" s="299"/>
      <c r="C154" s="299" t="s">
        <v>329</v>
      </c>
      <c r="D154" s="234">
        <f t="shared" ref="D154:G154" si="26">D150-D107</f>
        <v>195920</v>
      </c>
      <c r="E154" s="234">
        <f t="shared" si="26"/>
        <v>-33562</v>
      </c>
      <c r="F154" s="234">
        <f t="shared" si="26"/>
        <v>109346</v>
      </c>
      <c r="G154" s="234">
        <f t="shared" si="26"/>
        <v>-57938</v>
      </c>
    </row>
    <row r="155" spans="1:7" ht="28">
      <c r="A155" s="222" t="s">
        <v>330</v>
      </c>
      <c r="B155" s="297"/>
      <c r="C155" s="297" t="s">
        <v>331</v>
      </c>
      <c r="D155" s="231">
        <f t="shared" ref="D155:G155" si="27">D150-D108</f>
        <v>196321</v>
      </c>
      <c r="E155" s="231">
        <f t="shared" si="27"/>
        <v>-32862</v>
      </c>
      <c r="F155" s="231">
        <f t="shared" si="27"/>
        <v>109511</v>
      </c>
      <c r="G155" s="231">
        <f t="shared" si="27"/>
        <v>-57238</v>
      </c>
    </row>
    <row r="156" spans="1:7">
      <c r="A156" s="216" t="s">
        <v>332</v>
      </c>
      <c r="B156" s="290"/>
      <c r="C156" s="290" t="s">
        <v>333</v>
      </c>
      <c r="D156" s="235">
        <f t="shared" ref="D156:G156" si="28">D135+D136-D137+D141-D142</f>
        <v>774403</v>
      </c>
      <c r="E156" s="235">
        <f t="shared" si="28"/>
        <v>0</v>
      </c>
      <c r="F156" s="235">
        <f t="shared" si="28"/>
        <v>863680</v>
      </c>
      <c r="G156" s="235">
        <f t="shared" si="28"/>
        <v>0</v>
      </c>
    </row>
    <row r="157" spans="1:7">
      <c r="A157" s="236" t="s">
        <v>334</v>
      </c>
      <c r="B157" s="302"/>
      <c r="C157" s="302" t="s">
        <v>335</v>
      </c>
      <c r="D157" s="238">
        <f t="shared" ref="D157:G157" si="29">IF(D177=0,0,D156/D177)</f>
        <v>0.43839781617140472</v>
      </c>
      <c r="E157" s="238">
        <f t="shared" si="29"/>
        <v>0</v>
      </c>
      <c r="F157" s="238">
        <f t="shared" si="29"/>
        <v>0.51369620622076306</v>
      </c>
      <c r="G157" s="238">
        <f t="shared" si="29"/>
        <v>0</v>
      </c>
    </row>
    <row r="158" spans="1:7">
      <c r="A158" s="216" t="s">
        <v>336</v>
      </c>
      <c r="B158" s="290"/>
      <c r="C158" s="290" t="s">
        <v>337</v>
      </c>
      <c r="D158" s="235">
        <f t="shared" ref="D158:G158" si="30">D133-D142-D111</f>
        <v>493100</v>
      </c>
      <c r="E158" s="235">
        <f t="shared" si="30"/>
        <v>0</v>
      </c>
      <c r="F158" s="235">
        <f t="shared" si="30"/>
        <v>409178</v>
      </c>
      <c r="G158" s="235">
        <f t="shared" si="30"/>
        <v>0</v>
      </c>
    </row>
    <row r="159" spans="1:7">
      <c r="A159" s="219" t="s">
        <v>338</v>
      </c>
      <c r="B159" s="214"/>
      <c r="C159" s="214" t="s">
        <v>339</v>
      </c>
      <c r="D159" s="239">
        <f t="shared" ref="D159:G159" si="31">D121-D123-D124-D142-D145</f>
        <v>-169047</v>
      </c>
      <c r="E159" s="239">
        <f t="shared" si="31"/>
        <v>0</v>
      </c>
      <c r="F159" s="239">
        <f t="shared" si="31"/>
        <v>-348588</v>
      </c>
      <c r="G159" s="239">
        <f t="shared" si="31"/>
        <v>0</v>
      </c>
    </row>
    <row r="160" spans="1:7">
      <c r="A160" s="219" t="s">
        <v>340</v>
      </c>
      <c r="B160" s="214"/>
      <c r="C160" s="214" t="s">
        <v>341</v>
      </c>
      <c r="D160" s="240">
        <f t="shared" ref="D160:G160" si="32">IF(D175=0,"-",1000*D158/D175)</f>
        <v>1882.1185379706251</v>
      </c>
      <c r="E160" s="240">
        <f t="shared" si="32"/>
        <v>0</v>
      </c>
      <c r="F160" s="240">
        <f t="shared" si="32"/>
        <v>1535.3195002063712</v>
      </c>
      <c r="G160" s="240" t="str">
        <f t="shared" si="32"/>
        <v>-</v>
      </c>
    </row>
    <row r="161" spans="1:7">
      <c r="A161" s="219" t="s">
        <v>340</v>
      </c>
      <c r="B161" s="214"/>
      <c r="C161" s="214" t="s">
        <v>342</v>
      </c>
      <c r="D161" s="239">
        <f t="shared" ref="D161:G161" si="33">IF(D175=0,0,1000*(D159/D175))</f>
        <v>-645.23725915295131</v>
      </c>
      <c r="E161" s="239">
        <f t="shared" si="33"/>
        <v>0</v>
      </c>
      <c r="F161" s="239">
        <f t="shared" si="33"/>
        <v>-1307.9734343927057</v>
      </c>
      <c r="G161" s="239">
        <f t="shared" si="33"/>
        <v>0</v>
      </c>
    </row>
    <row r="162" spans="1:7">
      <c r="A162" s="236" t="s">
        <v>343</v>
      </c>
      <c r="B162" s="302"/>
      <c r="C162" s="302" t="s">
        <v>344</v>
      </c>
      <c r="D162" s="238">
        <f t="shared" ref="D162:G162" si="34">IF((D22+D23+D65+D66)=0,0,D158/(D22+D23+D65+D66))</f>
        <v>0.62122599851591109</v>
      </c>
      <c r="E162" s="238">
        <f t="shared" si="34"/>
        <v>0</v>
      </c>
      <c r="F162" s="238">
        <f t="shared" si="34"/>
        <v>0.50486134074297084</v>
      </c>
      <c r="G162" s="238">
        <f t="shared" si="34"/>
        <v>0</v>
      </c>
    </row>
    <row r="163" spans="1:7">
      <c r="A163" s="219" t="s">
        <v>345</v>
      </c>
      <c r="B163" s="214"/>
      <c r="C163" s="214" t="s">
        <v>316</v>
      </c>
      <c r="D163" s="218">
        <f t="shared" ref="D163:G163" si="35">D145</f>
        <v>506766</v>
      </c>
      <c r="E163" s="218">
        <f t="shared" si="35"/>
        <v>0</v>
      </c>
      <c r="F163" s="218">
        <f t="shared" si="35"/>
        <v>642789</v>
      </c>
      <c r="G163" s="218">
        <f t="shared" si="35"/>
        <v>0</v>
      </c>
    </row>
    <row r="164" spans="1:7" ht="28">
      <c r="A164" s="222" t="s">
        <v>346</v>
      </c>
      <c r="B164" s="304"/>
      <c r="C164" s="304" t="s">
        <v>347</v>
      </c>
      <c r="D164" s="241">
        <f t="shared" ref="D164:G164" si="36">IF(D178=0,0,D146/D178)</f>
        <v>0.11889236341548463</v>
      </c>
      <c r="E164" s="241">
        <f t="shared" si="36"/>
        <v>0</v>
      </c>
      <c r="F164" s="241">
        <f t="shared" si="36"/>
        <v>0.13262762673739462</v>
      </c>
      <c r="G164" s="241">
        <f t="shared" si="36"/>
        <v>0</v>
      </c>
    </row>
    <row r="165" spans="1:7">
      <c r="A165" s="242" t="s">
        <v>348</v>
      </c>
      <c r="B165" s="307"/>
      <c r="C165" s="307" t="s">
        <v>349</v>
      </c>
      <c r="D165" s="244">
        <f t="shared" ref="D165:G165" si="37">IF(D177=0,0,D180/D177)</f>
        <v>2.5360060551199333E-2</v>
      </c>
      <c r="E165" s="244">
        <f t="shared" si="37"/>
        <v>2.1465953897037281E-2</v>
      </c>
      <c r="F165" s="244">
        <f t="shared" si="37"/>
        <v>1.9180933857925839E-2</v>
      </c>
      <c r="G165" s="244">
        <f t="shared" si="37"/>
        <v>2.2352036329350775E-2</v>
      </c>
    </row>
    <row r="166" spans="1:7">
      <c r="A166" s="219" t="s">
        <v>350</v>
      </c>
      <c r="B166" s="214"/>
      <c r="C166" s="214" t="s">
        <v>218</v>
      </c>
      <c r="D166" s="218">
        <f t="shared" ref="D166:G166" si="38">D55</f>
        <v>172837</v>
      </c>
      <c r="E166" s="218">
        <f t="shared" si="38"/>
        <v>55780</v>
      </c>
      <c r="F166" s="218">
        <f t="shared" si="38"/>
        <v>78923</v>
      </c>
      <c r="G166" s="218">
        <f t="shared" si="38"/>
        <v>59522</v>
      </c>
    </row>
    <row r="167" spans="1:7">
      <c r="A167" s="236" t="s">
        <v>351</v>
      </c>
      <c r="B167" s="302"/>
      <c r="C167" s="302" t="s">
        <v>352</v>
      </c>
      <c r="D167" s="238">
        <f t="shared" ref="D167:G167" si="39">IF(0=D111,0,(D44+D45+D46+D47+D48)/D111)</f>
        <v>0.28317699238127619</v>
      </c>
      <c r="E167" s="238">
        <f t="shared" si="39"/>
        <v>0</v>
      </c>
      <c r="F167" s="238">
        <f t="shared" si="39"/>
        <v>8.1044240458278696E-2</v>
      </c>
      <c r="G167" s="238">
        <f t="shared" si="39"/>
        <v>0</v>
      </c>
    </row>
    <row r="168" spans="1:7">
      <c r="A168" s="219" t="s">
        <v>353</v>
      </c>
      <c r="B168" s="290"/>
      <c r="C168" s="290" t="s">
        <v>354</v>
      </c>
      <c r="D168" s="218">
        <f t="shared" ref="D168:G168" si="40">D38-D44</f>
        <v>-3902</v>
      </c>
      <c r="E168" s="218">
        <f t="shared" si="40"/>
        <v>-2313</v>
      </c>
      <c r="F168" s="218">
        <f t="shared" si="40"/>
        <v>-4445</v>
      </c>
      <c r="G168" s="218">
        <f t="shared" si="40"/>
        <v>-2971</v>
      </c>
    </row>
    <row r="169" spans="1:7">
      <c r="A169" s="236" t="s">
        <v>355</v>
      </c>
      <c r="B169" s="302"/>
      <c r="C169" s="302" t="s">
        <v>356</v>
      </c>
      <c r="D169" s="221">
        <f t="shared" ref="D169:G169" si="41">IF(D177=0,0,D168/D177)</f>
        <v>-2.2089639098774429E-3</v>
      </c>
      <c r="E169" s="221">
        <f t="shared" si="41"/>
        <v>-1.5091872507932531E-3</v>
      </c>
      <c r="F169" s="221">
        <f t="shared" si="41"/>
        <v>-2.6437796830438261E-3</v>
      </c>
      <c r="G169" s="221">
        <f t="shared" si="41"/>
        <v>-1.8838051723164971E-3</v>
      </c>
    </row>
    <row r="170" spans="1:7">
      <c r="A170" s="219" t="s">
        <v>357</v>
      </c>
      <c r="B170" s="214"/>
      <c r="C170" s="214" t="s">
        <v>358</v>
      </c>
      <c r="D170" s="218">
        <f t="shared" ref="D170:G170" si="42">SUM(D82:D87)+SUM(D89:D94)</f>
        <v>105876</v>
      </c>
      <c r="E170" s="218">
        <f t="shared" si="42"/>
        <v>99013</v>
      </c>
      <c r="F170" s="218">
        <f t="shared" si="42"/>
        <v>85655</v>
      </c>
      <c r="G170" s="218">
        <f t="shared" si="42"/>
        <v>102373</v>
      </c>
    </row>
    <row r="171" spans="1:7">
      <c r="A171" s="219" t="s">
        <v>359</v>
      </c>
      <c r="B171" s="214"/>
      <c r="C171" s="214" t="s">
        <v>360</v>
      </c>
      <c r="D171" s="239">
        <f t="shared" ref="D171:G171" si="43">SUM(D96:D102)+SUM(D104:D105)</f>
        <v>33341</v>
      </c>
      <c r="E171" s="239">
        <f t="shared" si="43"/>
        <v>34029</v>
      </c>
      <c r="F171" s="239">
        <f t="shared" si="43"/>
        <v>33046</v>
      </c>
      <c r="G171" s="239">
        <f t="shared" si="43"/>
        <v>42967</v>
      </c>
    </row>
    <row r="172" spans="1:7">
      <c r="A172" s="242" t="s">
        <v>361</v>
      </c>
      <c r="B172" s="307"/>
      <c r="C172" s="307" t="s">
        <v>362</v>
      </c>
      <c r="D172" s="244">
        <f t="shared" ref="D172:G172" si="44">IF(D184=0,0,D170/D184)</f>
        <v>6.7460188510818059E-2</v>
      </c>
      <c r="E172" s="244">
        <f t="shared" si="44"/>
        <v>6.2412854099166679E-2</v>
      </c>
      <c r="F172" s="244">
        <f t="shared" si="44"/>
        <v>5.4403435886133555E-2</v>
      </c>
      <c r="G172" s="244">
        <f t="shared" si="44"/>
        <v>6.2008352741292162E-2</v>
      </c>
    </row>
    <row r="173" spans="1:7">
      <c r="A173" s="389"/>
    </row>
    <row r="174" spans="1:7">
      <c r="A174" s="310" t="s">
        <v>363</v>
      </c>
      <c r="B174" s="248"/>
      <c r="C174" s="247"/>
      <c r="D174" s="161"/>
      <c r="E174" s="161"/>
      <c r="F174" s="161"/>
      <c r="G174" s="161"/>
    </row>
    <row r="175" spans="1:7" s="91" customFormat="1">
      <c r="A175" s="312" t="s">
        <v>364</v>
      </c>
      <c r="B175" s="248"/>
      <c r="C175" s="248" t="s">
        <v>387</v>
      </c>
      <c r="D175" s="314">
        <v>261992</v>
      </c>
      <c r="E175" s="314">
        <v>261992</v>
      </c>
      <c r="F175" s="314">
        <v>266510</v>
      </c>
      <c r="G175" s="314"/>
    </row>
    <row r="176" spans="1:7">
      <c r="A176" s="310" t="s">
        <v>366</v>
      </c>
      <c r="B176" s="248"/>
      <c r="C176" s="248"/>
      <c r="D176" s="248"/>
      <c r="E176" s="248"/>
      <c r="F176" s="248"/>
      <c r="G176" s="248"/>
    </row>
    <row r="177" spans="1:7">
      <c r="A177" s="312" t="s">
        <v>367</v>
      </c>
      <c r="B177" s="248"/>
      <c r="C177" s="248" t="s">
        <v>368</v>
      </c>
      <c r="D177" s="249">
        <f t="shared" ref="D177:G177" si="45">SUM(D22:D32)+SUM(D44:D53)+SUM(D65:D72)+D75</f>
        <v>1766439</v>
      </c>
      <c r="E177" s="249">
        <f t="shared" si="45"/>
        <v>1532613</v>
      </c>
      <c r="F177" s="249">
        <f t="shared" si="45"/>
        <v>1681305</v>
      </c>
      <c r="G177" s="249">
        <f t="shared" si="45"/>
        <v>1577127</v>
      </c>
    </row>
    <row r="178" spans="1:7">
      <c r="A178" s="312" t="s">
        <v>369</v>
      </c>
      <c r="B178" s="248"/>
      <c r="C178" s="248" t="s">
        <v>370</v>
      </c>
      <c r="D178" s="249">
        <f t="shared" ref="D178:G178" si="46">D78-D17-D20-D59-D63-D64</f>
        <v>1778020</v>
      </c>
      <c r="E178" s="249">
        <f t="shared" si="46"/>
        <v>1535765</v>
      </c>
      <c r="F178" s="249">
        <f t="shared" si="46"/>
        <v>1652906</v>
      </c>
      <c r="G178" s="249">
        <f t="shared" si="46"/>
        <v>1599993</v>
      </c>
    </row>
    <row r="179" spans="1:7">
      <c r="A179" s="312"/>
      <c r="B179" s="248"/>
      <c r="C179" s="248" t="s">
        <v>371</v>
      </c>
      <c r="D179" s="249">
        <f t="shared" ref="D179:G179" si="47">D178+D170</f>
        <v>1883896</v>
      </c>
      <c r="E179" s="249">
        <f t="shared" si="47"/>
        <v>1634778</v>
      </c>
      <c r="F179" s="249">
        <f t="shared" si="47"/>
        <v>1738561</v>
      </c>
      <c r="G179" s="249">
        <f t="shared" si="47"/>
        <v>1702366</v>
      </c>
    </row>
    <row r="180" spans="1:7">
      <c r="A180" s="312" t="s">
        <v>372</v>
      </c>
      <c r="B180" s="248"/>
      <c r="C180" s="248" t="s">
        <v>373</v>
      </c>
      <c r="D180" s="249">
        <f t="shared" ref="D180:G180" si="48">D38-D44+D8+D9+D10+D16-D33</f>
        <v>44797</v>
      </c>
      <c r="E180" s="249">
        <f t="shared" si="48"/>
        <v>32899</v>
      </c>
      <c r="F180" s="249">
        <f t="shared" si="48"/>
        <v>32249</v>
      </c>
      <c r="G180" s="249">
        <f t="shared" si="48"/>
        <v>35252</v>
      </c>
    </row>
    <row r="181" spans="1:7" ht="27.5" customHeight="1">
      <c r="A181" s="315" t="s">
        <v>374</v>
      </c>
      <c r="B181" s="251"/>
      <c r="C181" s="251" t="s">
        <v>375</v>
      </c>
      <c r="D181" s="252">
        <f t="shared" ref="D181:G181" si="49">D22+D23+D24+D25+D26+D29+SUM(D44:D47)+SUM(D49:D53)-D54+D32-D33+SUM(D65:D70)+D72</f>
        <v>1622799</v>
      </c>
      <c r="E181" s="252">
        <f t="shared" si="49"/>
        <v>1518114</v>
      </c>
      <c r="F181" s="252">
        <f t="shared" si="49"/>
        <v>1650739</v>
      </c>
      <c r="G181" s="252">
        <f t="shared" si="49"/>
        <v>1549046</v>
      </c>
    </row>
    <row r="182" spans="1:7">
      <c r="A182" s="317" t="s">
        <v>376</v>
      </c>
      <c r="B182" s="251"/>
      <c r="C182" s="251" t="s">
        <v>377</v>
      </c>
      <c r="D182" s="252">
        <f t="shared" ref="D182:G182" si="50">D181+D171</f>
        <v>1656140</v>
      </c>
      <c r="E182" s="252">
        <f t="shared" si="50"/>
        <v>1552143</v>
      </c>
      <c r="F182" s="252">
        <f t="shared" si="50"/>
        <v>1683785</v>
      </c>
      <c r="G182" s="252">
        <f t="shared" si="50"/>
        <v>1592013</v>
      </c>
    </row>
    <row r="183" spans="1:7">
      <c r="A183" s="317" t="s">
        <v>378</v>
      </c>
      <c r="B183" s="251"/>
      <c r="C183" s="251" t="s">
        <v>379</v>
      </c>
      <c r="D183" s="252">
        <f t="shared" ref="D183" si="51">D4+D5-D7+D38+D39+D40+D41+D43+D13-D16+D57+D58+D60+D62</f>
        <v>1463583</v>
      </c>
      <c r="E183" s="252">
        <f>E4+E5-E7+E38+E39+E40+E41+E43+E13-E16+E57+E58+E60+E62</f>
        <v>1487407</v>
      </c>
      <c r="F183" s="252">
        <f>F4+F5-F7+F38+F39+F40+F41+F43+F13-F16+F57+F58+F60+F62</f>
        <v>1488786</v>
      </c>
      <c r="G183" s="252">
        <f>G4+G5-G7+G38+G39+G40+G41+G43+G13-G16+G57+G58+G60+G62</f>
        <v>1548582</v>
      </c>
    </row>
    <row r="184" spans="1:7">
      <c r="A184" s="317" t="s">
        <v>380</v>
      </c>
      <c r="B184" s="251"/>
      <c r="C184" s="251" t="s">
        <v>381</v>
      </c>
      <c r="D184" s="252">
        <f t="shared" ref="D184:G184" si="52">D183+D170</f>
        <v>1569459</v>
      </c>
      <c r="E184" s="252">
        <f t="shared" si="52"/>
        <v>1586420</v>
      </c>
      <c r="F184" s="252">
        <f t="shared" si="52"/>
        <v>1574441</v>
      </c>
      <c r="G184" s="252">
        <f t="shared" si="52"/>
        <v>1650955</v>
      </c>
    </row>
    <row r="185" spans="1:7">
      <c r="A185" s="317"/>
      <c r="B185" s="251"/>
      <c r="C185" s="251" t="s">
        <v>382</v>
      </c>
      <c r="D185" s="252">
        <f t="shared" ref="D185:G186" si="53">D181-D183</f>
        <v>159216</v>
      </c>
      <c r="E185" s="252">
        <f t="shared" si="53"/>
        <v>30707</v>
      </c>
      <c r="F185" s="252">
        <f t="shared" si="53"/>
        <v>161953</v>
      </c>
      <c r="G185" s="252">
        <f t="shared" si="53"/>
        <v>464</v>
      </c>
    </row>
    <row r="186" spans="1:7">
      <c r="A186" s="317"/>
      <c r="B186" s="251"/>
      <c r="C186" s="251" t="s">
        <v>383</v>
      </c>
      <c r="D186" s="252">
        <f t="shared" si="53"/>
        <v>86681</v>
      </c>
      <c r="E186" s="252">
        <f t="shared" si="53"/>
        <v>-34277</v>
      </c>
      <c r="F186" s="252">
        <f t="shared" si="53"/>
        <v>109344</v>
      </c>
      <c r="G186" s="252">
        <f t="shared" si="53"/>
        <v>-58942</v>
      </c>
    </row>
  </sheetData>
  <sheetProtection selectLockedCells="1" sort="0" autoFilter="0" pivotTables="0"/>
  <autoFilter ref="A1:G1" xr:uid="{00000000-0009-0000-0000-000015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8" man="1"/>
    <brk id="147" max="8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AM186"/>
  <sheetViews>
    <sheetView tabSelected="1" zoomScale="115" zoomScaleNormal="115" workbookViewId="0">
      <pane xSplit="3" ySplit="2" topLeftCell="D3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11.5" defaultRowHeight="13"/>
  <cols>
    <col min="1" max="1" width="16.33203125" style="389" customWidth="1"/>
    <col min="2" max="2" width="3.6640625" style="84" customWidth="1"/>
    <col min="3" max="3" width="44.6640625" style="84" customWidth="1"/>
    <col min="4" max="5" width="11.5" style="84"/>
    <col min="6" max="7" width="11.5" style="84" customWidth="1"/>
    <col min="8" max="16384" width="11.5" style="84"/>
  </cols>
  <sheetData>
    <row r="1" spans="1:39" s="77" customFormat="1" ht="18" customHeight="1">
      <c r="A1" s="399" t="s">
        <v>94</v>
      </c>
      <c r="B1" s="73" t="s">
        <v>627</v>
      </c>
      <c r="C1" s="73" t="s">
        <v>628</v>
      </c>
      <c r="D1" s="74" t="s">
        <v>96</v>
      </c>
      <c r="E1" s="75" t="s">
        <v>9</v>
      </c>
      <c r="F1" s="74" t="s">
        <v>96</v>
      </c>
      <c r="G1" s="75" t="s">
        <v>9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</row>
    <row r="2" spans="1:39" s="83" customFormat="1" ht="15" customHeight="1">
      <c r="A2" s="400"/>
      <c r="B2" s="79"/>
      <c r="C2" s="80" t="s">
        <v>397</v>
      </c>
      <c r="D2" s="81">
        <v>2014</v>
      </c>
      <c r="E2" s="82">
        <v>2015</v>
      </c>
      <c r="F2" s="81">
        <v>2015</v>
      </c>
      <c r="G2" s="82">
        <v>2016</v>
      </c>
    </row>
    <row r="3" spans="1:39" ht="15" customHeight="1">
      <c r="A3" s="678" t="s">
        <v>398</v>
      </c>
      <c r="B3" s="679"/>
      <c r="C3" s="679"/>
      <c r="E3" s="85"/>
      <c r="F3" s="85"/>
      <c r="G3" s="85"/>
    </row>
    <row r="4" spans="1:39" s="91" customFormat="1" ht="12.75" customHeight="1">
      <c r="A4" s="401">
        <v>30</v>
      </c>
      <c r="B4" s="87"/>
      <c r="C4" s="88" t="s">
        <v>98</v>
      </c>
      <c r="D4" s="89">
        <v>990458.68859000062</v>
      </c>
      <c r="E4" s="90">
        <v>1000452.21</v>
      </c>
      <c r="F4" s="90">
        <v>1000138.10646</v>
      </c>
      <c r="G4" s="90">
        <v>996731.05</v>
      </c>
    </row>
    <row r="5" spans="1:39" s="91" customFormat="1" ht="12.75" customHeight="1">
      <c r="A5" s="101">
        <v>31</v>
      </c>
      <c r="B5" s="93"/>
      <c r="C5" s="94" t="s">
        <v>399</v>
      </c>
      <c r="D5" s="95">
        <v>278511.61605000001</v>
      </c>
      <c r="E5" s="96">
        <v>269481.90999999997</v>
      </c>
      <c r="F5" s="96">
        <v>278554.52562000003</v>
      </c>
      <c r="G5" s="96">
        <v>282001.88</v>
      </c>
    </row>
    <row r="6" spans="1:39" s="91" customFormat="1" ht="12.75" customHeight="1">
      <c r="A6" s="97" t="s">
        <v>100</v>
      </c>
      <c r="B6" s="98"/>
      <c r="C6" s="99" t="s">
        <v>400</v>
      </c>
      <c r="D6" s="100">
        <v>51551.911690000008</v>
      </c>
      <c r="E6" s="96">
        <v>42692.5</v>
      </c>
      <c r="F6" s="96">
        <v>46878.333179999994</v>
      </c>
      <c r="G6" s="96">
        <v>48018.7</v>
      </c>
    </row>
    <row r="7" spans="1:39" s="91" customFormat="1" ht="12.75" customHeight="1">
      <c r="A7" s="97" t="s">
        <v>401</v>
      </c>
      <c r="B7" s="98"/>
      <c r="C7" s="99" t="s">
        <v>402</v>
      </c>
      <c r="D7" s="100">
        <v>0</v>
      </c>
      <c r="E7" s="96">
        <v>0</v>
      </c>
      <c r="F7" s="96">
        <v>0</v>
      </c>
      <c r="G7" s="96">
        <v>0</v>
      </c>
    </row>
    <row r="8" spans="1:39" s="91" customFormat="1" ht="12.75" customHeight="1">
      <c r="A8" s="101">
        <v>330</v>
      </c>
      <c r="B8" s="93"/>
      <c r="C8" s="94" t="s">
        <v>403</v>
      </c>
      <c r="D8" s="95">
        <v>93689.757060000004</v>
      </c>
      <c r="E8" s="96">
        <v>102900</v>
      </c>
      <c r="F8" s="96">
        <v>94831.46686</v>
      </c>
      <c r="G8" s="96">
        <v>103100</v>
      </c>
    </row>
    <row r="9" spans="1:39" s="91" customFormat="1" ht="12.75" customHeight="1">
      <c r="A9" s="101">
        <v>332</v>
      </c>
      <c r="B9" s="93"/>
      <c r="C9" s="94" t="s">
        <v>404</v>
      </c>
      <c r="D9" s="95">
        <v>0</v>
      </c>
      <c r="E9" s="96">
        <v>0</v>
      </c>
      <c r="F9" s="96">
        <v>0</v>
      </c>
      <c r="G9" s="96">
        <v>0</v>
      </c>
    </row>
    <row r="10" spans="1:39" s="91" customFormat="1" ht="12.75" customHeight="1">
      <c r="A10" s="101">
        <v>339</v>
      </c>
      <c r="B10" s="93"/>
      <c r="C10" s="94" t="s">
        <v>405</v>
      </c>
      <c r="D10" s="95">
        <v>0</v>
      </c>
      <c r="E10" s="96">
        <v>0</v>
      </c>
      <c r="F10" s="96">
        <v>0</v>
      </c>
      <c r="G10" s="96">
        <v>0</v>
      </c>
    </row>
    <row r="11" spans="1:39" s="195" customFormat="1" ht="28.25" customHeight="1">
      <c r="A11" s="102">
        <v>350</v>
      </c>
      <c r="B11" s="402"/>
      <c r="C11" s="104" t="s">
        <v>406</v>
      </c>
      <c r="D11" s="131">
        <v>31378.216579999997</v>
      </c>
      <c r="E11" s="96">
        <v>31315.25</v>
      </c>
      <c r="F11" s="96">
        <v>22272.317030000002</v>
      </c>
      <c r="G11" s="96">
        <v>20302.939999999999</v>
      </c>
    </row>
    <row r="12" spans="1:39" s="106" customFormat="1" ht="28">
      <c r="A12" s="102">
        <v>351</v>
      </c>
      <c r="B12" s="103"/>
      <c r="C12" s="104" t="s">
        <v>407</v>
      </c>
      <c r="D12" s="105">
        <v>0</v>
      </c>
      <c r="E12" s="96">
        <v>0</v>
      </c>
      <c r="F12" s="96">
        <v>0</v>
      </c>
      <c r="G12" s="96">
        <v>0</v>
      </c>
    </row>
    <row r="13" spans="1:39" s="91" customFormat="1" ht="12.75" customHeight="1">
      <c r="A13" s="101">
        <v>36</v>
      </c>
      <c r="B13" s="93"/>
      <c r="C13" s="94" t="s">
        <v>408</v>
      </c>
      <c r="D13" s="100">
        <v>1799459.1465000003</v>
      </c>
      <c r="E13" s="96">
        <v>1809574.67</v>
      </c>
      <c r="F13" s="96">
        <v>1806293.5232600006</v>
      </c>
      <c r="G13" s="96">
        <v>1834764.81</v>
      </c>
    </row>
    <row r="14" spans="1:39" s="91" customFormat="1" ht="12.75" customHeight="1">
      <c r="A14" s="107" t="s">
        <v>409</v>
      </c>
      <c r="B14" s="93"/>
      <c r="C14" s="108" t="s">
        <v>410</v>
      </c>
      <c r="D14" s="100">
        <v>495010.75152000005</v>
      </c>
      <c r="E14" s="96">
        <v>511654.24</v>
      </c>
      <c r="F14" s="96">
        <v>511006.94286999997</v>
      </c>
      <c r="G14" s="96">
        <v>521375.9</v>
      </c>
    </row>
    <row r="15" spans="1:39" s="91" customFormat="1" ht="12.75" customHeight="1">
      <c r="A15" s="107" t="s">
        <v>411</v>
      </c>
      <c r="B15" s="93"/>
      <c r="C15" s="108" t="s">
        <v>412</v>
      </c>
      <c r="D15" s="100">
        <v>30344.651580000005</v>
      </c>
      <c r="E15" s="96">
        <v>33653.870000000003</v>
      </c>
      <c r="F15" s="96">
        <v>27303.707709999999</v>
      </c>
      <c r="G15" s="96">
        <v>27847.81</v>
      </c>
    </row>
    <row r="16" spans="1:39" s="111" customFormat="1" ht="26.25" customHeight="1">
      <c r="A16" s="107" t="s">
        <v>413</v>
      </c>
      <c r="B16" s="109"/>
      <c r="C16" s="108" t="s">
        <v>414</v>
      </c>
      <c r="D16" s="110">
        <v>72353.461890000006</v>
      </c>
      <c r="E16" s="96">
        <v>76880</v>
      </c>
      <c r="F16" s="96">
        <v>76708.119189999998</v>
      </c>
      <c r="G16" s="96">
        <v>78980</v>
      </c>
    </row>
    <row r="17" spans="1:7" s="113" customFormat="1">
      <c r="A17" s="101">
        <v>37</v>
      </c>
      <c r="B17" s="93"/>
      <c r="C17" s="94" t="s">
        <v>415</v>
      </c>
      <c r="D17" s="112">
        <v>119238.37395000001</v>
      </c>
      <c r="E17" s="96">
        <v>119121.22</v>
      </c>
      <c r="F17" s="96">
        <v>125037.56760000001</v>
      </c>
      <c r="G17" s="96">
        <v>125565.7</v>
      </c>
    </row>
    <row r="18" spans="1:7" s="113" customFormat="1">
      <c r="A18" s="114" t="s">
        <v>416</v>
      </c>
      <c r="B18" s="98"/>
      <c r="C18" s="99" t="s">
        <v>417</v>
      </c>
      <c r="D18" s="115">
        <v>67574.601999999999</v>
      </c>
      <c r="E18" s="96">
        <v>68825</v>
      </c>
      <c r="F18" s="96">
        <v>73330.635999999999</v>
      </c>
      <c r="G18" s="96">
        <v>71213.399999999994</v>
      </c>
    </row>
    <row r="19" spans="1:7" s="113" customFormat="1">
      <c r="A19" s="114" t="s">
        <v>418</v>
      </c>
      <c r="B19" s="98"/>
      <c r="C19" s="99" t="s">
        <v>419</v>
      </c>
      <c r="D19" s="115">
        <v>44474.071499999998</v>
      </c>
      <c r="E19" s="96">
        <v>43130.5</v>
      </c>
      <c r="F19" s="96">
        <v>44174.898150000008</v>
      </c>
      <c r="G19" s="96">
        <v>45766.9</v>
      </c>
    </row>
    <row r="20" spans="1:7" s="91" customFormat="1" ht="12.75" customHeight="1">
      <c r="A20" s="403">
        <v>39</v>
      </c>
      <c r="B20" s="117"/>
      <c r="C20" s="118" t="s">
        <v>120</v>
      </c>
      <c r="D20" s="119">
        <v>194673.05239000008</v>
      </c>
      <c r="E20" s="120">
        <v>192285.05</v>
      </c>
      <c r="F20" s="120">
        <v>208231.52371000007</v>
      </c>
      <c r="G20" s="120">
        <v>201229.96</v>
      </c>
    </row>
    <row r="21" spans="1:7" ht="12.75" customHeight="1">
      <c r="A21" s="404"/>
      <c r="B21" s="121"/>
      <c r="C21" s="122" t="s">
        <v>420</v>
      </c>
      <c r="D21" s="123">
        <f t="shared" ref="D21:G21" si="0">D4+D5+SUM(D8:D13)+D17</f>
        <v>3312735.7987300009</v>
      </c>
      <c r="E21" s="123">
        <f t="shared" si="0"/>
        <v>3332845.2600000002</v>
      </c>
      <c r="F21" s="123">
        <f t="shared" si="0"/>
        <v>3327127.5068300008</v>
      </c>
      <c r="G21" s="123">
        <f t="shared" si="0"/>
        <v>3362466.3800000004</v>
      </c>
    </row>
    <row r="22" spans="1:7" s="195" customFormat="1" ht="12.75" customHeight="1">
      <c r="A22" s="102" t="s">
        <v>183</v>
      </c>
      <c r="B22" s="402"/>
      <c r="C22" s="104" t="s">
        <v>421</v>
      </c>
      <c r="D22" s="131">
        <v>1376114.3677399999</v>
      </c>
      <c r="E22" s="194">
        <v>1405652</v>
      </c>
      <c r="F22" s="194">
        <v>1372175.6783499999</v>
      </c>
      <c r="G22" s="194">
        <v>1414403.8</v>
      </c>
    </row>
    <row r="23" spans="1:7" s="195" customFormat="1" ht="14">
      <c r="A23" s="102" t="s">
        <v>185</v>
      </c>
      <c r="B23" s="402"/>
      <c r="C23" s="104" t="s">
        <v>422</v>
      </c>
      <c r="D23" s="131">
        <v>447496.19598999998</v>
      </c>
      <c r="E23" s="194">
        <v>425933</v>
      </c>
      <c r="F23" s="194">
        <v>446447.08487999998</v>
      </c>
      <c r="G23" s="194">
        <v>425600</v>
      </c>
    </row>
    <row r="24" spans="1:7" s="125" customFormat="1" ht="12.75" customHeight="1">
      <c r="A24" s="101">
        <v>41</v>
      </c>
      <c r="B24" s="93"/>
      <c r="C24" s="94" t="s">
        <v>423</v>
      </c>
      <c r="D24" s="95">
        <v>105436.76303999999</v>
      </c>
      <c r="E24" s="124">
        <v>111343.42</v>
      </c>
      <c r="F24" s="124">
        <v>175317.35993999997</v>
      </c>
      <c r="G24" s="124">
        <v>140504.6</v>
      </c>
    </row>
    <row r="25" spans="1:7" s="91" customFormat="1" ht="12.75" customHeight="1">
      <c r="A25" s="344">
        <v>42</v>
      </c>
      <c r="B25" s="127"/>
      <c r="C25" s="94" t="s">
        <v>424</v>
      </c>
      <c r="D25" s="95">
        <v>243146.10587999996</v>
      </c>
      <c r="E25" s="124">
        <v>246201.11</v>
      </c>
      <c r="F25" s="124">
        <v>246295.38764000003</v>
      </c>
      <c r="G25" s="124">
        <v>264051.81</v>
      </c>
    </row>
    <row r="26" spans="1:7" s="129" customFormat="1" ht="12.75" customHeight="1">
      <c r="A26" s="102">
        <v>430</v>
      </c>
      <c r="B26" s="93"/>
      <c r="C26" s="94" t="s">
        <v>425</v>
      </c>
      <c r="D26" s="112">
        <v>17030.014829999993</v>
      </c>
      <c r="E26" s="128">
        <v>16624.97</v>
      </c>
      <c r="F26" s="128">
        <v>14515.696339999999</v>
      </c>
      <c r="G26" s="128">
        <v>15294.8</v>
      </c>
    </row>
    <row r="27" spans="1:7" s="129" customFormat="1" ht="12.75" customHeight="1">
      <c r="A27" s="102">
        <v>431</v>
      </c>
      <c r="B27" s="93"/>
      <c r="C27" s="94" t="s">
        <v>426</v>
      </c>
      <c r="D27" s="112">
        <v>224.61365000000001</v>
      </c>
      <c r="E27" s="128">
        <v>322.60000000000002</v>
      </c>
      <c r="F27" s="128">
        <v>77.23</v>
      </c>
      <c r="G27" s="128">
        <v>0</v>
      </c>
    </row>
    <row r="28" spans="1:7" s="129" customFormat="1" ht="12.75" customHeight="1">
      <c r="A28" s="102">
        <v>432</v>
      </c>
      <c r="B28" s="93"/>
      <c r="C28" s="94" t="s">
        <v>427</v>
      </c>
      <c r="D28" s="128">
        <v>0</v>
      </c>
      <c r="E28" s="128">
        <v>0</v>
      </c>
      <c r="F28" s="128">
        <v>0</v>
      </c>
      <c r="G28" s="128">
        <v>0</v>
      </c>
    </row>
    <row r="29" spans="1:7" s="129" customFormat="1" ht="12.75" customHeight="1">
      <c r="A29" s="102">
        <v>439</v>
      </c>
      <c r="B29" s="93"/>
      <c r="C29" s="94" t="s">
        <v>428</v>
      </c>
      <c r="D29" s="112">
        <v>6165.7376900000008</v>
      </c>
      <c r="E29" s="128">
        <v>2506.0300000000002</v>
      </c>
      <c r="F29" s="128">
        <v>1247.9729100000002</v>
      </c>
      <c r="G29" s="128">
        <v>2524.9</v>
      </c>
    </row>
    <row r="30" spans="1:7" s="91" customFormat="1" ht="28">
      <c r="A30" s="102">
        <v>450</v>
      </c>
      <c r="B30" s="103"/>
      <c r="C30" s="104" t="s">
        <v>429</v>
      </c>
      <c r="D30" s="130">
        <v>9956.9496699999982</v>
      </c>
      <c r="E30" s="96">
        <v>7412.26</v>
      </c>
      <c r="F30" s="96">
        <v>11747.833490000001</v>
      </c>
      <c r="G30" s="96">
        <v>8839.81</v>
      </c>
    </row>
    <row r="31" spans="1:7" s="106" customFormat="1" ht="28">
      <c r="A31" s="102">
        <v>451</v>
      </c>
      <c r="B31" s="103"/>
      <c r="C31" s="104" t="s">
        <v>430</v>
      </c>
      <c r="D31" s="128">
        <v>0</v>
      </c>
      <c r="E31" s="124">
        <v>0</v>
      </c>
      <c r="F31" s="124">
        <v>0</v>
      </c>
      <c r="G31" s="124">
        <v>0</v>
      </c>
    </row>
    <row r="32" spans="1:7" s="91" customFormat="1" ht="12.75" customHeight="1">
      <c r="A32" s="101">
        <v>46</v>
      </c>
      <c r="B32" s="93"/>
      <c r="C32" s="94" t="s">
        <v>431</v>
      </c>
      <c r="D32" s="95">
        <v>835837.81437000004</v>
      </c>
      <c r="E32" s="124">
        <v>860662.55</v>
      </c>
      <c r="F32" s="124">
        <v>824863.13055999996</v>
      </c>
      <c r="G32" s="124">
        <v>858908.71</v>
      </c>
    </row>
    <row r="33" spans="1:7" s="111" customFormat="1" ht="14">
      <c r="A33" s="107" t="s">
        <v>432</v>
      </c>
      <c r="B33" s="405"/>
      <c r="C33" s="108" t="s">
        <v>433</v>
      </c>
      <c r="D33" s="406">
        <v>0</v>
      </c>
      <c r="E33" s="406">
        <v>0</v>
      </c>
      <c r="F33" s="406">
        <v>0</v>
      </c>
      <c r="G33" s="406">
        <v>0</v>
      </c>
    </row>
    <row r="34" spans="1:7" s="91" customFormat="1" ht="15" customHeight="1">
      <c r="A34" s="101">
        <v>47</v>
      </c>
      <c r="B34" s="93"/>
      <c r="C34" s="94" t="s">
        <v>415</v>
      </c>
      <c r="D34" s="95">
        <v>119238.37395000001</v>
      </c>
      <c r="E34" s="124">
        <v>119121.22</v>
      </c>
      <c r="F34" s="124">
        <v>125037.56760000001</v>
      </c>
      <c r="G34" s="124">
        <v>125565.7</v>
      </c>
    </row>
    <row r="35" spans="1:7" s="91" customFormat="1" ht="15" customHeight="1">
      <c r="A35" s="403">
        <v>49</v>
      </c>
      <c r="B35" s="117"/>
      <c r="C35" s="118" t="s">
        <v>120</v>
      </c>
      <c r="D35" s="119">
        <v>194673.05239</v>
      </c>
      <c r="E35" s="133">
        <v>192285.05</v>
      </c>
      <c r="F35" s="133">
        <v>208231.52371000001</v>
      </c>
      <c r="G35" s="133">
        <v>201229.96</v>
      </c>
    </row>
    <row r="36" spans="1:7" ht="13.5" customHeight="1">
      <c r="A36" s="404"/>
      <c r="B36" s="134"/>
      <c r="C36" s="122" t="s">
        <v>434</v>
      </c>
      <c r="D36" s="123">
        <f t="shared" ref="D36:G36" si="1">D22+D23+D24+D25+D26+D27+D28+D29+D30+D31+D32+D34</f>
        <v>3160646.9368099999</v>
      </c>
      <c r="E36" s="123">
        <f t="shared" si="1"/>
        <v>3195779.1599999997</v>
      </c>
      <c r="F36" s="123">
        <f t="shared" si="1"/>
        <v>3217724.9417099999</v>
      </c>
      <c r="G36" s="123">
        <f t="shared" si="1"/>
        <v>3255694.13</v>
      </c>
    </row>
    <row r="37" spans="1:7" s="135" customFormat="1" ht="15" customHeight="1">
      <c r="A37" s="404"/>
      <c r="B37" s="134"/>
      <c r="C37" s="122" t="s">
        <v>435</v>
      </c>
      <c r="D37" s="123">
        <f t="shared" ref="D37:G37" si="2">D36-D21</f>
        <v>-152088.86192000099</v>
      </c>
      <c r="E37" s="123">
        <f t="shared" si="2"/>
        <v>-137066.10000000056</v>
      </c>
      <c r="F37" s="123">
        <f t="shared" si="2"/>
        <v>-109402.56512000086</v>
      </c>
      <c r="G37" s="123">
        <f t="shared" si="2"/>
        <v>-106772.25000000047</v>
      </c>
    </row>
    <row r="38" spans="1:7" s="106" customFormat="1" ht="15" customHeight="1">
      <c r="A38" s="101">
        <v>340</v>
      </c>
      <c r="B38" s="93"/>
      <c r="C38" s="94" t="s">
        <v>436</v>
      </c>
      <c r="D38" s="95">
        <v>35279.159460000003</v>
      </c>
      <c r="E38" s="124">
        <v>36784</v>
      </c>
      <c r="F38" s="124">
        <v>34948.496299999999</v>
      </c>
      <c r="G38" s="124">
        <v>35381</v>
      </c>
    </row>
    <row r="39" spans="1:7" s="106" customFormat="1" ht="15" customHeight="1">
      <c r="A39" s="101">
        <v>341</v>
      </c>
      <c r="B39" s="93"/>
      <c r="C39" s="94" t="s">
        <v>437</v>
      </c>
      <c r="D39" s="95">
        <v>34.348660000000002</v>
      </c>
      <c r="E39" s="124">
        <v>20</v>
      </c>
      <c r="F39" s="124">
        <v>275.27609000000001</v>
      </c>
      <c r="G39" s="124">
        <v>20</v>
      </c>
    </row>
    <row r="40" spans="1:7" s="111" customFormat="1" ht="15" customHeight="1">
      <c r="A40" s="102">
        <v>342</v>
      </c>
      <c r="B40" s="402"/>
      <c r="C40" s="104" t="s">
        <v>438</v>
      </c>
      <c r="D40" s="131">
        <v>2147.6813400000001</v>
      </c>
      <c r="E40" s="194">
        <v>2415</v>
      </c>
      <c r="F40" s="194">
        <v>2043.9163199999998</v>
      </c>
      <c r="G40" s="194">
        <v>2645</v>
      </c>
    </row>
    <row r="41" spans="1:7" s="106" customFormat="1" ht="15" customHeight="1">
      <c r="A41" s="101">
        <v>343</v>
      </c>
      <c r="B41" s="93"/>
      <c r="C41" s="94" t="s">
        <v>439</v>
      </c>
      <c r="D41" s="124">
        <v>0</v>
      </c>
      <c r="E41" s="124">
        <v>0</v>
      </c>
      <c r="F41" s="124">
        <v>0</v>
      </c>
      <c r="G41" s="124">
        <v>0</v>
      </c>
    </row>
    <row r="42" spans="1:7" s="111" customFormat="1" ht="15" customHeight="1">
      <c r="A42" s="102">
        <v>344</v>
      </c>
      <c r="B42" s="402"/>
      <c r="C42" s="104" t="s">
        <v>440</v>
      </c>
      <c r="D42" s="194">
        <v>0</v>
      </c>
      <c r="E42" s="194">
        <v>0</v>
      </c>
      <c r="F42" s="194">
        <v>0</v>
      </c>
      <c r="G42" s="194">
        <v>0</v>
      </c>
    </row>
    <row r="43" spans="1:7" s="106" customFormat="1" ht="15" customHeight="1">
      <c r="A43" s="101">
        <v>349</v>
      </c>
      <c r="B43" s="93"/>
      <c r="C43" s="94" t="s">
        <v>441</v>
      </c>
      <c r="D43" s="95">
        <v>5099.5842599999996</v>
      </c>
      <c r="E43" s="124">
        <v>3875</v>
      </c>
      <c r="F43" s="124">
        <v>3880.3776100000009</v>
      </c>
      <c r="G43" s="124">
        <v>3350</v>
      </c>
    </row>
    <row r="44" spans="1:7" s="91" customFormat="1" ht="15" customHeight="1">
      <c r="A44" s="101">
        <v>440</v>
      </c>
      <c r="B44" s="93"/>
      <c r="C44" s="94" t="s">
        <v>442</v>
      </c>
      <c r="D44" s="95">
        <v>7511.4382100000012</v>
      </c>
      <c r="E44" s="124">
        <v>8794.57</v>
      </c>
      <c r="F44" s="124">
        <v>10385.734790000002</v>
      </c>
      <c r="G44" s="124">
        <v>11394.4</v>
      </c>
    </row>
    <row r="45" spans="1:7" s="195" customFormat="1" ht="15" customHeight="1">
      <c r="A45" s="102">
        <v>441</v>
      </c>
      <c r="B45" s="402"/>
      <c r="C45" s="104" t="s">
        <v>443</v>
      </c>
      <c r="D45" s="131">
        <v>427.32059000000004</v>
      </c>
      <c r="E45" s="407">
        <v>80</v>
      </c>
      <c r="F45" s="407">
        <v>260.93124999999998</v>
      </c>
      <c r="G45" s="407">
        <v>30</v>
      </c>
    </row>
    <row r="46" spans="1:7" s="195" customFormat="1" ht="15" customHeight="1">
      <c r="A46" s="102">
        <v>442</v>
      </c>
      <c r="B46" s="402"/>
      <c r="C46" s="104" t="s">
        <v>444</v>
      </c>
      <c r="D46" s="194">
        <v>0</v>
      </c>
      <c r="E46" s="194">
        <v>0</v>
      </c>
      <c r="F46" s="194">
        <v>0</v>
      </c>
      <c r="G46" s="194">
        <v>0</v>
      </c>
    </row>
    <row r="47" spans="1:7" s="91" customFormat="1" ht="15" customHeight="1">
      <c r="A47" s="101">
        <v>443</v>
      </c>
      <c r="B47" s="93"/>
      <c r="C47" s="94" t="s">
        <v>445</v>
      </c>
      <c r="D47" s="269">
        <v>0</v>
      </c>
      <c r="E47" s="269">
        <v>0</v>
      </c>
      <c r="F47" s="269">
        <v>0</v>
      </c>
      <c r="G47" s="269">
        <v>0</v>
      </c>
    </row>
    <row r="48" spans="1:7" s="91" customFormat="1" ht="15" customHeight="1">
      <c r="A48" s="101">
        <v>444</v>
      </c>
      <c r="B48" s="93"/>
      <c r="C48" s="94" t="s">
        <v>446</v>
      </c>
      <c r="D48" s="269">
        <v>0</v>
      </c>
      <c r="E48" s="269">
        <v>0</v>
      </c>
      <c r="F48" s="269">
        <v>0</v>
      </c>
      <c r="G48" s="269">
        <v>0</v>
      </c>
    </row>
    <row r="49" spans="1:7" s="91" customFormat="1" ht="15" customHeight="1">
      <c r="A49" s="101">
        <v>445</v>
      </c>
      <c r="B49" s="93"/>
      <c r="C49" s="94" t="s">
        <v>447</v>
      </c>
      <c r="D49" s="95">
        <v>227.6139</v>
      </c>
      <c r="E49" s="124">
        <v>231</v>
      </c>
      <c r="F49" s="124">
        <v>256.22613999999999</v>
      </c>
      <c r="G49" s="124">
        <v>246.7</v>
      </c>
    </row>
    <row r="50" spans="1:7" s="91" customFormat="1" ht="15" customHeight="1">
      <c r="A50" s="101">
        <v>446</v>
      </c>
      <c r="B50" s="93"/>
      <c r="C50" s="94" t="s">
        <v>448</v>
      </c>
      <c r="D50" s="95">
        <v>49329.528600000005</v>
      </c>
      <c r="E50" s="124">
        <v>43227</v>
      </c>
      <c r="F50" s="124">
        <v>41322.967779999999</v>
      </c>
      <c r="G50" s="124">
        <v>40255</v>
      </c>
    </row>
    <row r="51" spans="1:7" s="195" customFormat="1" ht="15" customHeight="1">
      <c r="A51" s="102">
        <v>447</v>
      </c>
      <c r="B51" s="402"/>
      <c r="C51" s="104" t="s">
        <v>449</v>
      </c>
      <c r="D51" s="131">
        <v>7191.1704499999996</v>
      </c>
      <c r="E51" s="194">
        <v>7400.84</v>
      </c>
      <c r="F51" s="194">
        <v>7493.9775099999997</v>
      </c>
      <c r="G51" s="194">
        <v>7554.46</v>
      </c>
    </row>
    <row r="52" spans="1:7" s="91" customFormat="1" ht="15" customHeight="1">
      <c r="A52" s="101">
        <v>448</v>
      </c>
      <c r="B52" s="93"/>
      <c r="C52" s="94" t="s">
        <v>450</v>
      </c>
      <c r="D52" s="269">
        <v>0</v>
      </c>
      <c r="E52" s="269">
        <v>0</v>
      </c>
      <c r="F52" s="269">
        <v>0</v>
      </c>
      <c r="G52" s="269">
        <v>0</v>
      </c>
    </row>
    <row r="53" spans="1:7" s="195" customFormat="1" ht="15" customHeight="1">
      <c r="A53" s="102">
        <v>449</v>
      </c>
      <c r="B53" s="402"/>
      <c r="C53" s="104" t="s">
        <v>451</v>
      </c>
      <c r="D53" s="407">
        <v>0</v>
      </c>
      <c r="E53" s="407">
        <v>0</v>
      </c>
      <c r="F53" s="407">
        <v>0</v>
      </c>
      <c r="G53" s="407">
        <v>0</v>
      </c>
    </row>
    <row r="54" spans="1:7" s="106" customFormat="1" ht="13.5" customHeight="1">
      <c r="A54" s="136" t="s">
        <v>452</v>
      </c>
      <c r="B54" s="137"/>
      <c r="C54" s="137" t="s">
        <v>453</v>
      </c>
      <c r="D54" s="408">
        <v>0</v>
      </c>
      <c r="E54" s="408">
        <v>0</v>
      </c>
      <c r="F54" s="408">
        <v>0</v>
      </c>
      <c r="G54" s="408">
        <v>0</v>
      </c>
    </row>
    <row r="55" spans="1:7" ht="15" customHeight="1">
      <c r="A55" s="409"/>
      <c r="B55" s="134"/>
      <c r="C55" s="122" t="s">
        <v>454</v>
      </c>
      <c r="D55" s="123">
        <f t="shared" ref="D55:G55" si="3">SUM(D44:D53)-SUM(D38:D43)</f>
        <v>22126.298029999991</v>
      </c>
      <c r="E55" s="123">
        <f t="shared" si="3"/>
        <v>16639.410000000003</v>
      </c>
      <c r="F55" s="123">
        <f t="shared" si="3"/>
        <v>18571.77115</v>
      </c>
      <c r="G55" s="123">
        <f t="shared" si="3"/>
        <v>18084.559999999998</v>
      </c>
    </row>
    <row r="56" spans="1:7" ht="14.25" customHeight="1">
      <c r="A56" s="409"/>
      <c r="B56" s="134"/>
      <c r="C56" s="122" t="s">
        <v>455</v>
      </c>
      <c r="D56" s="123">
        <f t="shared" ref="D56:G56" si="4">D55+D37</f>
        <v>-129962.56389000099</v>
      </c>
      <c r="E56" s="123">
        <f t="shared" si="4"/>
        <v>-120426.69000000056</v>
      </c>
      <c r="F56" s="123">
        <f t="shared" si="4"/>
        <v>-90830.793970000857</v>
      </c>
      <c r="G56" s="123">
        <f t="shared" si="4"/>
        <v>-88687.690000000468</v>
      </c>
    </row>
    <row r="57" spans="1:7" s="91" customFormat="1" ht="15.75" customHeight="1">
      <c r="A57" s="410">
        <v>380</v>
      </c>
      <c r="B57" s="141"/>
      <c r="C57" s="142" t="s">
        <v>456</v>
      </c>
      <c r="D57" s="340">
        <v>0</v>
      </c>
      <c r="E57" s="266">
        <v>0</v>
      </c>
      <c r="F57" s="266">
        <v>0</v>
      </c>
      <c r="G57" s="266">
        <v>0</v>
      </c>
    </row>
    <row r="58" spans="1:7" s="91" customFormat="1" ht="15.75" customHeight="1">
      <c r="A58" s="410">
        <v>381</v>
      </c>
      <c r="B58" s="141"/>
      <c r="C58" s="142" t="s">
        <v>457</v>
      </c>
      <c r="D58" s="340">
        <v>0</v>
      </c>
      <c r="E58" s="266">
        <v>0</v>
      </c>
      <c r="F58" s="266">
        <v>0</v>
      </c>
      <c r="G58" s="266">
        <v>0</v>
      </c>
    </row>
    <row r="59" spans="1:7" s="106" customFormat="1" ht="27.5" customHeight="1">
      <c r="A59" s="102">
        <v>383</v>
      </c>
      <c r="B59" s="103"/>
      <c r="C59" s="104" t="s">
        <v>458</v>
      </c>
      <c r="D59" s="143">
        <v>0</v>
      </c>
      <c r="E59" s="144">
        <v>0</v>
      </c>
      <c r="F59" s="144">
        <v>0</v>
      </c>
      <c r="G59" s="144">
        <v>0</v>
      </c>
    </row>
    <row r="60" spans="1:7" s="106" customFormat="1" ht="14">
      <c r="A60" s="102">
        <v>3840</v>
      </c>
      <c r="B60" s="103"/>
      <c r="C60" s="104" t="s">
        <v>459</v>
      </c>
      <c r="D60" s="145">
        <v>0</v>
      </c>
      <c r="E60" s="146">
        <v>0</v>
      </c>
      <c r="F60" s="146">
        <v>0</v>
      </c>
      <c r="G60" s="146">
        <v>0</v>
      </c>
    </row>
    <row r="61" spans="1:7" s="106" customFormat="1" ht="26.5" customHeight="1">
      <c r="A61" s="102">
        <v>3841</v>
      </c>
      <c r="B61" s="103"/>
      <c r="C61" s="104" t="s">
        <v>460</v>
      </c>
      <c r="D61" s="145">
        <v>0</v>
      </c>
      <c r="E61" s="146">
        <v>0</v>
      </c>
      <c r="F61" s="146">
        <v>0</v>
      </c>
      <c r="G61" s="146">
        <v>0</v>
      </c>
    </row>
    <row r="62" spans="1:7" s="106" customFormat="1" ht="14">
      <c r="A62" s="147">
        <v>386</v>
      </c>
      <c r="B62" s="148"/>
      <c r="C62" s="149" t="s">
        <v>461</v>
      </c>
      <c r="D62" s="145">
        <v>0</v>
      </c>
      <c r="E62" s="146">
        <v>0</v>
      </c>
      <c r="F62" s="146">
        <v>0</v>
      </c>
      <c r="G62" s="146">
        <v>0</v>
      </c>
    </row>
    <row r="63" spans="1:7" s="106" customFormat="1" ht="27.5" customHeight="1">
      <c r="A63" s="102">
        <v>387</v>
      </c>
      <c r="B63" s="103"/>
      <c r="C63" s="104" t="s">
        <v>462</v>
      </c>
      <c r="D63" s="145">
        <v>0</v>
      </c>
      <c r="E63" s="146">
        <v>0</v>
      </c>
      <c r="F63" s="146">
        <v>0</v>
      </c>
      <c r="G63" s="146">
        <v>0</v>
      </c>
    </row>
    <row r="64" spans="1:7" s="106" customFormat="1">
      <c r="A64" s="101">
        <v>389</v>
      </c>
      <c r="B64" s="150"/>
      <c r="C64" s="94" t="s">
        <v>119</v>
      </c>
      <c r="D64" s="95">
        <v>1133.694</v>
      </c>
      <c r="E64" s="124">
        <v>0</v>
      </c>
      <c r="F64" s="124">
        <v>715.86</v>
      </c>
      <c r="G64" s="124">
        <v>0</v>
      </c>
    </row>
    <row r="65" spans="1:7" s="195" customFormat="1" ht="14">
      <c r="A65" s="102" t="s">
        <v>227</v>
      </c>
      <c r="B65" s="402"/>
      <c r="C65" s="104" t="s">
        <v>463</v>
      </c>
      <c r="D65" s="131">
        <v>0</v>
      </c>
      <c r="E65" s="194">
        <v>0</v>
      </c>
      <c r="F65" s="194">
        <v>0</v>
      </c>
      <c r="G65" s="194">
        <v>0</v>
      </c>
    </row>
    <row r="66" spans="1:7" s="153" customFormat="1" ht="28">
      <c r="A66" s="102" t="s">
        <v>229</v>
      </c>
      <c r="B66" s="152"/>
      <c r="C66" s="104" t="s">
        <v>464</v>
      </c>
      <c r="D66" s="143">
        <v>0</v>
      </c>
      <c r="E66" s="144">
        <v>0</v>
      </c>
      <c r="F66" s="144">
        <v>0</v>
      </c>
      <c r="G66" s="144">
        <v>0</v>
      </c>
    </row>
    <row r="67" spans="1:7" s="91" customFormat="1">
      <c r="A67" s="102">
        <v>481</v>
      </c>
      <c r="B67" s="93"/>
      <c r="C67" s="94" t="s">
        <v>465</v>
      </c>
      <c r="D67" s="95">
        <v>0</v>
      </c>
      <c r="E67" s="124">
        <v>0</v>
      </c>
      <c r="F67" s="124">
        <v>0</v>
      </c>
      <c r="G67" s="124">
        <v>0</v>
      </c>
    </row>
    <row r="68" spans="1:7" s="91" customFormat="1">
      <c r="A68" s="102">
        <v>482</v>
      </c>
      <c r="B68" s="93"/>
      <c r="C68" s="94" t="s">
        <v>466</v>
      </c>
      <c r="D68" s="95">
        <v>0</v>
      </c>
      <c r="E68" s="124">
        <v>0</v>
      </c>
      <c r="F68" s="124">
        <v>0</v>
      </c>
      <c r="G68" s="124">
        <v>0</v>
      </c>
    </row>
    <row r="69" spans="1:7" s="91" customFormat="1">
      <c r="A69" s="102">
        <v>483</v>
      </c>
      <c r="B69" s="93"/>
      <c r="C69" s="94" t="s">
        <v>467</v>
      </c>
      <c r="D69" s="95">
        <v>0</v>
      </c>
      <c r="E69" s="124">
        <v>0</v>
      </c>
      <c r="F69" s="124">
        <v>0</v>
      </c>
      <c r="G69" s="124">
        <v>0</v>
      </c>
    </row>
    <row r="70" spans="1:7" s="91" customFormat="1">
      <c r="A70" s="102">
        <v>484</v>
      </c>
      <c r="B70" s="93"/>
      <c r="C70" s="94" t="s">
        <v>468</v>
      </c>
      <c r="D70" s="95">
        <v>0</v>
      </c>
      <c r="E70" s="124">
        <v>0</v>
      </c>
      <c r="F70" s="124">
        <v>0</v>
      </c>
      <c r="G70" s="124">
        <v>0</v>
      </c>
    </row>
    <row r="71" spans="1:7" s="195" customFormat="1" ht="28">
      <c r="A71" s="102">
        <v>485</v>
      </c>
      <c r="B71" s="402"/>
      <c r="C71" s="104" t="s">
        <v>469</v>
      </c>
      <c r="D71" s="131">
        <v>0</v>
      </c>
      <c r="E71" s="194">
        <v>0</v>
      </c>
      <c r="F71" s="194">
        <v>0</v>
      </c>
      <c r="G71" s="194">
        <v>0</v>
      </c>
    </row>
    <row r="72" spans="1:7" s="91" customFormat="1">
      <c r="A72" s="102">
        <v>486</v>
      </c>
      <c r="B72" s="93"/>
      <c r="C72" s="94" t="s">
        <v>470</v>
      </c>
      <c r="D72" s="95">
        <v>0</v>
      </c>
      <c r="E72" s="124">
        <v>0</v>
      </c>
      <c r="F72" s="124">
        <v>0</v>
      </c>
      <c r="G72" s="124">
        <v>0</v>
      </c>
    </row>
    <row r="73" spans="1:7" s="111" customFormat="1" ht="28">
      <c r="A73" s="102">
        <v>487</v>
      </c>
      <c r="B73" s="405"/>
      <c r="C73" s="104" t="s">
        <v>471</v>
      </c>
      <c r="D73" s="131">
        <v>0</v>
      </c>
      <c r="E73" s="194">
        <v>0</v>
      </c>
      <c r="F73" s="194">
        <v>0</v>
      </c>
      <c r="G73" s="194">
        <v>0</v>
      </c>
    </row>
    <row r="74" spans="1:7" s="106" customFormat="1" ht="15" customHeight="1">
      <c r="A74" s="102">
        <v>489</v>
      </c>
      <c r="B74" s="155"/>
      <c r="C74" s="118" t="s">
        <v>149</v>
      </c>
      <c r="D74" s="131">
        <v>3077.1876899999997</v>
      </c>
      <c r="E74" s="194">
        <v>0</v>
      </c>
      <c r="F74" s="194">
        <v>1041.7570000000001</v>
      </c>
      <c r="G74" s="194">
        <v>800</v>
      </c>
    </row>
    <row r="75" spans="1:7" s="106" customFormat="1">
      <c r="A75" s="156" t="s">
        <v>472</v>
      </c>
      <c r="B75" s="155"/>
      <c r="C75" s="137" t="s">
        <v>473</v>
      </c>
      <c r="D75" s="95"/>
      <c r="E75" s="124">
        <v>0</v>
      </c>
      <c r="F75" s="124">
        <v>0</v>
      </c>
      <c r="G75" s="124">
        <v>0</v>
      </c>
    </row>
    <row r="76" spans="1:7">
      <c r="A76" s="404"/>
      <c r="B76" s="121"/>
      <c r="C76" s="122" t="s">
        <v>474</v>
      </c>
      <c r="D76" s="123">
        <f t="shared" ref="D76:G76" si="5">SUM(D65:D74)-SUM(D57:D64)</f>
        <v>1943.4936899999998</v>
      </c>
      <c r="E76" s="123">
        <f t="shared" si="5"/>
        <v>0</v>
      </c>
      <c r="F76" s="123">
        <f t="shared" si="5"/>
        <v>325.89700000000005</v>
      </c>
      <c r="G76" s="123">
        <f t="shared" si="5"/>
        <v>800</v>
      </c>
    </row>
    <row r="77" spans="1:7">
      <c r="A77" s="411"/>
      <c r="B77" s="157"/>
      <c r="C77" s="122" t="s">
        <v>475</v>
      </c>
      <c r="D77" s="123">
        <f t="shared" ref="D77:G77" si="6">D56+D76</f>
        <v>-128019.07020000099</v>
      </c>
      <c r="E77" s="123">
        <f t="shared" si="6"/>
        <v>-120426.69000000056</v>
      </c>
      <c r="F77" s="123">
        <f t="shared" si="6"/>
        <v>-90504.89697000086</v>
      </c>
      <c r="G77" s="123">
        <f t="shared" si="6"/>
        <v>-87887.690000000468</v>
      </c>
    </row>
    <row r="78" spans="1:7">
      <c r="A78" s="412">
        <v>3</v>
      </c>
      <c r="B78" s="158"/>
      <c r="C78" s="159" t="s">
        <v>242</v>
      </c>
      <c r="D78" s="160">
        <f t="shared" ref="D78:G78" si="7">D20+D21+SUM(D38:D43)+SUM(D57:D64)</f>
        <v>3551103.3188400008</v>
      </c>
      <c r="E78" s="160">
        <f t="shared" si="7"/>
        <v>3568224.31</v>
      </c>
      <c r="F78" s="160">
        <f t="shared" si="7"/>
        <v>3577222.9568600007</v>
      </c>
      <c r="G78" s="160">
        <f t="shared" si="7"/>
        <v>3605092.3400000003</v>
      </c>
    </row>
    <row r="79" spans="1:7">
      <c r="A79" s="412">
        <v>4</v>
      </c>
      <c r="B79" s="158"/>
      <c r="C79" s="159" t="s">
        <v>243</v>
      </c>
      <c r="D79" s="160">
        <f t="shared" ref="D79:G79" si="8">D35+D36+SUM(D44:D53)+SUM(D65:D74)</f>
        <v>3423084.2486399999</v>
      </c>
      <c r="E79" s="160">
        <f t="shared" si="8"/>
        <v>3447797.6199999996</v>
      </c>
      <c r="F79" s="160">
        <f t="shared" si="8"/>
        <v>3486718.0598900001</v>
      </c>
      <c r="G79" s="160">
        <f t="shared" si="8"/>
        <v>3517204.65</v>
      </c>
    </row>
    <row r="80" spans="1:7">
      <c r="C80" s="135"/>
      <c r="D80" s="161"/>
      <c r="E80" s="161"/>
      <c r="F80" s="161"/>
      <c r="G80" s="161"/>
    </row>
    <row r="81" spans="1:7">
      <c r="A81" s="680" t="s">
        <v>476</v>
      </c>
      <c r="B81" s="681"/>
      <c r="C81" s="681"/>
      <c r="D81" s="162"/>
      <c r="E81" s="162"/>
      <c r="F81" s="162"/>
      <c r="G81" s="162"/>
    </row>
    <row r="82" spans="1:7" s="91" customFormat="1">
      <c r="A82" s="164">
        <v>50</v>
      </c>
      <c r="B82" s="165"/>
      <c r="C82" s="165" t="s">
        <v>477</v>
      </c>
      <c r="D82" s="95">
        <v>148802.28576000003</v>
      </c>
      <c r="E82" s="124">
        <v>173084</v>
      </c>
      <c r="F82" s="194">
        <v>151188.56186000002</v>
      </c>
      <c r="G82" s="124">
        <v>164756.88</v>
      </c>
    </row>
    <row r="83" spans="1:7" s="91" customFormat="1">
      <c r="A83" s="164">
        <v>51</v>
      </c>
      <c r="B83" s="165"/>
      <c r="C83" s="165" t="s">
        <v>478</v>
      </c>
      <c r="D83" s="95">
        <v>616.07725000000005</v>
      </c>
      <c r="E83" s="124">
        <v>1000</v>
      </c>
      <c r="F83" s="194">
        <v>1498.1830500000001</v>
      </c>
      <c r="G83" s="124">
        <v>510</v>
      </c>
    </row>
    <row r="84" spans="1:7" s="91" customFormat="1">
      <c r="A84" s="164">
        <v>52</v>
      </c>
      <c r="B84" s="165"/>
      <c r="C84" s="165" t="s">
        <v>479</v>
      </c>
      <c r="D84" s="124">
        <v>0</v>
      </c>
      <c r="E84" s="124">
        <v>0</v>
      </c>
      <c r="F84" s="124">
        <v>0</v>
      </c>
      <c r="G84" s="124">
        <v>0</v>
      </c>
    </row>
    <row r="85" spans="1:7" s="91" customFormat="1">
      <c r="A85" s="166">
        <v>54</v>
      </c>
      <c r="B85" s="167"/>
      <c r="C85" s="167" t="s">
        <v>480</v>
      </c>
      <c r="D85" s="100">
        <v>3747.0659999999998</v>
      </c>
      <c r="E85" s="124">
        <v>6843</v>
      </c>
      <c r="F85" s="124">
        <v>3873.48</v>
      </c>
      <c r="G85" s="124">
        <v>7363</v>
      </c>
    </row>
    <row r="86" spans="1:7" s="91" customFormat="1">
      <c r="A86" s="166">
        <v>55</v>
      </c>
      <c r="B86" s="167"/>
      <c r="C86" s="167" t="s">
        <v>481</v>
      </c>
      <c r="D86" s="100">
        <v>40000</v>
      </c>
      <c r="E86" s="124">
        <v>0</v>
      </c>
      <c r="F86" s="128">
        <v>11625</v>
      </c>
      <c r="G86" s="124">
        <v>0</v>
      </c>
    </row>
    <row r="87" spans="1:7" s="91" customFormat="1">
      <c r="A87" s="166">
        <v>56</v>
      </c>
      <c r="B87" s="167"/>
      <c r="C87" s="167" t="s">
        <v>482</v>
      </c>
      <c r="D87" s="100">
        <v>88016.226200000005</v>
      </c>
      <c r="E87" s="124">
        <v>109283.1</v>
      </c>
      <c r="F87" s="128">
        <v>105348.22334</v>
      </c>
      <c r="G87" s="124">
        <v>119559.87</v>
      </c>
    </row>
    <row r="88" spans="1:7" s="91" customFormat="1">
      <c r="A88" s="164">
        <v>57</v>
      </c>
      <c r="B88" s="165"/>
      <c r="C88" s="165" t="s">
        <v>483</v>
      </c>
      <c r="D88" s="95">
        <v>45571.016099999993</v>
      </c>
      <c r="E88" s="124">
        <v>45942.9</v>
      </c>
      <c r="F88" s="128">
        <v>46553.848429999998</v>
      </c>
      <c r="G88" s="124">
        <v>50840</v>
      </c>
    </row>
    <row r="89" spans="1:7" s="195" customFormat="1" ht="28">
      <c r="A89" s="173">
        <v>580</v>
      </c>
      <c r="B89" s="174"/>
      <c r="C89" s="174" t="s">
        <v>484</v>
      </c>
      <c r="D89" s="131">
        <v>0</v>
      </c>
      <c r="E89" s="194">
        <v>0</v>
      </c>
      <c r="F89" s="194">
        <v>0</v>
      </c>
      <c r="G89" s="194">
        <v>0</v>
      </c>
    </row>
    <row r="90" spans="1:7" s="195" customFormat="1" ht="28">
      <c r="A90" s="173">
        <v>582</v>
      </c>
      <c r="B90" s="174"/>
      <c r="C90" s="174" t="s">
        <v>485</v>
      </c>
      <c r="D90" s="131">
        <v>0</v>
      </c>
      <c r="E90" s="194">
        <v>0</v>
      </c>
      <c r="F90" s="194">
        <v>0</v>
      </c>
      <c r="G90" s="194">
        <v>0</v>
      </c>
    </row>
    <row r="91" spans="1:7" s="91" customFormat="1">
      <c r="A91" s="164">
        <v>584</v>
      </c>
      <c r="B91" s="165"/>
      <c r="C91" s="165" t="s">
        <v>486</v>
      </c>
      <c r="D91" s="95">
        <v>0</v>
      </c>
      <c r="E91" s="124">
        <v>0</v>
      </c>
      <c r="F91" s="124">
        <v>0</v>
      </c>
      <c r="G91" s="124">
        <v>0</v>
      </c>
    </row>
    <row r="92" spans="1:7" s="195" customFormat="1" ht="28">
      <c r="A92" s="173">
        <v>585</v>
      </c>
      <c r="B92" s="174"/>
      <c r="C92" s="174" t="s">
        <v>487</v>
      </c>
      <c r="D92" s="131">
        <v>0</v>
      </c>
      <c r="E92" s="194">
        <v>0</v>
      </c>
      <c r="F92" s="194">
        <v>0</v>
      </c>
      <c r="G92" s="194">
        <v>0</v>
      </c>
    </row>
    <row r="93" spans="1:7" s="91" customFormat="1">
      <c r="A93" s="164">
        <v>586</v>
      </c>
      <c r="B93" s="165"/>
      <c r="C93" s="165" t="s">
        <v>488</v>
      </c>
      <c r="D93" s="95">
        <v>0</v>
      </c>
      <c r="E93" s="124">
        <v>0</v>
      </c>
      <c r="F93" s="124">
        <v>0</v>
      </c>
      <c r="G93" s="124">
        <v>0</v>
      </c>
    </row>
    <row r="94" spans="1:7" s="91" customFormat="1">
      <c r="A94" s="168">
        <v>589</v>
      </c>
      <c r="B94" s="169"/>
      <c r="C94" s="169" t="s">
        <v>489</v>
      </c>
      <c r="D94" s="119">
        <v>0</v>
      </c>
      <c r="E94" s="133">
        <v>0</v>
      </c>
      <c r="F94" s="133">
        <v>0</v>
      </c>
      <c r="G94" s="133">
        <v>0</v>
      </c>
    </row>
    <row r="95" spans="1:7">
      <c r="A95" s="170">
        <v>5</v>
      </c>
      <c r="B95" s="171"/>
      <c r="C95" s="171" t="s">
        <v>490</v>
      </c>
      <c r="D95" s="172">
        <f t="shared" ref="D95:G95" si="9">SUM(D82:D94)</f>
        <v>326752.67131000001</v>
      </c>
      <c r="E95" s="172">
        <f t="shared" si="9"/>
        <v>336153</v>
      </c>
      <c r="F95" s="172">
        <f t="shared" si="9"/>
        <v>320087.29668000003</v>
      </c>
      <c r="G95" s="172">
        <f t="shared" si="9"/>
        <v>343029.75</v>
      </c>
    </row>
    <row r="96" spans="1:7" s="195" customFormat="1" ht="14">
      <c r="A96" s="173">
        <v>60</v>
      </c>
      <c r="B96" s="174"/>
      <c r="C96" s="174" t="s">
        <v>491</v>
      </c>
      <c r="D96" s="131">
        <v>316.88245000000001</v>
      </c>
      <c r="E96" s="131">
        <v>500</v>
      </c>
      <c r="F96" s="194">
        <v>583.0551999999999</v>
      </c>
      <c r="G96" s="131">
        <v>300</v>
      </c>
    </row>
    <row r="97" spans="1:7" s="195" customFormat="1" ht="14">
      <c r="A97" s="173">
        <v>61</v>
      </c>
      <c r="B97" s="174"/>
      <c r="C97" s="174" t="s">
        <v>492</v>
      </c>
      <c r="D97" s="131">
        <v>616.08388000000002</v>
      </c>
      <c r="E97" s="131">
        <v>1000</v>
      </c>
      <c r="F97" s="194">
        <v>736.09334999999999</v>
      </c>
      <c r="G97" s="131">
        <v>510</v>
      </c>
    </row>
    <row r="98" spans="1:7" s="91" customFormat="1">
      <c r="A98" s="164">
        <v>62</v>
      </c>
      <c r="B98" s="165"/>
      <c r="C98" s="165" t="s">
        <v>493</v>
      </c>
      <c r="D98" s="124">
        <v>0</v>
      </c>
      <c r="E98" s="95">
        <v>0</v>
      </c>
      <c r="F98" s="124">
        <v>0</v>
      </c>
      <c r="G98" s="95"/>
    </row>
    <row r="99" spans="1:7" s="91" customFormat="1">
      <c r="A99" s="164">
        <v>63</v>
      </c>
      <c r="B99" s="165"/>
      <c r="C99" s="165" t="s">
        <v>494</v>
      </c>
      <c r="D99" s="95">
        <v>45956.909949999994</v>
      </c>
      <c r="E99" s="95">
        <v>48196.75</v>
      </c>
      <c r="F99" s="124">
        <v>40404.8606</v>
      </c>
      <c r="G99" s="95">
        <v>49383.75</v>
      </c>
    </row>
    <row r="100" spans="1:7" s="91" customFormat="1">
      <c r="A100" s="164">
        <v>64</v>
      </c>
      <c r="B100" s="165"/>
      <c r="C100" s="165" t="s">
        <v>495</v>
      </c>
      <c r="D100" s="95">
        <v>12574.243</v>
      </c>
      <c r="E100" s="95">
        <v>11294.3</v>
      </c>
      <c r="F100" s="128">
        <v>11914.826519999999</v>
      </c>
      <c r="G100" s="95">
        <v>10922.3</v>
      </c>
    </row>
    <row r="101" spans="1:7" s="91" customFormat="1">
      <c r="A101" s="164">
        <v>65</v>
      </c>
      <c r="B101" s="165"/>
      <c r="C101" s="165" t="s">
        <v>496</v>
      </c>
      <c r="D101" s="124">
        <v>0</v>
      </c>
      <c r="E101" s="95">
        <v>0</v>
      </c>
      <c r="F101" s="128">
        <v>0</v>
      </c>
      <c r="G101" s="95"/>
    </row>
    <row r="102" spans="1:7" s="195" customFormat="1" ht="14">
      <c r="A102" s="173">
        <v>66</v>
      </c>
      <c r="B102" s="174"/>
      <c r="C102" s="174" t="s">
        <v>497</v>
      </c>
      <c r="D102" s="131">
        <v>13236.742219999998</v>
      </c>
      <c r="E102" s="131">
        <v>18600</v>
      </c>
      <c r="F102" s="128">
        <v>14207.973049999999</v>
      </c>
      <c r="G102" s="131">
        <v>20423.5</v>
      </c>
    </row>
    <row r="103" spans="1:7" s="91" customFormat="1">
      <c r="A103" s="164">
        <v>67</v>
      </c>
      <c r="B103" s="165"/>
      <c r="C103" s="165" t="s">
        <v>483</v>
      </c>
      <c r="D103" s="95">
        <v>45571.016099999993</v>
      </c>
      <c r="E103" s="95">
        <v>45942.9</v>
      </c>
      <c r="F103" s="128">
        <v>46553.848429999998</v>
      </c>
      <c r="G103" s="95">
        <v>50840</v>
      </c>
    </row>
    <row r="104" spans="1:7" s="91" customFormat="1" ht="42">
      <c r="A104" s="173" t="s">
        <v>266</v>
      </c>
      <c r="B104" s="165"/>
      <c r="C104" s="174" t="s">
        <v>498</v>
      </c>
      <c r="D104" s="95"/>
      <c r="E104" s="95">
        <v>0</v>
      </c>
      <c r="F104" s="95"/>
      <c r="G104" s="95"/>
    </row>
    <row r="105" spans="1:7" s="91" customFormat="1" ht="56.5" customHeight="1">
      <c r="A105" s="175" t="s">
        <v>499</v>
      </c>
      <c r="B105" s="169"/>
      <c r="C105" s="176" t="s">
        <v>500</v>
      </c>
      <c r="D105" s="119"/>
      <c r="E105" s="119">
        <v>0</v>
      </c>
      <c r="F105" s="119"/>
      <c r="G105" s="119"/>
    </row>
    <row r="106" spans="1:7">
      <c r="A106" s="170">
        <v>6</v>
      </c>
      <c r="B106" s="171"/>
      <c r="C106" s="171" t="s">
        <v>501</v>
      </c>
      <c r="D106" s="172">
        <f t="shared" ref="D106:G106" si="10">SUM(D96:D105)</f>
        <v>118271.87759999999</v>
      </c>
      <c r="E106" s="172">
        <f t="shared" si="10"/>
        <v>125533.95000000001</v>
      </c>
      <c r="F106" s="172">
        <f t="shared" si="10"/>
        <v>114400.65715</v>
      </c>
      <c r="G106" s="172">
        <f t="shared" si="10"/>
        <v>132379.54999999999</v>
      </c>
    </row>
    <row r="107" spans="1:7">
      <c r="A107" s="413" t="s">
        <v>271</v>
      </c>
      <c r="B107" s="178"/>
      <c r="C107" s="171" t="s">
        <v>2</v>
      </c>
      <c r="D107" s="172">
        <f t="shared" ref="D107:G107" si="11">(D95-D88)-(D106-D103)</f>
        <v>208480.79371</v>
      </c>
      <c r="E107" s="172">
        <f t="shared" si="11"/>
        <v>210619.04999999996</v>
      </c>
      <c r="F107" s="172">
        <f t="shared" si="11"/>
        <v>205686.63953000001</v>
      </c>
      <c r="G107" s="172">
        <f t="shared" si="11"/>
        <v>210650.2</v>
      </c>
    </row>
    <row r="108" spans="1:7">
      <c r="A108" s="414" t="s">
        <v>272</v>
      </c>
      <c r="B108" s="179"/>
      <c r="C108" s="180" t="s">
        <v>502</v>
      </c>
      <c r="D108" s="172">
        <f t="shared" ref="D108:G108" si="12">D107-D85-D86+D100+D101</f>
        <v>177307.97070999999</v>
      </c>
      <c r="E108" s="172">
        <f t="shared" si="12"/>
        <v>215070.34999999995</v>
      </c>
      <c r="F108" s="172">
        <f t="shared" si="12"/>
        <v>202102.98605000001</v>
      </c>
      <c r="G108" s="172">
        <f t="shared" si="12"/>
        <v>214209.5</v>
      </c>
    </row>
    <row r="109" spans="1:7">
      <c r="C109" s="135"/>
      <c r="D109" s="161"/>
      <c r="E109" s="161"/>
      <c r="F109" s="161"/>
      <c r="G109" s="161"/>
    </row>
    <row r="110" spans="1:7">
      <c r="A110" s="415" t="s">
        <v>503</v>
      </c>
      <c r="B110" s="182"/>
      <c r="C110" s="181"/>
      <c r="D110" s="161"/>
      <c r="E110" s="161"/>
      <c r="F110" s="161"/>
      <c r="G110" s="161"/>
    </row>
    <row r="111" spans="1:7" s="91" customFormat="1">
      <c r="A111" s="416">
        <v>10</v>
      </c>
      <c r="B111" s="184"/>
      <c r="C111" s="184" t="s">
        <v>504</v>
      </c>
      <c r="D111" s="185">
        <f t="shared" ref="D111:G111" si="13">D112+D117</f>
        <v>4677306.85427</v>
      </c>
      <c r="E111" s="186">
        <f t="shared" si="13"/>
        <v>0</v>
      </c>
      <c r="F111" s="186">
        <f t="shared" si="13"/>
        <v>5206441.6045300001</v>
      </c>
      <c r="G111" s="186">
        <f t="shared" si="13"/>
        <v>0</v>
      </c>
    </row>
    <row r="112" spans="1:7" s="91" customFormat="1">
      <c r="A112" s="187" t="s">
        <v>276</v>
      </c>
      <c r="B112" s="188"/>
      <c r="C112" s="188" t="s">
        <v>505</v>
      </c>
      <c r="D112" s="185">
        <f t="shared" ref="D112:G112" si="14">D113+D114+D115+D116</f>
        <v>4172892.5862699999</v>
      </c>
      <c r="E112" s="186">
        <f t="shared" si="14"/>
        <v>0</v>
      </c>
      <c r="F112" s="186">
        <f t="shared" si="14"/>
        <v>4628058.5825300002</v>
      </c>
      <c r="G112" s="186">
        <f t="shared" si="14"/>
        <v>0</v>
      </c>
    </row>
    <row r="113" spans="1:7" s="91" customFormat="1">
      <c r="A113" s="189" t="s">
        <v>278</v>
      </c>
      <c r="B113" s="190"/>
      <c r="C113" s="190" t="s">
        <v>506</v>
      </c>
      <c r="D113" s="95">
        <v>444025.02852999995</v>
      </c>
      <c r="E113" s="124"/>
      <c r="F113" s="124">
        <v>432179.39118000004</v>
      </c>
      <c r="G113" s="124"/>
    </row>
    <row r="114" spans="1:7" s="153" customFormat="1" ht="15" customHeight="1">
      <c r="A114" s="191">
        <v>102</v>
      </c>
      <c r="B114" s="192"/>
      <c r="C114" s="192" t="s">
        <v>507</v>
      </c>
      <c r="D114" s="143">
        <v>70000</v>
      </c>
      <c r="E114" s="144"/>
      <c r="F114" s="144">
        <v>319000</v>
      </c>
      <c r="G114" s="144"/>
    </row>
    <row r="115" spans="1:7" s="91" customFormat="1">
      <c r="A115" s="189">
        <v>104</v>
      </c>
      <c r="B115" s="190"/>
      <c r="C115" s="190" t="s">
        <v>508</v>
      </c>
      <c r="D115" s="95">
        <v>3656749.1810900001</v>
      </c>
      <c r="E115" s="124"/>
      <c r="F115" s="124">
        <v>3875186.8833900001</v>
      </c>
      <c r="G115" s="124"/>
    </row>
    <row r="116" spans="1:7" s="91" customFormat="1">
      <c r="A116" s="189">
        <v>106</v>
      </c>
      <c r="B116" s="190"/>
      <c r="C116" s="190" t="s">
        <v>509</v>
      </c>
      <c r="D116" s="95">
        <v>2118.3766499999997</v>
      </c>
      <c r="E116" s="124"/>
      <c r="F116" s="124">
        <v>1692.3079599999999</v>
      </c>
      <c r="G116" s="124"/>
    </row>
    <row r="117" spans="1:7" s="91" customFormat="1">
      <c r="A117" s="187" t="s">
        <v>283</v>
      </c>
      <c r="B117" s="188"/>
      <c r="C117" s="188" t="s">
        <v>510</v>
      </c>
      <c r="D117" s="185">
        <f t="shared" ref="D117:G117" si="15">D118+D119+D120</f>
        <v>504414.26800000004</v>
      </c>
      <c r="E117" s="186">
        <f t="shared" si="15"/>
        <v>0</v>
      </c>
      <c r="F117" s="186">
        <f t="shared" si="15"/>
        <v>578383.022</v>
      </c>
      <c r="G117" s="186">
        <f t="shared" si="15"/>
        <v>0</v>
      </c>
    </row>
    <row r="118" spans="1:7" s="91" customFormat="1">
      <c r="A118" s="189">
        <v>107</v>
      </c>
      <c r="B118" s="190"/>
      <c r="C118" s="190" t="s">
        <v>511</v>
      </c>
      <c r="D118" s="95">
        <v>60000</v>
      </c>
      <c r="E118" s="124"/>
      <c r="F118" s="124">
        <v>140000</v>
      </c>
      <c r="G118" s="124"/>
    </row>
    <row r="119" spans="1:7" s="91" customFormat="1">
      <c r="A119" s="189">
        <v>108</v>
      </c>
      <c r="B119" s="190"/>
      <c r="C119" s="190" t="s">
        <v>512</v>
      </c>
      <c r="D119" s="95">
        <v>1371.7909999999999</v>
      </c>
      <c r="E119" s="124"/>
      <c r="F119" s="124">
        <v>1371.7909999999999</v>
      </c>
      <c r="G119" s="124"/>
    </row>
    <row r="120" spans="1:7" s="195" customFormat="1" ht="28">
      <c r="A120" s="191">
        <v>109</v>
      </c>
      <c r="B120" s="193"/>
      <c r="C120" s="193" t="s">
        <v>513</v>
      </c>
      <c r="D120" s="131">
        <v>443042.47700000001</v>
      </c>
      <c r="E120" s="194"/>
      <c r="F120" s="194">
        <v>437011.23100000003</v>
      </c>
      <c r="G120" s="194"/>
    </row>
    <row r="121" spans="1:7" s="91" customFormat="1">
      <c r="A121" s="187">
        <v>14</v>
      </c>
      <c r="B121" s="188"/>
      <c r="C121" s="188" t="s">
        <v>514</v>
      </c>
      <c r="D121" s="185">
        <f t="shared" ref="D121:G121" si="16">SUM(D122:D130)</f>
        <v>1425265.6524499999</v>
      </c>
      <c r="E121" s="185">
        <f t="shared" si="16"/>
        <v>0</v>
      </c>
      <c r="F121" s="185">
        <f t="shared" si="16"/>
        <v>1459418.7059299999</v>
      </c>
      <c r="G121" s="185">
        <f t="shared" si="16"/>
        <v>0</v>
      </c>
    </row>
    <row r="122" spans="1:7" s="91" customFormat="1">
      <c r="A122" s="189" t="s">
        <v>289</v>
      </c>
      <c r="B122" s="190"/>
      <c r="C122" s="190" t="s">
        <v>515</v>
      </c>
      <c r="D122" s="95">
        <v>794855.00100000005</v>
      </c>
      <c r="E122" s="124"/>
      <c r="F122" s="124">
        <v>814317.00100000005</v>
      </c>
      <c r="G122" s="124"/>
    </row>
    <row r="123" spans="1:7" s="91" customFormat="1">
      <c r="A123" s="189">
        <v>144</v>
      </c>
      <c r="B123" s="190"/>
      <c r="C123" s="190" t="s">
        <v>480</v>
      </c>
      <c r="D123" s="95">
        <v>87546.112450000001</v>
      </c>
      <c r="E123" s="124"/>
      <c r="F123" s="124">
        <v>79545.86593</v>
      </c>
      <c r="G123" s="124"/>
    </row>
    <row r="124" spans="1:7" s="91" customFormat="1">
      <c r="A124" s="189">
        <v>145</v>
      </c>
      <c r="B124" s="190"/>
      <c r="C124" s="190" t="s">
        <v>516</v>
      </c>
      <c r="D124" s="95">
        <v>325817.53899999999</v>
      </c>
      <c r="E124" s="196"/>
      <c r="F124" s="124">
        <v>336917.83899999998</v>
      </c>
      <c r="G124" s="196"/>
    </row>
    <row r="125" spans="1:7" s="91" customFormat="1">
      <c r="A125" s="189">
        <v>146</v>
      </c>
      <c r="B125" s="190"/>
      <c r="C125" s="190" t="s">
        <v>517</v>
      </c>
      <c r="D125" s="95">
        <v>217047</v>
      </c>
      <c r="E125" s="196"/>
      <c r="F125" s="124">
        <v>228638</v>
      </c>
      <c r="G125" s="196"/>
    </row>
    <row r="126" spans="1:7" s="195" customFormat="1" ht="29.5" customHeight="1">
      <c r="A126" s="191" t="s">
        <v>293</v>
      </c>
      <c r="B126" s="193"/>
      <c r="C126" s="193" t="s">
        <v>518</v>
      </c>
      <c r="D126" s="131">
        <v>0</v>
      </c>
      <c r="E126" s="197"/>
      <c r="F126" s="197"/>
      <c r="G126" s="197"/>
    </row>
    <row r="127" spans="1:7" s="91" customFormat="1">
      <c r="A127" s="189">
        <v>1484</v>
      </c>
      <c r="B127" s="190"/>
      <c r="C127" s="190" t="s">
        <v>519</v>
      </c>
      <c r="D127" s="95">
        <v>0</v>
      </c>
      <c r="E127" s="196"/>
      <c r="F127" s="196"/>
      <c r="G127" s="196"/>
    </row>
    <row r="128" spans="1:7" s="195" customFormat="1" ht="14">
      <c r="A128" s="191">
        <v>1485</v>
      </c>
      <c r="B128" s="193"/>
      <c r="C128" s="193" t="s">
        <v>520</v>
      </c>
      <c r="D128" s="131">
        <v>0</v>
      </c>
      <c r="E128" s="197"/>
      <c r="F128" s="197"/>
      <c r="G128" s="197"/>
    </row>
    <row r="129" spans="1:7" s="195" customFormat="1" ht="28">
      <c r="A129" s="191">
        <v>1486</v>
      </c>
      <c r="B129" s="193"/>
      <c r="C129" s="193" t="s">
        <v>521</v>
      </c>
      <c r="D129" s="131">
        <v>0</v>
      </c>
      <c r="E129" s="197"/>
      <c r="F129" s="197"/>
      <c r="G129" s="197"/>
    </row>
    <row r="130" spans="1:7" s="195" customFormat="1" ht="14">
      <c r="A130" s="417">
        <v>1489</v>
      </c>
      <c r="B130" s="418"/>
      <c r="C130" s="418" t="s">
        <v>522</v>
      </c>
      <c r="D130" s="419">
        <v>0</v>
      </c>
      <c r="E130" s="420"/>
      <c r="F130" s="420"/>
      <c r="G130" s="420"/>
    </row>
    <row r="131" spans="1:7">
      <c r="A131" s="421">
        <v>1</v>
      </c>
      <c r="B131" s="202"/>
      <c r="C131" s="201" t="s">
        <v>523</v>
      </c>
      <c r="D131" s="203">
        <f t="shared" ref="D131:G131" si="17">D111+D121</f>
        <v>6102572.5067199999</v>
      </c>
      <c r="E131" s="203">
        <f t="shared" si="17"/>
        <v>0</v>
      </c>
      <c r="F131" s="203">
        <f t="shared" si="17"/>
        <v>6665860.3104600003</v>
      </c>
      <c r="G131" s="203">
        <f t="shared" si="17"/>
        <v>0</v>
      </c>
    </row>
    <row r="132" spans="1:7">
      <c r="C132" s="135"/>
      <c r="D132" s="161"/>
      <c r="E132" s="161"/>
      <c r="F132" s="161"/>
      <c r="G132" s="161"/>
    </row>
    <row r="133" spans="1:7" s="91" customFormat="1">
      <c r="A133" s="416">
        <v>20</v>
      </c>
      <c r="B133" s="184"/>
      <c r="C133" s="184" t="s">
        <v>524</v>
      </c>
      <c r="D133" s="204">
        <f t="shared" ref="D133:G133" si="18">D134+D140</f>
        <v>6450349.7747400003</v>
      </c>
      <c r="E133" s="318">
        <f t="shared" si="18"/>
        <v>0</v>
      </c>
      <c r="F133" s="318">
        <f t="shared" si="18"/>
        <v>7104873.6684499998</v>
      </c>
      <c r="G133" s="318">
        <f t="shared" si="18"/>
        <v>0</v>
      </c>
    </row>
    <row r="134" spans="1:7" s="91" customFormat="1">
      <c r="A134" s="205" t="s">
        <v>301</v>
      </c>
      <c r="B134" s="188"/>
      <c r="C134" s="188" t="s">
        <v>525</v>
      </c>
      <c r="D134" s="185">
        <f t="shared" ref="D134:G134" si="19">D135+D136+D138+D139</f>
        <v>3700932.45995</v>
      </c>
      <c r="E134" s="186">
        <f t="shared" si="19"/>
        <v>0</v>
      </c>
      <c r="F134" s="186">
        <f t="shared" si="19"/>
        <v>4377951.0191000002</v>
      </c>
      <c r="G134" s="186">
        <f t="shared" si="19"/>
        <v>0</v>
      </c>
    </row>
    <row r="135" spans="1:7" s="106" customFormat="1">
      <c r="A135" s="206">
        <v>200</v>
      </c>
      <c r="B135" s="190"/>
      <c r="C135" s="190" t="s">
        <v>526</v>
      </c>
      <c r="D135" s="95">
        <v>2342315.06171</v>
      </c>
      <c r="E135" s="124"/>
      <c r="F135" s="124">
        <v>2649073.3915200001</v>
      </c>
      <c r="G135" s="124"/>
    </row>
    <row r="136" spans="1:7" s="106" customFormat="1">
      <c r="A136" s="206">
        <v>201</v>
      </c>
      <c r="B136" s="190"/>
      <c r="C136" s="190" t="s">
        <v>527</v>
      </c>
      <c r="D136" s="95">
        <v>349954.10525000002</v>
      </c>
      <c r="E136" s="124"/>
      <c r="F136" s="124">
        <v>649965.07884000009</v>
      </c>
      <c r="G136" s="124"/>
    </row>
    <row r="137" spans="1:7" s="106" customFormat="1">
      <c r="A137" s="207" t="s">
        <v>528</v>
      </c>
      <c r="B137" s="208"/>
      <c r="C137" s="208" t="s">
        <v>529</v>
      </c>
      <c r="D137" s="100"/>
      <c r="E137" s="209"/>
      <c r="F137" s="209"/>
      <c r="G137" s="209"/>
    </row>
    <row r="138" spans="1:7" s="106" customFormat="1">
      <c r="A138" s="206">
        <v>204</v>
      </c>
      <c r="B138" s="190"/>
      <c r="C138" s="190" t="s">
        <v>530</v>
      </c>
      <c r="D138" s="95">
        <v>985418.73449000006</v>
      </c>
      <c r="E138" s="196"/>
      <c r="F138" s="124">
        <v>1054568.4395399999</v>
      </c>
      <c r="G138" s="196"/>
    </row>
    <row r="139" spans="1:7" s="106" customFormat="1">
      <c r="A139" s="206">
        <v>205</v>
      </c>
      <c r="B139" s="190"/>
      <c r="C139" s="190" t="s">
        <v>531</v>
      </c>
      <c r="D139" s="95">
        <v>23244.558499999999</v>
      </c>
      <c r="E139" s="196"/>
      <c r="F139" s="124">
        <v>24344.109199999999</v>
      </c>
      <c r="G139" s="196"/>
    </row>
    <row r="140" spans="1:7" s="106" customFormat="1">
      <c r="A140" s="205" t="s">
        <v>309</v>
      </c>
      <c r="B140" s="188"/>
      <c r="C140" s="188" t="s">
        <v>532</v>
      </c>
      <c r="D140" s="185">
        <f t="shared" ref="D140:G140" si="20">D141+D143+D144</f>
        <v>2749417.3147900002</v>
      </c>
      <c r="E140" s="186">
        <f t="shared" si="20"/>
        <v>0</v>
      </c>
      <c r="F140" s="186">
        <f t="shared" si="20"/>
        <v>2726922.6493500001</v>
      </c>
      <c r="G140" s="186">
        <f t="shared" si="20"/>
        <v>0</v>
      </c>
    </row>
    <row r="141" spans="1:7" s="106" customFormat="1">
      <c r="A141" s="206">
        <v>206</v>
      </c>
      <c r="B141" s="190"/>
      <c r="C141" s="190" t="s">
        <v>533</v>
      </c>
      <c r="D141" s="95">
        <v>2599343.5010000002</v>
      </c>
      <c r="E141" s="196"/>
      <c r="F141" s="124">
        <v>2593187.551</v>
      </c>
      <c r="G141" s="196"/>
    </row>
    <row r="142" spans="1:7" s="106" customFormat="1">
      <c r="A142" s="207" t="s">
        <v>534</v>
      </c>
      <c r="B142" s="208"/>
      <c r="C142" s="208" t="s">
        <v>535</v>
      </c>
      <c r="D142" s="100"/>
      <c r="E142" s="209"/>
      <c r="F142" s="209"/>
      <c r="G142" s="209"/>
    </row>
    <row r="143" spans="1:7" s="106" customFormat="1">
      <c r="A143" s="206">
        <v>208</v>
      </c>
      <c r="B143" s="190"/>
      <c r="C143" s="190" t="s">
        <v>536</v>
      </c>
      <c r="D143" s="95">
        <v>67568.000069999995</v>
      </c>
      <c r="E143" s="196"/>
      <c r="F143" s="124">
        <v>54672.528450000005</v>
      </c>
      <c r="G143" s="196"/>
    </row>
    <row r="144" spans="1:7" s="111" customFormat="1" ht="28">
      <c r="A144" s="191">
        <v>209</v>
      </c>
      <c r="B144" s="193"/>
      <c r="C144" s="193" t="s">
        <v>537</v>
      </c>
      <c r="D144" s="131">
        <v>82505.813720000006</v>
      </c>
      <c r="E144" s="197"/>
      <c r="F144" s="124">
        <v>79062.569900000002</v>
      </c>
      <c r="G144" s="197"/>
    </row>
    <row r="145" spans="1:7" s="91" customFormat="1">
      <c r="A145" s="205">
        <v>29</v>
      </c>
      <c r="B145" s="188"/>
      <c r="C145" s="188" t="s">
        <v>538</v>
      </c>
      <c r="D145" s="210">
        <v>-347777.26801999996</v>
      </c>
      <c r="E145" s="196"/>
      <c r="F145" s="196">
        <v>-439013.35798999999</v>
      </c>
      <c r="G145" s="196"/>
    </row>
    <row r="146" spans="1:7" s="91" customFormat="1">
      <c r="A146" s="211" t="s">
        <v>539</v>
      </c>
      <c r="B146" s="212"/>
      <c r="C146" s="212" t="s">
        <v>540</v>
      </c>
      <c r="D146" s="138"/>
      <c r="E146" s="139"/>
      <c r="F146" s="139"/>
      <c r="G146" s="139"/>
    </row>
    <row r="147" spans="1:7">
      <c r="A147" s="421">
        <v>2</v>
      </c>
      <c r="B147" s="202"/>
      <c r="C147" s="201" t="s">
        <v>541</v>
      </c>
      <c r="D147" s="203">
        <f t="shared" ref="D147:G147" si="21">D133+D145</f>
        <v>6102572.5067199999</v>
      </c>
      <c r="E147" s="203">
        <f t="shared" si="21"/>
        <v>0</v>
      </c>
      <c r="F147" s="203">
        <f t="shared" si="21"/>
        <v>6665860.3104599994</v>
      </c>
      <c r="G147" s="203">
        <f t="shared" si="21"/>
        <v>0</v>
      </c>
    </row>
    <row r="148" spans="1:7" ht="7.5" customHeight="1"/>
    <row r="149" spans="1:7" ht="13.5" customHeight="1">
      <c r="A149" s="422" t="s">
        <v>542</v>
      </c>
      <c r="B149" s="214"/>
      <c r="C149" s="215"/>
      <c r="D149" s="214"/>
      <c r="E149" s="214"/>
      <c r="F149" s="214"/>
      <c r="G149" s="214"/>
    </row>
    <row r="150" spans="1:7">
      <c r="A150" s="217" t="s">
        <v>543</v>
      </c>
      <c r="B150" s="217"/>
      <c r="C150" s="217" t="s">
        <v>137</v>
      </c>
      <c r="D150" s="218">
        <f t="shared" ref="D150:G150" si="22">D77+SUM(D8:D12)-D30-D31+D16-D33+D59+D63-D73+D64-D74-D54+D20-D35</f>
        <v>57501.921969999094</v>
      </c>
      <c r="E150" s="218">
        <f t="shared" si="22"/>
        <v>83256.299999999464</v>
      </c>
      <c r="F150" s="218">
        <f t="shared" si="22"/>
        <v>91233.275619999185</v>
      </c>
      <c r="G150" s="218">
        <f t="shared" si="22"/>
        <v>104855.43999999957</v>
      </c>
    </row>
    <row r="151" spans="1:7">
      <c r="A151" s="220" t="s">
        <v>544</v>
      </c>
      <c r="B151" s="220"/>
      <c r="C151" s="220" t="s">
        <v>545</v>
      </c>
      <c r="D151" s="221">
        <f t="shared" ref="D151:G151" si="23">IF(D177=0,0,D150/D177)</f>
        <v>1.8512605126924563E-2</v>
      </c>
      <c r="E151" s="221">
        <f t="shared" si="23"/>
        <v>2.6545252396515975E-2</v>
      </c>
      <c r="F151" s="221">
        <f t="shared" si="23"/>
        <v>2.8940828229571485E-2</v>
      </c>
      <c r="G151" s="221">
        <f t="shared" si="23"/>
        <v>3.2874073382894366E-2</v>
      </c>
    </row>
    <row r="152" spans="1:7" s="296" customFormat="1" ht="28">
      <c r="A152" s="223" t="s">
        <v>546</v>
      </c>
      <c r="B152" s="223"/>
      <c r="C152" s="223" t="s">
        <v>547</v>
      </c>
      <c r="D152" s="241">
        <f t="shared" ref="D152:G152" si="24">IF(D107=0,0,D150/D107)</f>
        <v>0.27581400160047909</v>
      </c>
      <c r="E152" s="241">
        <f t="shared" si="24"/>
        <v>0.39529330324108614</v>
      </c>
      <c r="F152" s="241">
        <f t="shared" si="24"/>
        <v>0.44355469965608796</v>
      </c>
      <c r="G152" s="241">
        <f t="shared" si="24"/>
        <v>0.49777042699223434</v>
      </c>
    </row>
    <row r="153" spans="1:7" s="296" customFormat="1" ht="28">
      <c r="A153" s="227" t="s">
        <v>546</v>
      </c>
      <c r="B153" s="227"/>
      <c r="C153" s="227" t="s">
        <v>548</v>
      </c>
      <c r="D153" s="423">
        <f t="shared" ref="D153:G153" si="25">IF(0=D108,0,D150/D108)</f>
        <v>0.32430534137716599</v>
      </c>
      <c r="E153" s="423">
        <f t="shared" si="25"/>
        <v>0.38711193802399768</v>
      </c>
      <c r="F153" s="423">
        <f t="shared" si="25"/>
        <v>0.45141973111385991</v>
      </c>
      <c r="G153" s="423">
        <f t="shared" si="25"/>
        <v>0.48949948531694237</v>
      </c>
    </row>
    <row r="154" spans="1:7" s="296" customFormat="1" ht="28">
      <c r="A154" s="230" t="s">
        <v>549</v>
      </c>
      <c r="B154" s="230"/>
      <c r="C154" s="230" t="s">
        <v>550</v>
      </c>
      <c r="D154" s="231">
        <f t="shared" ref="D154:G154" si="26">D150-D107</f>
        <v>-150978.8717400009</v>
      </c>
      <c r="E154" s="231">
        <f t="shared" si="26"/>
        <v>-127362.75000000049</v>
      </c>
      <c r="F154" s="231">
        <f t="shared" si="26"/>
        <v>-114453.36391000083</v>
      </c>
      <c r="G154" s="231">
        <f t="shared" si="26"/>
        <v>-105794.76000000045</v>
      </c>
    </row>
    <row r="155" spans="1:7" ht="27.5" customHeight="1">
      <c r="A155" s="233" t="s">
        <v>551</v>
      </c>
      <c r="B155" s="233"/>
      <c r="C155" s="233" t="s">
        <v>552</v>
      </c>
      <c r="D155" s="234">
        <f t="shared" ref="D155:G155" si="27">D150-D108</f>
        <v>-119806.0487400009</v>
      </c>
      <c r="E155" s="234">
        <f t="shared" si="27"/>
        <v>-131814.05000000048</v>
      </c>
      <c r="F155" s="234">
        <f t="shared" si="27"/>
        <v>-110869.71043000082</v>
      </c>
      <c r="G155" s="234">
        <f t="shared" si="27"/>
        <v>-109354.06000000043</v>
      </c>
    </row>
    <row r="156" spans="1:7">
      <c r="A156" s="217" t="s">
        <v>553</v>
      </c>
      <c r="B156" s="217"/>
      <c r="C156" s="217" t="s">
        <v>554</v>
      </c>
      <c r="D156" s="235">
        <f t="shared" ref="D156:G156" si="28">D135+D136-D137+D141-D142</f>
        <v>5291612.6679600002</v>
      </c>
      <c r="E156" s="235">
        <f t="shared" si="28"/>
        <v>0</v>
      </c>
      <c r="F156" s="235">
        <f t="shared" si="28"/>
        <v>5892226.0213600006</v>
      </c>
      <c r="G156" s="235">
        <f t="shared" si="28"/>
        <v>0</v>
      </c>
    </row>
    <row r="157" spans="1:7">
      <c r="A157" s="237" t="s">
        <v>555</v>
      </c>
      <c r="B157" s="237"/>
      <c r="C157" s="237" t="s">
        <v>556</v>
      </c>
      <c r="D157" s="238">
        <f t="shared" ref="D157:G157" si="29">IF(D177=0,0,D156/D177)</f>
        <v>1.7036219390664102</v>
      </c>
      <c r="E157" s="238">
        <f t="shared" si="29"/>
        <v>0</v>
      </c>
      <c r="F157" s="238">
        <f t="shared" si="29"/>
        <v>1.8691195730410703</v>
      </c>
      <c r="G157" s="238">
        <f t="shared" si="29"/>
        <v>0</v>
      </c>
    </row>
    <row r="158" spans="1:7">
      <c r="A158" s="217" t="s">
        <v>557</v>
      </c>
      <c r="B158" s="217"/>
      <c r="C158" s="217" t="s">
        <v>558</v>
      </c>
      <c r="D158" s="235">
        <f t="shared" ref="D158:G158" si="30">D133-D142-D111</f>
        <v>1773042.9204700002</v>
      </c>
      <c r="E158" s="235">
        <f t="shared" si="30"/>
        <v>0</v>
      </c>
      <c r="F158" s="235">
        <f t="shared" si="30"/>
        <v>1898432.0639199996</v>
      </c>
      <c r="G158" s="235">
        <f t="shared" si="30"/>
        <v>0</v>
      </c>
    </row>
    <row r="159" spans="1:7">
      <c r="A159" s="220" t="s">
        <v>559</v>
      </c>
      <c r="B159" s="220"/>
      <c r="C159" s="220" t="s">
        <v>560</v>
      </c>
      <c r="D159" s="239">
        <f t="shared" ref="D159:G159" si="31">D121-D123-D124-D142-D145</f>
        <v>1359679.26902</v>
      </c>
      <c r="E159" s="239">
        <f t="shared" si="31"/>
        <v>0</v>
      </c>
      <c r="F159" s="239">
        <f t="shared" si="31"/>
        <v>1481968.3589899999</v>
      </c>
      <c r="G159" s="239">
        <f t="shared" si="31"/>
        <v>0</v>
      </c>
    </row>
    <row r="160" spans="1:7">
      <c r="A160" s="220" t="s">
        <v>561</v>
      </c>
      <c r="B160" s="220"/>
      <c r="C160" s="220" t="s">
        <v>562</v>
      </c>
      <c r="D160" s="240">
        <f t="shared" ref="D160:G160" si="32">IF(D175=0,"-",1000*D158/D175)</f>
        <v>5060.5883625554079</v>
      </c>
      <c r="E160" s="240">
        <f t="shared" si="32"/>
        <v>0</v>
      </c>
      <c r="F160" s="240">
        <f t="shared" si="32"/>
        <v>5418.4718817911698</v>
      </c>
      <c r="G160" s="240">
        <f t="shared" si="32"/>
        <v>0</v>
      </c>
    </row>
    <row r="161" spans="1:7">
      <c r="A161" s="220" t="s">
        <v>561</v>
      </c>
      <c r="B161" s="220"/>
      <c r="C161" s="220" t="s">
        <v>563</v>
      </c>
      <c r="D161" s="239">
        <f t="shared" ref="D161:G161" si="33">IF(D175=0,0,1000*(D159/D175))</f>
        <v>3880.7729954932456</v>
      </c>
      <c r="E161" s="239">
        <f t="shared" si="33"/>
        <v>0</v>
      </c>
      <c r="F161" s="239">
        <f t="shared" si="33"/>
        <v>4229.8083958351763</v>
      </c>
      <c r="G161" s="239">
        <f t="shared" si="33"/>
        <v>0</v>
      </c>
    </row>
    <row r="162" spans="1:7">
      <c r="A162" s="237" t="s">
        <v>564</v>
      </c>
      <c r="B162" s="237"/>
      <c r="C162" s="237" t="s">
        <v>565</v>
      </c>
      <c r="D162" s="238">
        <f t="shared" ref="D162:G162" si="34">IF((D22+D23+D65+D66)=0,0,D158/(D22+D23+D65+D66))</f>
        <v>0.97227059095524826</v>
      </c>
      <c r="E162" s="238">
        <f t="shared" si="34"/>
        <v>0</v>
      </c>
      <c r="F162" s="238">
        <f t="shared" si="34"/>
        <v>1.0438844725270309</v>
      </c>
      <c r="G162" s="238">
        <f t="shared" si="34"/>
        <v>0</v>
      </c>
    </row>
    <row r="163" spans="1:7">
      <c r="A163" s="220" t="s">
        <v>566</v>
      </c>
      <c r="B163" s="220"/>
      <c r="C163" s="220" t="s">
        <v>567</v>
      </c>
      <c r="D163" s="218">
        <f t="shared" ref="D163:G163" si="35">D145</f>
        <v>-347777.26801999996</v>
      </c>
      <c r="E163" s="218">
        <f t="shared" si="35"/>
        <v>0</v>
      </c>
      <c r="F163" s="218">
        <f t="shared" si="35"/>
        <v>-439013.35798999999</v>
      </c>
      <c r="G163" s="218">
        <f t="shared" si="35"/>
        <v>0</v>
      </c>
    </row>
    <row r="164" spans="1:7" ht="28">
      <c r="A164" s="223" t="s">
        <v>568</v>
      </c>
      <c r="B164" s="237"/>
      <c r="C164" s="237" t="s">
        <v>569</v>
      </c>
      <c r="D164" s="241">
        <f t="shared" ref="D164:G164" si="36">IF(D178=0,0,D146/D178)</f>
        <v>0</v>
      </c>
      <c r="E164" s="241">
        <f t="shared" si="36"/>
        <v>0</v>
      </c>
      <c r="F164" s="241">
        <f t="shared" si="36"/>
        <v>0</v>
      </c>
      <c r="G164" s="241">
        <f t="shared" si="36"/>
        <v>0</v>
      </c>
    </row>
    <row r="165" spans="1:7">
      <c r="A165" s="243" t="s">
        <v>570</v>
      </c>
      <c r="B165" s="243"/>
      <c r="C165" s="243" t="s">
        <v>571</v>
      </c>
      <c r="D165" s="244">
        <f t="shared" ref="D165:G165" si="37">IF(D177=0,0,D180/D177)</f>
        <v>6.2396964871409964E-2</v>
      </c>
      <c r="E165" s="244">
        <f t="shared" si="37"/>
        <v>6.6244740153361292E-2</v>
      </c>
      <c r="F165" s="244">
        <f t="shared" si="37"/>
        <v>6.2207175151624106E-2</v>
      </c>
      <c r="G165" s="244">
        <f t="shared" si="37"/>
        <v>6.4605599196031871E-2</v>
      </c>
    </row>
    <row r="166" spans="1:7">
      <c r="A166" s="220" t="s">
        <v>572</v>
      </c>
      <c r="B166" s="220"/>
      <c r="C166" s="220" t="s">
        <v>573</v>
      </c>
      <c r="D166" s="218">
        <f t="shared" ref="D166:G166" si="38">D55</f>
        <v>22126.298029999991</v>
      </c>
      <c r="E166" s="218">
        <f t="shared" si="38"/>
        <v>16639.410000000003</v>
      </c>
      <c r="F166" s="218">
        <f t="shared" si="38"/>
        <v>18571.77115</v>
      </c>
      <c r="G166" s="218">
        <f t="shared" si="38"/>
        <v>18084.559999999998</v>
      </c>
    </row>
    <row r="167" spans="1:7" s="296" customFormat="1" ht="28">
      <c r="A167" s="223" t="s">
        <v>574</v>
      </c>
      <c r="B167" s="237"/>
      <c r="C167" s="237" t="s">
        <v>575</v>
      </c>
      <c r="D167" s="241">
        <f t="shared" ref="D167:G167" si="39">IF(0=D111,0,(D44+D45+D46+D47+D48)/D111)</f>
        <v>1.6972927044015857E-3</v>
      </c>
      <c r="E167" s="241">
        <f t="shared" si="39"/>
        <v>0</v>
      </c>
      <c r="F167" s="241">
        <f t="shared" si="39"/>
        <v>2.0449026127051136E-3</v>
      </c>
      <c r="G167" s="241">
        <f t="shared" si="39"/>
        <v>0</v>
      </c>
    </row>
    <row r="168" spans="1:7">
      <c r="A168" s="220" t="s">
        <v>576</v>
      </c>
      <c r="B168" s="217"/>
      <c r="C168" s="217" t="s">
        <v>577</v>
      </c>
      <c r="D168" s="218">
        <f t="shared" ref="D168:G168" si="40">D38-D44</f>
        <v>27767.721250000002</v>
      </c>
      <c r="E168" s="218">
        <f t="shared" si="40"/>
        <v>27989.43</v>
      </c>
      <c r="F168" s="218">
        <f t="shared" si="40"/>
        <v>24562.761509999997</v>
      </c>
      <c r="G168" s="218">
        <f t="shared" si="40"/>
        <v>23986.6</v>
      </c>
    </row>
    <row r="169" spans="1:7">
      <c r="A169" s="237" t="s">
        <v>578</v>
      </c>
      <c r="B169" s="237"/>
      <c r="C169" s="237" t="s">
        <v>579</v>
      </c>
      <c r="D169" s="221">
        <f t="shared" ref="D169:G169" si="41">IF(D177=0,0,D168/D177)</f>
        <v>8.939750901612694E-3</v>
      </c>
      <c r="E169" s="221">
        <f t="shared" si="41"/>
        <v>8.9240872316523907E-3</v>
      </c>
      <c r="F169" s="221">
        <f t="shared" si="41"/>
        <v>7.7917476586690827E-3</v>
      </c>
      <c r="G169" s="221">
        <f t="shared" si="41"/>
        <v>7.5202321272614669E-3</v>
      </c>
    </row>
    <row r="170" spans="1:7">
      <c r="A170" s="220" t="s">
        <v>580</v>
      </c>
      <c r="B170" s="220"/>
      <c r="C170" s="220" t="s">
        <v>581</v>
      </c>
      <c r="D170" s="218">
        <f t="shared" ref="D170:G170" si="42">SUM(D82:D87)+SUM(D89:D94)</f>
        <v>281181.65521</v>
      </c>
      <c r="E170" s="218">
        <f t="shared" si="42"/>
        <v>290210.09999999998</v>
      </c>
      <c r="F170" s="218">
        <f t="shared" si="42"/>
        <v>273533.44825000002</v>
      </c>
      <c r="G170" s="218">
        <f t="shared" si="42"/>
        <v>292189.75</v>
      </c>
    </row>
    <row r="171" spans="1:7">
      <c r="A171" s="220" t="s">
        <v>582</v>
      </c>
      <c r="B171" s="220"/>
      <c r="C171" s="220" t="s">
        <v>583</v>
      </c>
      <c r="D171" s="239">
        <f t="shared" ref="D171:G171" si="43">SUM(D96:D102)+SUM(D104:D105)</f>
        <v>72700.861499999999</v>
      </c>
      <c r="E171" s="239">
        <f t="shared" si="43"/>
        <v>79591.05</v>
      </c>
      <c r="F171" s="239">
        <f t="shared" si="43"/>
        <v>67846.808720000001</v>
      </c>
      <c r="G171" s="239">
        <f t="shared" si="43"/>
        <v>81539.55</v>
      </c>
    </row>
    <row r="172" spans="1:7">
      <c r="A172" s="243" t="s">
        <v>584</v>
      </c>
      <c r="B172" s="243"/>
      <c r="C172" s="243" t="s">
        <v>585</v>
      </c>
      <c r="D172" s="244">
        <f t="shared" ref="D172:G172" si="44">IF(D184=0,0,D170/D184)</f>
        <v>8.4697902050965224E-2</v>
      </c>
      <c r="E172" s="244">
        <f t="shared" si="44"/>
        <v>8.699518532580551E-2</v>
      </c>
      <c r="F172" s="244">
        <f t="shared" si="44"/>
        <v>8.2316213626714846E-2</v>
      </c>
      <c r="G172" s="244">
        <f t="shared" si="44"/>
        <v>8.6752010699053667E-2</v>
      </c>
    </row>
    <row r="174" spans="1:7">
      <c r="A174" s="432" t="s">
        <v>586</v>
      </c>
      <c r="C174" s="135"/>
      <c r="D174" s="433"/>
      <c r="E174" s="433"/>
      <c r="F174" s="433"/>
      <c r="G174" s="433"/>
    </row>
    <row r="175" spans="1:7" s="91" customFormat="1">
      <c r="A175" s="389" t="s">
        <v>587</v>
      </c>
      <c r="B175" s="84"/>
      <c r="C175" s="84" t="s">
        <v>588</v>
      </c>
      <c r="D175" s="245">
        <v>350363</v>
      </c>
      <c r="E175" s="245">
        <v>350363</v>
      </c>
      <c r="F175" s="245">
        <v>350363</v>
      </c>
      <c r="G175" s="245">
        <v>350363</v>
      </c>
    </row>
    <row r="176" spans="1:7">
      <c r="A176" s="310" t="s">
        <v>589</v>
      </c>
      <c r="B176" s="248"/>
      <c r="C176" s="248"/>
      <c r="D176" s="248"/>
      <c r="E176" s="248"/>
      <c r="F176" s="248"/>
      <c r="G176" s="248"/>
    </row>
    <row r="177" spans="1:7">
      <c r="A177" s="312" t="s">
        <v>590</v>
      </c>
      <c r="B177" s="248"/>
      <c r="C177" s="248" t="s">
        <v>591</v>
      </c>
      <c r="D177" s="249">
        <f t="shared" ref="D177:G177" si="45">SUM(D22:D32)+SUM(D44:D53)+SUM(D65:D72)+D75</f>
        <v>3106095.6346100001</v>
      </c>
      <c r="E177" s="249">
        <f t="shared" si="45"/>
        <v>3136391.3499999996</v>
      </c>
      <c r="F177" s="249">
        <f t="shared" si="45"/>
        <v>3152407.2115799999</v>
      </c>
      <c r="G177" s="249">
        <f t="shared" si="45"/>
        <v>3189608.9899999998</v>
      </c>
    </row>
    <row r="178" spans="1:7">
      <c r="A178" s="312" t="s">
        <v>592</v>
      </c>
      <c r="B178" s="248"/>
      <c r="C178" s="248" t="s">
        <v>593</v>
      </c>
      <c r="D178" s="249">
        <f t="shared" ref="D178:G178" si="46">D78-D17-D20-D59-D63-D64</f>
        <v>3236058.1985000009</v>
      </c>
      <c r="E178" s="249">
        <f t="shared" si="46"/>
        <v>3256818.04</v>
      </c>
      <c r="F178" s="249">
        <f t="shared" si="46"/>
        <v>3243238.0055500008</v>
      </c>
      <c r="G178" s="249">
        <f t="shared" si="46"/>
        <v>3278296.68</v>
      </c>
    </row>
    <row r="179" spans="1:7">
      <c r="A179" s="312"/>
      <c r="B179" s="248"/>
      <c r="C179" s="248" t="s">
        <v>594</v>
      </c>
      <c r="D179" s="249">
        <f t="shared" ref="D179:G179" si="47">D178+D170</f>
        <v>3517239.8537100009</v>
      </c>
      <c r="E179" s="249">
        <f t="shared" si="47"/>
        <v>3547028.14</v>
      </c>
      <c r="F179" s="249">
        <f t="shared" si="47"/>
        <v>3516771.4538000007</v>
      </c>
      <c r="G179" s="249">
        <f t="shared" si="47"/>
        <v>3570486.43</v>
      </c>
    </row>
    <row r="180" spans="1:7">
      <c r="A180" s="248" t="s">
        <v>595</v>
      </c>
      <c r="B180" s="248"/>
      <c r="C180" s="248" t="s">
        <v>596</v>
      </c>
      <c r="D180" s="249">
        <f t="shared" ref="D180:G180" si="48">D38-D44+D8+D9+D10+D16-D33</f>
        <v>193810.94020000001</v>
      </c>
      <c r="E180" s="249">
        <f t="shared" si="48"/>
        <v>207769.43</v>
      </c>
      <c r="F180" s="249">
        <f t="shared" si="48"/>
        <v>196102.34755999999</v>
      </c>
      <c r="G180" s="249">
        <f t="shared" si="48"/>
        <v>206066.6</v>
      </c>
    </row>
    <row r="181" spans="1:7" ht="27.5" customHeight="1">
      <c r="A181" s="315" t="s">
        <v>597</v>
      </c>
      <c r="B181" s="251"/>
      <c r="C181" s="251" t="s">
        <v>598</v>
      </c>
      <c r="D181" s="252">
        <f t="shared" ref="D181:G181" si="49">D22+D23+D24+D25+D26+D29+SUM(D44:D47)+SUM(D49:D53)-D54+D32-D33+SUM(D65:D70)+D72</f>
        <v>3095914.0712899994</v>
      </c>
      <c r="E181" s="252">
        <f t="shared" si="49"/>
        <v>3128656.4899999993</v>
      </c>
      <c r="F181" s="252">
        <f t="shared" si="49"/>
        <v>3140582.1480899998</v>
      </c>
      <c r="G181" s="252">
        <f t="shared" si="49"/>
        <v>3180769.1799999997</v>
      </c>
    </row>
    <row r="182" spans="1:7">
      <c r="A182" s="317" t="s">
        <v>599</v>
      </c>
      <c r="B182" s="251"/>
      <c r="C182" s="251" t="s">
        <v>600</v>
      </c>
      <c r="D182" s="252">
        <f t="shared" ref="D182:G182" si="50">D181+D171</f>
        <v>3168614.9327899995</v>
      </c>
      <c r="E182" s="252">
        <f t="shared" si="50"/>
        <v>3208247.5399999991</v>
      </c>
      <c r="F182" s="252">
        <f t="shared" si="50"/>
        <v>3208428.9568099999</v>
      </c>
      <c r="G182" s="252">
        <f t="shared" si="50"/>
        <v>3262308.7299999995</v>
      </c>
    </row>
    <row r="183" spans="1:7">
      <c r="A183" s="317" t="s">
        <v>601</v>
      </c>
      <c r="B183" s="251"/>
      <c r="C183" s="251" t="s">
        <v>602</v>
      </c>
      <c r="D183" s="252">
        <f t="shared" ref="D183" si="51">D4+D5-D7+D38+D39+D40+D41+D43+D13-D16+D57+D58+D60+D62</f>
        <v>3038636.7629700005</v>
      </c>
      <c r="E183" s="252">
        <f>E4+E5-E7+E38+E39+E40+E41+E43+E13-E16+E57+E58+E60+E62</f>
        <v>3045722.79</v>
      </c>
      <c r="F183" s="252">
        <f>F4+F5-F7+F38+F39+F40+F41+F43+F13-F16+F57+F58+F60+F62</f>
        <v>3049426.1024700012</v>
      </c>
      <c r="G183" s="252">
        <f>G4+G5-G7+G38+G39+G40+G41+G43+G13-G16+G57+G58+G60+G62</f>
        <v>3075913.74</v>
      </c>
    </row>
    <row r="184" spans="1:7">
      <c r="A184" s="317" t="s">
        <v>603</v>
      </c>
      <c r="B184" s="251"/>
      <c r="C184" s="251" t="s">
        <v>604</v>
      </c>
      <c r="D184" s="252">
        <f t="shared" ref="D184:G184" si="52">D183+D170</f>
        <v>3319818.4181800005</v>
      </c>
      <c r="E184" s="252">
        <f t="shared" si="52"/>
        <v>3335932.89</v>
      </c>
      <c r="F184" s="252">
        <f t="shared" si="52"/>
        <v>3322959.5507200011</v>
      </c>
      <c r="G184" s="252">
        <f t="shared" si="52"/>
        <v>3368103.49</v>
      </c>
    </row>
    <row r="185" spans="1:7">
      <c r="A185" s="317"/>
      <c r="B185" s="251"/>
      <c r="C185" s="251" t="s">
        <v>605</v>
      </c>
      <c r="D185" s="252">
        <f t="shared" ref="D185:G186" si="53">D181-D183</f>
        <v>57277.308319998905</v>
      </c>
      <c r="E185" s="252">
        <f t="shared" si="53"/>
        <v>82933.699999999255</v>
      </c>
      <c r="F185" s="252">
        <f t="shared" si="53"/>
        <v>91156.045619998593</v>
      </c>
      <c r="G185" s="252">
        <f t="shared" si="53"/>
        <v>104855.43999999948</v>
      </c>
    </row>
    <row r="186" spans="1:7">
      <c r="A186" s="317"/>
      <c r="B186" s="251"/>
      <c r="C186" s="251" t="s">
        <v>606</v>
      </c>
      <c r="D186" s="252">
        <f t="shared" si="53"/>
        <v>-151203.48539000098</v>
      </c>
      <c r="E186" s="252">
        <f t="shared" si="53"/>
        <v>-127685.35000000102</v>
      </c>
      <c r="F186" s="252">
        <f t="shared" si="53"/>
        <v>-114530.59391000122</v>
      </c>
      <c r="G186" s="252">
        <f t="shared" si="53"/>
        <v>-105794.76000000071</v>
      </c>
    </row>
  </sheetData>
  <sheetProtection selectLockedCells="1" sort="0" autoFilter="0" pivotTables="0"/>
  <autoFilter ref="A1:G1" xr:uid="{00000000-0009-0000-0000-000016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12" man="1"/>
    <brk id="148" max="12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AN186"/>
  <sheetViews>
    <sheetView tabSelected="1" zoomScaleNormal="100" workbookViewId="0">
      <pane xSplit="3" ySplit="2" topLeftCell="D3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11.5" defaultRowHeight="13"/>
  <cols>
    <col min="1" max="1" width="16.33203125" style="389" customWidth="1"/>
    <col min="2" max="2" width="3.6640625" style="84" customWidth="1"/>
    <col min="3" max="3" width="44.6640625" style="84" customWidth="1"/>
    <col min="4" max="4" width="11.5" style="84" customWidth="1"/>
    <col min="5" max="5" width="11.5" style="84"/>
    <col min="6" max="7" width="11.5" style="84" customWidth="1"/>
    <col min="8" max="16384" width="11.5" style="84"/>
  </cols>
  <sheetData>
    <row r="1" spans="1:40" s="77" customFormat="1" ht="18" customHeight="1">
      <c r="A1" s="399" t="s">
        <v>94</v>
      </c>
      <c r="B1" s="73" t="s">
        <v>631</v>
      </c>
      <c r="C1" s="73" t="s">
        <v>148</v>
      </c>
      <c r="D1" s="74" t="s">
        <v>96</v>
      </c>
      <c r="E1" s="75" t="s">
        <v>9</v>
      </c>
      <c r="F1" s="74" t="s">
        <v>96</v>
      </c>
      <c r="G1" s="75" t="s">
        <v>9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</row>
    <row r="2" spans="1:40" s="83" customFormat="1" ht="15" customHeight="1">
      <c r="A2" s="400"/>
      <c r="B2" s="79"/>
      <c r="C2" s="80" t="s">
        <v>397</v>
      </c>
      <c r="D2" s="81">
        <v>2014</v>
      </c>
      <c r="E2" s="82">
        <v>2015</v>
      </c>
      <c r="F2" s="81">
        <v>2015</v>
      </c>
      <c r="G2" s="82">
        <v>2016</v>
      </c>
    </row>
    <row r="3" spans="1:40" ht="15" customHeight="1">
      <c r="A3" s="678" t="s">
        <v>398</v>
      </c>
      <c r="B3" s="679"/>
      <c r="C3" s="679"/>
      <c r="E3" s="85"/>
      <c r="F3" s="85"/>
      <c r="G3" s="85"/>
    </row>
    <row r="4" spans="1:40" s="91" customFormat="1" ht="12.75" customHeight="1">
      <c r="A4" s="401">
        <v>30</v>
      </c>
      <c r="B4" s="87"/>
      <c r="C4" s="88" t="s">
        <v>98</v>
      </c>
      <c r="D4" s="89">
        <v>2463959.26779</v>
      </c>
      <c r="E4" s="90">
        <v>2407976.7000000002</v>
      </c>
      <c r="F4" s="90">
        <v>2316101.87585</v>
      </c>
      <c r="G4" s="90">
        <v>2363614.7000000002</v>
      </c>
    </row>
    <row r="5" spans="1:40" s="91" customFormat="1" ht="12.75" customHeight="1">
      <c r="A5" s="101">
        <v>31</v>
      </c>
      <c r="B5" s="93"/>
      <c r="C5" s="94" t="s">
        <v>399</v>
      </c>
      <c r="D5" s="95">
        <v>872251.1124199999</v>
      </c>
      <c r="E5" s="96">
        <v>833525.5</v>
      </c>
      <c r="F5" s="96">
        <v>758905.26862999995</v>
      </c>
      <c r="G5" s="96">
        <v>715635.3</v>
      </c>
    </row>
    <row r="6" spans="1:40" s="91" customFormat="1" ht="12.75" customHeight="1">
      <c r="A6" s="97" t="s">
        <v>100</v>
      </c>
      <c r="B6" s="98"/>
      <c r="C6" s="99" t="s">
        <v>400</v>
      </c>
      <c r="D6" s="100">
        <v>71818.694269999993</v>
      </c>
      <c r="E6" s="96">
        <v>73680</v>
      </c>
      <c r="F6" s="96">
        <v>83837.168650000007</v>
      </c>
      <c r="G6" s="96">
        <v>77770.3</v>
      </c>
    </row>
    <row r="7" spans="1:40" s="91" customFormat="1" ht="12.75" customHeight="1">
      <c r="A7" s="97" t="s">
        <v>401</v>
      </c>
      <c r="B7" s="98"/>
      <c r="C7" s="99" t="s">
        <v>402</v>
      </c>
      <c r="D7" s="100">
        <v>16919.892609999999</v>
      </c>
      <c r="E7" s="96">
        <v>100014</v>
      </c>
      <c r="F7" s="96">
        <v>13208.527669999999</v>
      </c>
      <c r="G7" s="96">
        <v>0</v>
      </c>
    </row>
    <row r="8" spans="1:40" s="91" customFormat="1" ht="12.75" customHeight="1">
      <c r="A8" s="101">
        <v>330</v>
      </c>
      <c r="B8" s="93"/>
      <c r="C8" s="94" t="s">
        <v>403</v>
      </c>
      <c r="D8" s="95">
        <v>174496.12907</v>
      </c>
      <c r="E8" s="96">
        <v>152011.9</v>
      </c>
      <c r="F8" s="96">
        <v>123303.09109</v>
      </c>
      <c r="G8" s="96">
        <v>169751.2</v>
      </c>
    </row>
    <row r="9" spans="1:40" s="91" customFormat="1" ht="12.75" customHeight="1">
      <c r="A9" s="101">
        <v>332</v>
      </c>
      <c r="B9" s="93"/>
      <c r="C9" s="94" t="s">
        <v>404</v>
      </c>
      <c r="D9" s="95">
        <v>15429.936300000001</v>
      </c>
      <c r="E9" s="96">
        <v>25548.9</v>
      </c>
      <c r="F9" s="96">
        <v>59936.746070000001</v>
      </c>
      <c r="G9" s="96">
        <v>27616.9</v>
      </c>
    </row>
    <row r="10" spans="1:40" s="91" customFormat="1" ht="12.75" customHeight="1">
      <c r="A10" s="101">
        <v>339</v>
      </c>
      <c r="B10" s="93"/>
      <c r="C10" s="94" t="s">
        <v>405</v>
      </c>
      <c r="D10" s="95">
        <v>0</v>
      </c>
      <c r="E10" s="96">
        <v>0</v>
      </c>
      <c r="F10" s="96">
        <v>0</v>
      </c>
      <c r="G10" s="96">
        <v>0</v>
      </c>
    </row>
    <row r="11" spans="1:40" s="195" customFormat="1" ht="28.25" customHeight="1">
      <c r="A11" s="102">
        <v>350</v>
      </c>
      <c r="B11" s="402"/>
      <c r="C11" s="104" t="s">
        <v>406</v>
      </c>
      <c r="D11" s="131">
        <v>4392.4759199999999</v>
      </c>
      <c r="E11" s="131">
        <v>21951</v>
      </c>
      <c r="F11" s="96">
        <v>1594.99053</v>
      </c>
      <c r="G11" s="96">
        <v>328.3</v>
      </c>
    </row>
    <row r="12" spans="1:40" s="106" customFormat="1" ht="28">
      <c r="A12" s="102">
        <v>351</v>
      </c>
      <c r="B12" s="103"/>
      <c r="C12" s="104" t="s">
        <v>407</v>
      </c>
      <c r="D12" s="105">
        <v>8835.1814800000011</v>
      </c>
      <c r="E12" s="105">
        <v>33417.5</v>
      </c>
      <c r="F12" s="96">
        <v>36956.301079999997</v>
      </c>
      <c r="G12" s="96">
        <v>13922.5</v>
      </c>
    </row>
    <row r="13" spans="1:40" s="91" customFormat="1" ht="12.75" customHeight="1">
      <c r="A13" s="101">
        <v>36</v>
      </c>
      <c r="B13" s="93"/>
      <c r="C13" s="94" t="s">
        <v>408</v>
      </c>
      <c r="D13" s="100">
        <v>5328294.4169100001</v>
      </c>
      <c r="E13" s="100">
        <v>5145509.4000000004</v>
      </c>
      <c r="F13" s="96">
        <v>5733385.4295800002</v>
      </c>
      <c r="G13" s="96">
        <v>5252151.4000000004</v>
      </c>
    </row>
    <row r="14" spans="1:40" s="91" customFormat="1" ht="12.75" customHeight="1">
      <c r="A14" s="107" t="s">
        <v>409</v>
      </c>
      <c r="B14" s="93"/>
      <c r="C14" s="108" t="s">
        <v>410</v>
      </c>
      <c r="D14" s="100">
        <v>1052998.00288</v>
      </c>
      <c r="E14" s="100">
        <v>1133573.8</v>
      </c>
      <c r="F14" s="96">
        <v>1257691.3146600001</v>
      </c>
      <c r="G14" s="96">
        <v>1291211.2</v>
      </c>
    </row>
    <row r="15" spans="1:40" s="91" customFormat="1" ht="12.75" customHeight="1">
      <c r="A15" s="107" t="s">
        <v>411</v>
      </c>
      <c r="B15" s="93"/>
      <c r="C15" s="108" t="s">
        <v>412</v>
      </c>
      <c r="D15" s="100">
        <v>303361.22179000004</v>
      </c>
      <c r="E15" s="100">
        <v>334408.09999999998</v>
      </c>
      <c r="F15" s="96">
        <v>310904.48710000003</v>
      </c>
      <c r="G15" s="96">
        <v>331375</v>
      </c>
    </row>
    <row r="16" spans="1:40" s="111" customFormat="1" ht="26.25" customHeight="1">
      <c r="A16" s="107" t="s">
        <v>413</v>
      </c>
      <c r="B16" s="109"/>
      <c r="C16" s="108" t="s">
        <v>414</v>
      </c>
      <c r="D16" s="110">
        <v>151519.34031</v>
      </c>
      <c r="E16" s="110">
        <v>30029.7</v>
      </c>
      <c r="F16" s="96">
        <v>348346.30167000002</v>
      </c>
      <c r="G16" s="96">
        <v>23181.5</v>
      </c>
    </row>
    <row r="17" spans="1:7" s="113" customFormat="1">
      <c r="A17" s="101">
        <v>37</v>
      </c>
      <c r="B17" s="93"/>
      <c r="C17" s="94" t="s">
        <v>415</v>
      </c>
      <c r="D17" s="112">
        <v>482011.47336</v>
      </c>
      <c r="E17" s="112">
        <v>557492.19999999995</v>
      </c>
      <c r="F17" s="96">
        <v>556549.85274999996</v>
      </c>
      <c r="G17" s="96">
        <v>564363.19999999995</v>
      </c>
    </row>
    <row r="18" spans="1:7" s="113" customFormat="1">
      <c r="A18" s="114" t="s">
        <v>416</v>
      </c>
      <c r="B18" s="98"/>
      <c r="C18" s="99" t="s">
        <v>417</v>
      </c>
      <c r="D18" s="115">
        <v>139842.72785</v>
      </c>
      <c r="E18" s="115">
        <v>220645.3</v>
      </c>
      <c r="F18" s="96">
        <v>219237.23580000002</v>
      </c>
      <c r="G18" s="96">
        <v>221775</v>
      </c>
    </row>
    <row r="19" spans="1:7" s="113" customFormat="1">
      <c r="A19" s="114" t="s">
        <v>418</v>
      </c>
      <c r="B19" s="98"/>
      <c r="C19" s="99" t="s">
        <v>419</v>
      </c>
      <c r="D19" s="115">
        <v>9188.3399000000009</v>
      </c>
      <c r="E19" s="115">
        <v>7850</v>
      </c>
      <c r="F19" s="96">
        <v>6284.5484500000002</v>
      </c>
      <c r="G19" s="96">
        <v>6525</v>
      </c>
    </row>
    <row r="20" spans="1:7" s="91" customFormat="1" ht="12.75" customHeight="1">
      <c r="A20" s="403">
        <v>39</v>
      </c>
      <c r="B20" s="117"/>
      <c r="C20" s="118" t="s">
        <v>120</v>
      </c>
      <c r="D20" s="119">
        <v>7884.2986300000002</v>
      </c>
      <c r="E20" s="119">
        <v>4407.8999999999996</v>
      </c>
      <c r="F20" s="120">
        <v>4953.5002800000002</v>
      </c>
      <c r="G20" s="120">
        <v>4369.1000000000004</v>
      </c>
    </row>
    <row r="21" spans="1:7" ht="12.75" customHeight="1">
      <c r="A21" s="404"/>
      <c r="B21" s="121"/>
      <c r="C21" s="122" t="s">
        <v>420</v>
      </c>
      <c r="D21" s="123">
        <f t="shared" ref="D21:G21" si="0">D4+D5+SUM(D8:D13)+D17</f>
        <v>9349669.9932499994</v>
      </c>
      <c r="E21" s="123">
        <f t="shared" si="0"/>
        <v>9177433.0999999996</v>
      </c>
      <c r="F21" s="123">
        <f t="shared" si="0"/>
        <v>9586733.5555799995</v>
      </c>
      <c r="G21" s="123">
        <f t="shared" si="0"/>
        <v>9107383.5</v>
      </c>
    </row>
    <row r="22" spans="1:7" s="195" customFormat="1" ht="12.75" customHeight="1">
      <c r="A22" s="102" t="s">
        <v>183</v>
      </c>
      <c r="B22" s="402"/>
      <c r="C22" s="104" t="s">
        <v>421</v>
      </c>
      <c r="D22" s="131">
        <v>5138878.5947000012</v>
      </c>
      <c r="E22" s="194">
        <v>4997775</v>
      </c>
      <c r="F22" s="194">
        <v>5192314.5842700005</v>
      </c>
      <c r="G22" s="194">
        <v>5039700</v>
      </c>
    </row>
    <row r="23" spans="1:7" s="195" customFormat="1" ht="14">
      <c r="A23" s="102" t="s">
        <v>185</v>
      </c>
      <c r="B23" s="402"/>
      <c r="C23" s="104" t="s">
        <v>422</v>
      </c>
      <c r="D23" s="131">
        <v>704562.73071999999</v>
      </c>
      <c r="E23" s="194">
        <v>671220</v>
      </c>
      <c r="F23" s="194">
        <v>732974.20114000002</v>
      </c>
      <c r="G23" s="194">
        <v>680513</v>
      </c>
    </row>
    <row r="24" spans="1:7" s="125" customFormat="1" ht="12.75" customHeight="1">
      <c r="A24" s="101">
        <v>41</v>
      </c>
      <c r="B24" s="93"/>
      <c r="C24" s="94" t="s">
        <v>423</v>
      </c>
      <c r="D24" s="95">
        <v>44046.857000000004</v>
      </c>
      <c r="E24" s="124">
        <v>37449.4</v>
      </c>
      <c r="F24" s="194">
        <v>160511.31269999998</v>
      </c>
      <c r="G24" s="194">
        <v>40556</v>
      </c>
    </row>
    <row r="25" spans="1:7" s="91" customFormat="1" ht="12.75" customHeight="1">
      <c r="A25" s="344">
        <v>42</v>
      </c>
      <c r="B25" s="127"/>
      <c r="C25" s="94" t="s">
        <v>424</v>
      </c>
      <c r="D25" s="95">
        <v>491159.80417000002</v>
      </c>
      <c r="E25" s="124">
        <v>424701.6</v>
      </c>
      <c r="F25" s="194">
        <v>489571.28986999998</v>
      </c>
      <c r="G25" s="194">
        <v>404949</v>
      </c>
    </row>
    <row r="26" spans="1:7" s="129" customFormat="1" ht="12.75" customHeight="1">
      <c r="A26" s="102">
        <v>430</v>
      </c>
      <c r="B26" s="93"/>
      <c r="C26" s="94" t="s">
        <v>425</v>
      </c>
      <c r="D26" s="112">
        <v>27248.617899999997</v>
      </c>
      <c r="E26" s="128">
        <v>19605.400000000001</v>
      </c>
      <c r="F26" s="194">
        <v>23782.567660000001</v>
      </c>
      <c r="G26" s="194">
        <v>27623.7</v>
      </c>
    </row>
    <row r="27" spans="1:7" s="129" customFormat="1" ht="12.75" customHeight="1">
      <c r="A27" s="102">
        <v>431</v>
      </c>
      <c r="B27" s="93"/>
      <c r="C27" s="94" t="s">
        <v>426</v>
      </c>
      <c r="D27" s="112"/>
      <c r="E27" s="128">
        <v>0</v>
      </c>
      <c r="F27" s="194">
        <v>7.0000000000000007E-2</v>
      </c>
      <c r="G27" s="194">
        <v>0</v>
      </c>
    </row>
    <row r="28" spans="1:7" s="129" customFormat="1" ht="12.75" customHeight="1">
      <c r="A28" s="102">
        <v>432</v>
      </c>
      <c r="B28" s="93"/>
      <c r="C28" s="94" t="s">
        <v>427</v>
      </c>
      <c r="D28" s="112">
        <v>1878.29639</v>
      </c>
      <c r="E28" s="128">
        <v>0</v>
      </c>
      <c r="F28" s="194">
        <v>305.84416999999996</v>
      </c>
      <c r="G28" s="194">
        <v>0</v>
      </c>
    </row>
    <row r="29" spans="1:7" s="129" customFormat="1" ht="12.75" customHeight="1">
      <c r="A29" s="102">
        <v>439</v>
      </c>
      <c r="B29" s="93"/>
      <c r="C29" s="94" t="s">
        <v>428</v>
      </c>
      <c r="D29" s="112">
        <v>18639.523699999998</v>
      </c>
      <c r="E29" s="128">
        <v>22490</v>
      </c>
      <c r="F29" s="194">
        <v>21359.346559999998</v>
      </c>
      <c r="G29" s="194">
        <v>20232.7</v>
      </c>
    </row>
    <row r="30" spans="1:7" s="91" customFormat="1" ht="28">
      <c r="A30" s="102">
        <v>450</v>
      </c>
      <c r="B30" s="103"/>
      <c r="C30" s="104" t="s">
        <v>429</v>
      </c>
      <c r="D30" s="130">
        <v>1197.09473</v>
      </c>
      <c r="E30" s="96">
        <v>19267.599999999999</v>
      </c>
      <c r="F30" s="194">
        <v>345.00170000000003</v>
      </c>
      <c r="G30" s="194">
        <v>2234.6</v>
      </c>
    </row>
    <row r="31" spans="1:7" s="106" customFormat="1" ht="28">
      <c r="A31" s="102">
        <v>451</v>
      </c>
      <c r="B31" s="103"/>
      <c r="C31" s="104" t="s">
        <v>430</v>
      </c>
      <c r="D31" s="131">
        <v>950</v>
      </c>
      <c r="E31" s="124">
        <v>61792.9</v>
      </c>
      <c r="F31" s="194">
        <v>29017.129949999999</v>
      </c>
      <c r="G31" s="194">
        <v>35766</v>
      </c>
    </row>
    <row r="32" spans="1:7" s="91" customFormat="1" ht="12.75" customHeight="1">
      <c r="A32" s="101">
        <v>46</v>
      </c>
      <c r="B32" s="93"/>
      <c r="C32" s="94" t="s">
        <v>431</v>
      </c>
      <c r="D32" s="95">
        <v>2338288.4166700002</v>
      </c>
      <c r="E32" s="124">
        <v>2222246.7000000002</v>
      </c>
      <c r="F32" s="194">
        <v>2401050.5317199999</v>
      </c>
      <c r="G32" s="194">
        <v>2115524.2000000002</v>
      </c>
    </row>
    <row r="33" spans="1:7" s="111" customFormat="1" ht="14">
      <c r="A33" s="107" t="s">
        <v>432</v>
      </c>
      <c r="B33" s="405"/>
      <c r="C33" s="108" t="s">
        <v>433</v>
      </c>
      <c r="D33" s="286"/>
      <c r="E33" s="406">
        <v>0</v>
      </c>
      <c r="F33" s="194">
        <v>0</v>
      </c>
      <c r="G33" s="194">
        <v>0</v>
      </c>
    </row>
    <row r="34" spans="1:7" s="91" customFormat="1" ht="15" customHeight="1">
      <c r="A34" s="101">
        <v>47</v>
      </c>
      <c r="B34" s="93"/>
      <c r="C34" s="94" t="s">
        <v>415</v>
      </c>
      <c r="D34" s="95">
        <v>482011.47336</v>
      </c>
      <c r="E34" s="124">
        <v>557492.19999999995</v>
      </c>
      <c r="F34" s="194">
        <v>556549.85274999996</v>
      </c>
      <c r="G34" s="194">
        <v>564363.19999999995</v>
      </c>
    </row>
    <row r="35" spans="1:7" s="91" customFormat="1" ht="15" customHeight="1">
      <c r="A35" s="403">
        <v>49</v>
      </c>
      <c r="B35" s="117"/>
      <c r="C35" s="118" t="s">
        <v>120</v>
      </c>
      <c r="D35" s="119">
        <v>7884.2986300000002</v>
      </c>
      <c r="E35" s="133">
        <v>4408</v>
      </c>
      <c r="F35" s="194">
        <v>4953.5002800000002</v>
      </c>
      <c r="G35" s="194">
        <v>4369.1000000000004</v>
      </c>
    </row>
    <row r="36" spans="1:7" ht="13.5" customHeight="1">
      <c r="A36" s="404"/>
      <c r="B36" s="134"/>
      <c r="C36" s="122" t="s">
        <v>434</v>
      </c>
      <c r="D36" s="123">
        <f t="shared" ref="D36:G36" si="1">D22+D23+D24+D25+D26+D27+D28+D29+D30+D31+D32+D34</f>
        <v>9248861.4093400016</v>
      </c>
      <c r="E36" s="123">
        <f t="shared" si="1"/>
        <v>9034040.8000000007</v>
      </c>
      <c r="F36" s="123">
        <f t="shared" si="1"/>
        <v>9607781.7324899994</v>
      </c>
      <c r="G36" s="123">
        <f t="shared" si="1"/>
        <v>8931462.4000000004</v>
      </c>
    </row>
    <row r="37" spans="1:7" s="135" customFormat="1" ht="15" customHeight="1">
      <c r="A37" s="404"/>
      <c r="B37" s="134"/>
      <c r="C37" s="122" t="s">
        <v>435</v>
      </c>
      <c r="D37" s="123">
        <f t="shared" ref="D37:G37" si="2">D36-D21</f>
        <v>-100808.58390999772</v>
      </c>
      <c r="E37" s="123">
        <f t="shared" si="2"/>
        <v>-143392.29999999888</v>
      </c>
      <c r="F37" s="123">
        <f t="shared" si="2"/>
        <v>21048.176909999922</v>
      </c>
      <c r="G37" s="123">
        <f t="shared" si="2"/>
        <v>-175921.09999999963</v>
      </c>
    </row>
    <row r="38" spans="1:7" s="106" customFormat="1" ht="15" customHeight="1">
      <c r="A38" s="101">
        <v>340</v>
      </c>
      <c r="B38" s="93"/>
      <c r="C38" s="94" t="s">
        <v>436</v>
      </c>
      <c r="D38" s="95">
        <v>33990.914549999994</v>
      </c>
      <c r="E38" s="124">
        <v>53161.8</v>
      </c>
      <c r="F38" s="124">
        <v>26188.403300000002</v>
      </c>
      <c r="G38" s="124">
        <v>42293</v>
      </c>
    </row>
    <row r="39" spans="1:7" s="106" customFormat="1" ht="15" customHeight="1">
      <c r="A39" s="101">
        <v>341</v>
      </c>
      <c r="B39" s="93"/>
      <c r="C39" s="94" t="s">
        <v>437</v>
      </c>
      <c r="D39" s="95">
        <v>-23.532340000000001</v>
      </c>
      <c r="E39" s="124">
        <v>0</v>
      </c>
      <c r="F39" s="124">
        <v>-137.89563000000001</v>
      </c>
      <c r="G39" s="124">
        <v>0</v>
      </c>
    </row>
    <row r="40" spans="1:7" s="111" customFormat="1" ht="15" customHeight="1">
      <c r="A40" s="102">
        <v>342</v>
      </c>
      <c r="B40" s="402"/>
      <c r="C40" s="104" t="s">
        <v>438</v>
      </c>
      <c r="D40" s="131">
        <v>5377.5146299999997</v>
      </c>
      <c r="E40" s="194">
        <v>5500</v>
      </c>
      <c r="F40" s="194">
        <v>141.09981999999999</v>
      </c>
      <c r="G40" s="194">
        <v>5097.5</v>
      </c>
    </row>
    <row r="41" spans="1:7" s="106" customFormat="1" ht="15" customHeight="1">
      <c r="A41" s="101">
        <v>343</v>
      </c>
      <c r="B41" s="93"/>
      <c r="C41" s="94" t="s">
        <v>439</v>
      </c>
      <c r="D41" s="95"/>
      <c r="E41" s="124">
        <v>0</v>
      </c>
      <c r="F41" s="124">
        <v>0</v>
      </c>
      <c r="G41" s="124">
        <v>0</v>
      </c>
    </row>
    <row r="42" spans="1:7" s="111" customFormat="1" ht="15" customHeight="1">
      <c r="A42" s="102">
        <v>344</v>
      </c>
      <c r="B42" s="402"/>
      <c r="C42" s="104" t="s">
        <v>440</v>
      </c>
      <c r="D42" s="131">
        <v>0</v>
      </c>
      <c r="E42" s="194">
        <v>0.8</v>
      </c>
      <c r="F42" s="194">
        <v>0</v>
      </c>
      <c r="G42" s="194">
        <v>0</v>
      </c>
    </row>
    <row r="43" spans="1:7" s="106" customFormat="1" ht="15" customHeight="1">
      <c r="A43" s="101">
        <v>349</v>
      </c>
      <c r="B43" s="93"/>
      <c r="C43" s="94" t="s">
        <v>441</v>
      </c>
      <c r="D43" s="95">
        <v>-2.1851400000000001</v>
      </c>
      <c r="E43" s="124">
        <v>0</v>
      </c>
      <c r="F43" s="124">
        <v>-11.128540000000001</v>
      </c>
      <c r="G43" s="124">
        <v>0</v>
      </c>
    </row>
    <row r="44" spans="1:7" s="91" customFormat="1" ht="15" customHeight="1">
      <c r="A44" s="101">
        <v>440</v>
      </c>
      <c r="B44" s="93"/>
      <c r="C44" s="94" t="s">
        <v>442</v>
      </c>
      <c r="D44" s="95">
        <v>70646.964500000002</v>
      </c>
      <c r="E44" s="124">
        <v>33960.5</v>
      </c>
      <c r="F44" s="124">
        <v>45457.932150000001</v>
      </c>
      <c r="G44" s="124">
        <v>31776.799999999999</v>
      </c>
    </row>
    <row r="45" spans="1:7" s="195" customFormat="1" ht="15" customHeight="1">
      <c r="A45" s="102">
        <v>441</v>
      </c>
      <c r="B45" s="402"/>
      <c r="C45" s="104" t="s">
        <v>443</v>
      </c>
      <c r="D45" s="131">
        <v>2184.5002000000004</v>
      </c>
      <c r="E45" s="407">
        <v>0</v>
      </c>
      <c r="F45" s="124">
        <v>817.89947999999993</v>
      </c>
      <c r="G45" s="124">
        <v>0</v>
      </c>
    </row>
    <row r="46" spans="1:7" s="195" customFormat="1" ht="15" customHeight="1">
      <c r="A46" s="102">
        <v>442</v>
      </c>
      <c r="B46" s="402"/>
      <c r="C46" s="104" t="s">
        <v>444</v>
      </c>
      <c r="D46" s="131">
        <v>31876.425999999999</v>
      </c>
      <c r="E46" s="194">
        <v>31876.2</v>
      </c>
      <c r="F46" s="124">
        <v>31876.314999999999</v>
      </c>
      <c r="G46" s="124">
        <v>31876.3</v>
      </c>
    </row>
    <row r="47" spans="1:7" s="91" customFormat="1" ht="15" customHeight="1">
      <c r="A47" s="101">
        <v>443</v>
      </c>
      <c r="B47" s="93"/>
      <c r="C47" s="94" t="s">
        <v>445</v>
      </c>
      <c r="D47" s="95">
        <v>6014.0622699999994</v>
      </c>
      <c r="E47" s="269">
        <v>6996.3</v>
      </c>
      <c r="F47" s="124">
        <v>6249.6062300000003</v>
      </c>
      <c r="G47" s="124">
        <v>5987</v>
      </c>
    </row>
    <row r="48" spans="1:7" s="91" customFormat="1" ht="15" customHeight="1">
      <c r="A48" s="101">
        <v>444</v>
      </c>
      <c r="B48" s="93"/>
      <c r="C48" s="94" t="s">
        <v>446</v>
      </c>
      <c r="D48" s="95"/>
      <c r="E48" s="269">
        <v>0</v>
      </c>
      <c r="F48" s="124">
        <v>0</v>
      </c>
      <c r="G48" s="124">
        <v>0</v>
      </c>
    </row>
    <row r="49" spans="1:7" s="91" customFormat="1" ht="15" customHeight="1">
      <c r="A49" s="101">
        <v>445</v>
      </c>
      <c r="B49" s="93"/>
      <c r="C49" s="94" t="s">
        <v>447</v>
      </c>
      <c r="D49" s="95">
        <v>114170.55525</v>
      </c>
      <c r="E49" s="124">
        <v>112215.1</v>
      </c>
      <c r="F49" s="124">
        <v>112051.52575</v>
      </c>
      <c r="G49" s="124">
        <v>113340</v>
      </c>
    </row>
    <row r="50" spans="1:7" s="91" customFormat="1" ht="15" customHeight="1">
      <c r="A50" s="101">
        <v>446</v>
      </c>
      <c r="B50" s="93"/>
      <c r="C50" s="94" t="s">
        <v>448</v>
      </c>
      <c r="D50" s="95">
        <v>3610.4421000000002</v>
      </c>
      <c r="E50" s="124">
        <v>3400</v>
      </c>
      <c r="F50" s="124">
        <v>3352.6761499999998</v>
      </c>
      <c r="G50" s="124">
        <v>3570</v>
      </c>
    </row>
    <row r="51" spans="1:7" s="195" customFormat="1" ht="15" customHeight="1">
      <c r="A51" s="102">
        <v>447</v>
      </c>
      <c r="B51" s="402"/>
      <c r="C51" s="104" t="s">
        <v>449</v>
      </c>
      <c r="D51" s="131">
        <v>33147.588750000003</v>
      </c>
      <c r="E51" s="194">
        <v>39679.300000000003</v>
      </c>
      <c r="F51" s="124">
        <v>34389.73229</v>
      </c>
      <c r="G51" s="124">
        <v>38182.199999999997</v>
      </c>
    </row>
    <row r="52" spans="1:7" s="91" customFormat="1" ht="15" customHeight="1">
      <c r="A52" s="101">
        <v>448</v>
      </c>
      <c r="B52" s="93"/>
      <c r="C52" s="94" t="s">
        <v>450</v>
      </c>
      <c r="D52" s="95">
        <v>213.43110000000001</v>
      </c>
      <c r="E52" s="269">
        <v>118.4</v>
      </c>
      <c r="F52" s="124">
        <v>128.55105</v>
      </c>
      <c r="G52" s="124">
        <v>116.8</v>
      </c>
    </row>
    <row r="53" spans="1:7" s="195" customFormat="1" ht="15" customHeight="1">
      <c r="A53" s="102">
        <v>449</v>
      </c>
      <c r="B53" s="402"/>
      <c r="C53" s="104" t="s">
        <v>451</v>
      </c>
      <c r="D53" s="131">
        <v>0</v>
      </c>
      <c r="E53" s="407">
        <v>0</v>
      </c>
      <c r="F53" s="124">
        <v>0</v>
      </c>
      <c r="G53" s="124">
        <v>0</v>
      </c>
    </row>
    <row r="54" spans="1:7" s="106" customFormat="1" ht="13.5" customHeight="1">
      <c r="A54" s="136" t="s">
        <v>452</v>
      </c>
      <c r="B54" s="137"/>
      <c r="C54" s="137" t="s">
        <v>453</v>
      </c>
      <c r="D54" s="138">
        <v>0</v>
      </c>
      <c r="E54" s="408">
        <v>0</v>
      </c>
      <c r="F54" s="124">
        <v>0</v>
      </c>
      <c r="G54" s="124">
        <v>0</v>
      </c>
    </row>
    <row r="55" spans="1:7" ht="15" customHeight="1">
      <c r="A55" s="409"/>
      <c r="B55" s="134"/>
      <c r="C55" s="122" t="s">
        <v>454</v>
      </c>
      <c r="D55" s="123">
        <f t="shared" ref="D55:G55" si="3">SUM(D44:D53)-SUM(D38:D43)</f>
        <v>222521.25847</v>
      </c>
      <c r="E55" s="123">
        <f t="shared" si="3"/>
        <v>169583.2</v>
      </c>
      <c r="F55" s="123">
        <f t="shared" si="3"/>
        <v>208143.75915000003</v>
      </c>
      <c r="G55" s="123">
        <f t="shared" si="3"/>
        <v>177458.59999999998</v>
      </c>
    </row>
    <row r="56" spans="1:7" ht="14.25" customHeight="1">
      <c r="A56" s="409"/>
      <c r="B56" s="134"/>
      <c r="C56" s="122" t="s">
        <v>455</v>
      </c>
      <c r="D56" s="123">
        <f t="shared" ref="D56:G56" si="4">D55+D37</f>
        <v>121712.67456000228</v>
      </c>
      <c r="E56" s="123">
        <f t="shared" si="4"/>
        <v>26190.900000001129</v>
      </c>
      <c r="F56" s="123">
        <f t="shared" si="4"/>
        <v>229191.93605999995</v>
      </c>
      <c r="G56" s="123">
        <f t="shared" si="4"/>
        <v>1537.5000000003492</v>
      </c>
    </row>
    <row r="57" spans="1:7" s="91" customFormat="1" ht="15.75" customHeight="1">
      <c r="A57" s="410">
        <v>380</v>
      </c>
      <c r="B57" s="141"/>
      <c r="C57" s="142" t="s">
        <v>456</v>
      </c>
      <c r="D57" s="340">
        <v>4.734E-2</v>
      </c>
      <c r="E57" s="266">
        <v>0</v>
      </c>
      <c r="F57" s="266">
        <v>0</v>
      </c>
      <c r="G57" s="266">
        <v>0</v>
      </c>
    </row>
    <row r="58" spans="1:7" s="91" customFormat="1" ht="15.75" customHeight="1">
      <c r="A58" s="410">
        <v>381</v>
      </c>
      <c r="B58" s="141"/>
      <c r="C58" s="142" t="s">
        <v>457</v>
      </c>
      <c r="D58" s="340">
        <v>106.61660999999999</v>
      </c>
      <c r="E58" s="266">
        <v>0</v>
      </c>
      <c r="F58" s="266">
        <v>106.92854</v>
      </c>
      <c r="G58" s="266">
        <v>0</v>
      </c>
    </row>
    <row r="59" spans="1:7" s="106" customFormat="1" ht="27.5" customHeight="1">
      <c r="A59" s="102">
        <v>383</v>
      </c>
      <c r="B59" s="103"/>
      <c r="C59" s="104" t="s">
        <v>458</v>
      </c>
      <c r="D59" s="143">
        <v>0</v>
      </c>
      <c r="E59" s="144">
        <v>0</v>
      </c>
      <c r="F59" s="144">
        <v>0</v>
      </c>
      <c r="G59" s="144">
        <v>0</v>
      </c>
    </row>
    <row r="60" spans="1:7" s="106" customFormat="1" ht="14">
      <c r="A60" s="102">
        <v>3840</v>
      </c>
      <c r="B60" s="103"/>
      <c r="C60" s="104" t="s">
        <v>459</v>
      </c>
      <c r="D60" s="145">
        <v>7.34755</v>
      </c>
      <c r="E60" s="146">
        <v>0</v>
      </c>
      <c r="F60" s="146">
        <v>5.7338000000000005</v>
      </c>
      <c r="G60" s="146">
        <v>0</v>
      </c>
    </row>
    <row r="61" spans="1:7" s="106" customFormat="1" ht="26.5" customHeight="1">
      <c r="A61" s="102">
        <v>3841</v>
      </c>
      <c r="B61" s="103"/>
      <c r="C61" s="104" t="s">
        <v>460</v>
      </c>
      <c r="D61" s="145">
        <v>46.271900000000002</v>
      </c>
      <c r="E61" s="146">
        <v>0</v>
      </c>
      <c r="F61" s="146">
        <v>0</v>
      </c>
      <c r="G61" s="146">
        <v>0</v>
      </c>
    </row>
    <row r="62" spans="1:7" s="106" customFormat="1" ht="14">
      <c r="A62" s="147">
        <v>386</v>
      </c>
      <c r="B62" s="148"/>
      <c r="C62" s="149" t="s">
        <v>461</v>
      </c>
      <c r="D62" s="145"/>
      <c r="E62" s="146">
        <v>0</v>
      </c>
      <c r="F62" s="146">
        <v>0</v>
      </c>
      <c r="G62" s="146">
        <v>0</v>
      </c>
    </row>
    <row r="63" spans="1:7" s="106" customFormat="1" ht="27.5" customHeight="1">
      <c r="A63" s="102">
        <v>387</v>
      </c>
      <c r="B63" s="103"/>
      <c r="C63" s="104" t="s">
        <v>462</v>
      </c>
      <c r="D63" s="145"/>
      <c r="E63" s="146">
        <v>0</v>
      </c>
      <c r="F63" s="146">
        <v>0</v>
      </c>
      <c r="G63" s="146">
        <v>0</v>
      </c>
    </row>
    <row r="64" spans="1:7" s="106" customFormat="1">
      <c r="A64" s="101">
        <v>389</v>
      </c>
      <c r="B64" s="150"/>
      <c r="C64" s="94" t="s">
        <v>119</v>
      </c>
      <c r="D64" s="95">
        <v>120950</v>
      </c>
      <c r="E64" s="124">
        <v>0</v>
      </c>
      <c r="F64" s="124">
        <v>35000</v>
      </c>
      <c r="G64" s="124">
        <v>0</v>
      </c>
    </row>
    <row r="65" spans="1:7" s="195" customFormat="1" ht="14">
      <c r="A65" s="102" t="s">
        <v>227</v>
      </c>
      <c r="B65" s="402"/>
      <c r="C65" s="104" t="s">
        <v>463</v>
      </c>
      <c r="D65" s="131"/>
      <c r="E65" s="194">
        <v>0</v>
      </c>
      <c r="F65" s="194">
        <v>0</v>
      </c>
      <c r="G65" s="194">
        <v>0</v>
      </c>
    </row>
    <row r="66" spans="1:7" s="153" customFormat="1" ht="28">
      <c r="A66" s="102" t="s">
        <v>229</v>
      </c>
      <c r="B66" s="152"/>
      <c r="C66" s="104" t="s">
        <v>464</v>
      </c>
      <c r="D66" s="143"/>
      <c r="E66" s="144">
        <v>0</v>
      </c>
      <c r="F66" s="194">
        <v>0</v>
      </c>
      <c r="G66" s="194">
        <v>0</v>
      </c>
    </row>
    <row r="67" spans="1:7" s="91" customFormat="1">
      <c r="A67" s="102">
        <v>481</v>
      </c>
      <c r="B67" s="93"/>
      <c r="C67" s="94" t="s">
        <v>465</v>
      </c>
      <c r="D67" s="95"/>
      <c r="E67" s="124">
        <v>0</v>
      </c>
      <c r="F67" s="194">
        <v>0</v>
      </c>
      <c r="G67" s="194">
        <v>0</v>
      </c>
    </row>
    <row r="68" spans="1:7" s="91" customFormat="1">
      <c r="A68" s="102">
        <v>482</v>
      </c>
      <c r="B68" s="93"/>
      <c r="C68" s="94" t="s">
        <v>466</v>
      </c>
      <c r="D68" s="95"/>
      <c r="E68" s="124">
        <v>0</v>
      </c>
      <c r="F68" s="194">
        <v>0</v>
      </c>
      <c r="G68" s="194">
        <v>0</v>
      </c>
    </row>
    <row r="69" spans="1:7" s="91" customFormat="1">
      <c r="A69" s="102">
        <v>483</v>
      </c>
      <c r="B69" s="93"/>
      <c r="C69" s="94" t="s">
        <v>467</v>
      </c>
      <c r="D69" s="95">
        <v>14187.925070000001</v>
      </c>
      <c r="E69" s="124">
        <v>0</v>
      </c>
      <c r="F69" s="194">
        <v>2626.1554000000001</v>
      </c>
      <c r="G69" s="194">
        <v>0</v>
      </c>
    </row>
    <row r="70" spans="1:7" s="91" customFormat="1">
      <c r="A70" s="102">
        <v>484</v>
      </c>
      <c r="B70" s="93"/>
      <c r="C70" s="94" t="s">
        <v>468</v>
      </c>
      <c r="D70" s="95">
        <v>57622.561549999999</v>
      </c>
      <c r="E70" s="124">
        <v>0</v>
      </c>
      <c r="F70" s="194">
        <v>57622.650049999997</v>
      </c>
      <c r="G70" s="194">
        <v>0</v>
      </c>
    </row>
    <row r="71" spans="1:7" s="195" customFormat="1" ht="28">
      <c r="A71" s="102">
        <v>485</v>
      </c>
      <c r="B71" s="402"/>
      <c r="C71" s="104" t="s">
        <v>469</v>
      </c>
      <c r="D71" s="131">
        <v>0</v>
      </c>
      <c r="E71" s="194">
        <v>0</v>
      </c>
      <c r="F71" s="194">
        <v>0</v>
      </c>
      <c r="G71" s="194">
        <v>0</v>
      </c>
    </row>
    <row r="72" spans="1:7" s="91" customFormat="1">
      <c r="A72" s="102">
        <v>486</v>
      </c>
      <c r="B72" s="93"/>
      <c r="C72" s="94" t="s">
        <v>470</v>
      </c>
      <c r="D72" s="95">
        <v>4737.5196500000002</v>
      </c>
      <c r="E72" s="124">
        <v>0</v>
      </c>
      <c r="F72" s="194">
        <v>69048.827829999995</v>
      </c>
      <c r="G72" s="194">
        <v>0</v>
      </c>
    </row>
    <row r="73" spans="1:7" s="111" customFormat="1" ht="28">
      <c r="A73" s="102">
        <v>487</v>
      </c>
      <c r="B73" s="405"/>
      <c r="C73" s="104" t="s">
        <v>471</v>
      </c>
      <c r="D73" s="131"/>
      <c r="E73" s="194">
        <v>0</v>
      </c>
      <c r="F73" s="194">
        <v>0</v>
      </c>
      <c r="G73" s="194">
        <v>0</v>
      </c>
    </row>
    <row r="74" spans="1:7" s="106" customFormat="1" ht="15" customHeight="1">
      <c r="A74" s="102">
        <v>489</v>
      </c>
      <c r="B74" s="155"/>
      <c r="C74" s="118" t="s">
        <v>149</v>
      </c>
      <c r="D74" s="131">
        <v>4036.14716</v>
      </c>
      <c r="E74" s="194">
        <v>0</v>
      </c>
      <c r="F74" s="194">
        <v>35976.691079999997</v>
      </c>
      <c r="G74" s="194">
        <v>0</v>
      </c>
    </row>
    <row r="75" spans="1:7" s="106" customFormat="1">
      <c r="A75" s="156" t="s">
        <v>472</v>
      </c>
      <c r="B75" s="155"/>
      <c r="C75" s="137" t="s">
        <v>473</v>
      </c>
      <c r="D75" s="95">
        <v>0</v>
      </c>
      <c r="E75" s="124">
        <v>0</v>
      </c>
      <c r="F75" s="194">
        <v>0</v>
      </c>
      <c r="G75" s="194">
        <v>0</v>
      </c>
    </row>
    <row r="76" spans="1:7">
      <c r="A76" s="404"/>
      <c r="B76" s="121"/>
      <c r="C76" s="122" t="s">
        <v>474</v>
      </c>
      <c r="D76" s="123">
        <f t="shared" ref="D76:G76" si="5">SUM(D65:D74)-SUM(D57:D64)</f>
        <v>-40526.129970000009</v>
      </c>
      <c r="E76" s="123">
        <f t="shared" si="5"/>
        <v>0</v>
      </c>
      <c r="F76" s="123">
        <f t="shared" si="5"/>
        <v>130161.66201999999</v>
      </c>
      <c r="G76" s="123">
        <f t="shared" si="5"/>
        <v>0</v>
      </c>
    </row>
    <row r="77" spans="1:7">
      <c r="A77" s="411"/>
      <c r="B77" s="157"/>
      <c r="C77" s="122" t="s">
        <v>475</v>
      </c>
      <c r="D77" s="123">
        <f t="shared" ref="D77" si="6">D56+D76</f>
        <v>81186.544590002275</v>
      </c>
      <c r="E77" s="489">
        <f>E56+E76</f>
        <v>26190.900000001129</v>
      </c>
      <c r="F77" s="123">
        <f t="shared" ref="F77:G77" si="7">F56+F76</f>
        <v>359353.59807999991</v>
      </c>
      <c r="G77" s="123">
        <f t="shared" si="7"/>
        <v>1537.5000000003492</v>
      </c>
    </row>
    <row r="78" spans="1:7">
      <c r="A78" s="412">
        <v>3</v>
      </c>
      <c r="B78" s="158"/>
      <c r="C78" s="159" t="s">
        <v>242</v>
      </c>
      <c r="D78" s="160">
        <f t="shared" ref="D78:G78" si="8">D20+D21+SUM(D38:D43)+SUM(D57:D64)</f>
        <v>9518007.2869799975</v>
      </c>
      <c r="E78" s="160">
        <f t="shared" si="8"/>
        <v>9240503.5999999996</v>
      </c>
      <c r="F78" s="160">
        <f t="shared" si="8"/>
        <v>9652980.1971499994</v>
      </c>
      <c r="G78" s="160">
        <f t="shared" si="8"/>
        <v>9159143.0999999996</v>
      </c>
    </row>
    <row r="79" spans="1:7">
      <c r="A79" s="412">
        <v>4</v>
      </c>
      <c r="B79" s="158"/>
      <c r="C79" s="159" t="s">
        <v>243</v>
      </c>
      <c r="D79" s="160">
        <f t="shared" ref="D79:G79" si="9">D35+D36+SUM(D44:D53)+SUM(D65:D74)</f>
        <v>9599193.8315700013</v>
      </c>
      <c r="E79" s="160">
        <f t="shared" si="9"/>
        <v>9266694.6000000015</v>
      </c>
      <c r="F79" s="160">
        <f t="shared" si="9"/>
        <v>10012333.795229999</v>
      </c>
      <c r="G79" s="160">
        <f t="shared" si="9"/>
        <v>9160680.5999999996</v>
      </c>
    </row>
    <row r="80" spans="1:7">
      <c r="C80" s="135"/>
      <c r="D80" s="161"/>
      <c r="E80" s="161"/>
      <c r="F80" s="161"/>
      <c r="G80" s="161"/>
    </row>
    <row r="81" spans="1:7">
      <c r="A81" s="680" t="s">
        <v>476</v>
      </c>
      <c r="B81" s="681"/>
      <c r="C81" s="681"/>
      <c r="D81" s="162"/>
      <c r="E81" s="162"/>
      <c r="F81" s="162"/>
      <c r="G81" s="162"/>
    </row>
    <row r="82" spans="1:7" s="91" customFormat="1">
      <c r="A82" s="164">
        <v>50</v>
      </c>
      <c r="B82" s="165"/>
      <c r="C82" s="165" t="s">
        <v>477</v>
      </c>
      <c r="D82" s="95">
        <v>263292.29571000003</v>
      </c>
      <c r="E82" s="124">
        <v>453049</v>
      </c>
      <c r="F82" s="124">
        <v>276774.02</v>
      </c>
      <c r="G82" s="124">
        <v>463118</v>
      </c>
    </row>
    <row r="83" spans="1:7" s="91" customFormat="1">
      <c r="A83" s="164">
        <v>51</v>
      </c>
      <c r="B83" s="165"/>
      <c r="C83" s="165" t="s">
        <v>478</v>
      </c>
      <c r="D83" s="95"/>
      <c r="E83" s="124">
        <v>0</v>
      </c>
      <c r="F83" s="124">
        <v>0</v>
      </c>
      <c r="G83" s="124">
        <v>0</v>
      </c>
    </row>
    <row r="84" spans="1:7" s="91" customFormat="1">
      <c r="A84" s="164">
        <v>52</v>
      </c>
      <c r="B84" s="165"/>
      <c r="C84" s="165" t="s">
        <v>479</v>
      </c>
      <c r="D84" s="95">
        <v>22618.978070000001</v>
      </c>
      <c r="E84" s="124">
        <v>0</v>
      </c>
      <c r="F84" s="124">
        <v>26249.861000000001</v>
      </c>
      <c r="G84" s="124">
        <v>0</v>
      </c>
    </row>
    <row r="85" spans="1:7" s="91" customFormat="1">
      <c r="A85" s="166">
        <v>54</v>
      </c>
      <c r="B85" s="167"/>
      <c r="C85" s="167" t="s">
        <v>480</v>
      </c>
      <c r="D85" s="100">
        <v>17948.349999999999</v>
      </c>
      <c r="E85" s="124">
        <v>0</v>
      </c>
      <c r="F85" s="124">
        <v>24225.858</v>
      </c>
      <c r="G85" s="124">
        <v>0</v>
      </c>
    </row>
    <row r="86" spans="1:7" s="91" customFormat="1">
      <c r="A86" s="166">
        <v>55</v>
      </c>
      <c r="B86" s="167"/>
      <c r="C86" s="167" t="s">
        <v>481</v>
      </c>
      <c r="D86" s="100">
        <v>17000.2</v>
      </c>
      <c r="E86" s="124">
        <v>0</v>
      </c>
      <c r="F86" s="124">
        <v>0</v>
      </c>
      <c r="G86" s="124">
        <v>0</v>
      </c>
    </row>
    <row r="87" spans="1:7" s="91" customFormat="1">
      <c r="A87" s="166">
        <v>56</v>
      </c>
      <c r="B87" s="167"/>
      <c r="C87" s="167" t="s">
        <v>482</v>
      </c>
      <c r="D87" s="100">
        <v>49267.563969999996</v>
      </c>
      <c r="E87" s="124">
        <v>0</v>
      </c>
      <c r="F87" s="124">
        <v>57828.275999999998</v>
      </c>
      <c r="G87" s="124">
        <v>0</v>
      </c>
    </row>
    <row r="88" spans="1:7" s="91" customFormat="1">
      <c r="A88" s="164">
        <v>57</v>
      </c>
      <c r="B88" s="165"/>
      <c r="C88" s="165" t="s">
        <v>483</v>
      </c>
      <c r="D88" s="95">
        <v>6088.3230000000003</v>
      </c>
      <c r="E88" s="124">
        <v>0</v>
      </c>
      <c r="F88" s="124">
        <v>5925.4620000000004</v>
      </c>
      <c r="G88" s="124">
        <v>0</v>
      </c>
    </row>
    <row r="89" spans="1:7" s="195" customFormat="1" ht="28">
      <c r="A89" s="173">
        <v>580</v>
      </c>
      <c r="B89" s="174"/>
      <c r="C89" s="174" t="s">
        <v>484</v>
      </c>
      <c r="D89" s="131"/>
      <c r="E89" s="194">
        <v>0</v>
      </c>
      <c r="F89" s="194">
        <v>0</v>
      </c>
      <c r="G89" s="194">
        <v>0</v>
      </c>
    </row>
    <row r="90" spans="1:7" s="195" customFormat="1" ht="28">
      <c r="A90" s="173">
        <v>582</v>
      </c>
      <c r="B90" s="174"/>
      <c r="C90" s="174" t="s">
        <v>485</v>
      </c>
      <c r="D90" s="131"/>
      <c r="E90" s="194">
        <v>0</v>
      </c>
      <c r="F90" s="194">
        <v>0</v>
      </c>
      <c r="G90" s="194">
        <v>0</v>
      </c>
    </row>
    <row r="91" spans="1:7" s="91" customFormat="1">
      <c r="A91" s="164">
        <v>584</v>
      </c>
      <c r="B91" s="165"/>
      <c r="C91" s="165" t="s">
        <v>486</v>
      </c>
      <c r="D91" s="95"/>
      <c r="E91" s="124">
        <v>0</v>
      </c>
      <c r="F91" s="124">
        <v>0</v>
      </c>
      <c r="G91" s="124">
        <v>0</v>
      </c>
    </row>
    <row r="92" spans="1:7" s="195" customFormat="1" ht="28">
      <c r="A92" s="173">
        <v>585</v>
      </c>
      <c r="B92" s="174"/>
      <c r="C92" s="174" t="s">
        <v>487</v>
      </c>
      <c r="D92" s="131"/>
      <c r="E92" s="194">
        <v>0</v>
      </c>
      <c r="F92" s="194">
        <v>0</v>
      </c>
      <c r="G92" s="194">
        <v>0</v>
      </c>
    </row>
    <row r="93" spans="1:7" s="91" customFormat="1">
      <c r="A93" s="164">
        <v>586</v>
      </c>
      <c r="B93" s="165"/>
      <c r="C93" s="165" t="s">
        <v>488</v>
      </c>
      <c r="D93" s="95"/>
      <c r="E93" s="124">
        <v>0</v>
      </c>
      <c r="F93" s="124">
        <v>0</v>
      </c>
      <c r="G93" s="124">
        <v>0</v>
      </c>
    </row>
    <row r="94" spans="1:7" s="91" customFormat="1">
      <c r="A94" s="168">
        <v>589</v>
      </c>
      <c r="B94" s="169"/>
      <c r="C94" s="169" t="s">
        <v>489</v>
      </c>
      <c r="D94" s="119"/>
      <c r="E94" s="133">
        <v>0</v>
      </c>
      <c r="F94" s="133">
        <v>0</v>
      </c>
      <c r="G94" s="133">
        <v>0</v>
      </c>
    </row>
    <row r="95" spans="1:7">
      <c r="A95" s="170">
        <v>5</v>
      </c>
      <c r="B95" s="171"/>
      <c r="C95" s="171" t="s">
        <v>490</v>
      </c>
      <c r="D95" s="172">
        <f t="shared" ref="D95:G95" si="10">SUM(D82:D94)</f>
        <v>376215.71075000003</v>
      </c>
      <c r="E95" s="172">
        <f t="shared" si="10"/>
        <v>453049</v>
      </c>
      <c r="F95" s="172">
        <f t="shared" si="10"/>
        <v>391003.47700000001</v>
      </c>
      <c r="G95" s="172">
        <f t="shared" si="10"/>
        <v>463118</v>
      </c>
    </row>
    <row r="96" spans="1:7" s="195" customFormat="1" ht="14">
      <c r="A96" s="173">
        <v>60</v>
      </c>
      <c r="B96" s="174"/>
      <c r="C96" s="174" t="s">
        <v>491</v>
      </c>
      <c r="D96" s="131"/>
      <c r="E96" s="194">
        <v>31575</v>
      </c>
      <c r="F96" s="194"/>
      <c r="G96" s="194">
        <v>25188</v>
      </c>
    </row>
    <row r="97" spans="1:7" s="195" customFormat="1" ht="14">
      <c r="A97" s="173">
        <v>61</v>
      </c>
      <c r="B97" s="174"/>
      <c r="C97" s="174" t="s">
        <v>492</v>
      </c>
      <c r="D97" s="131"/>
      <c r="E97" s="194"/>
      <c r="F97" s="194"/>
      <c r="G97" s="194"/>
    </row>
    <row r="98" spans="1:7" s="91" customFormat="1">
      <c r="A98" s="164">
        <v>62</v>
      </c>
      <c r="B98" s="165"/>
      <c r="C98" s="165" t="s">
        <v>493</v>
      </c>
      <c r="D98" s="95"/>
      <c r="E98" s="124"/>
      <c r="F98" s="124"/>
      <c r="G98" s="124"/>
    </row>
    <row r="99" spans="1:7" s="91" customFormat="1">
      <c r="A99" s="164">
        <v>63</v>
      </c>
      <c r="B99" s="165"/>
      <c r="C99" s="165" t="s">
        <v>494</v>
      </c>
      <c r="D99" s="95">
        <v>2123.2622299999998</v>
      </c>
      <c r="E99" s="124"/>
      <c r="F99" s="124">
        <v>18648.32</v>
      </c>
      <c r="G99" s="124"/>
    </row>
    <row r="100" spans="1:7" s="91" customFormat="1">
      <c r="A100" s="164">
        <v>64</v>
      </c>
      <c r="B100" s="165"/>
      <c r="C100" s="165" t="s">
        <v>495</v>
      </c>
      <c r="D100" s="95">
        <v>24276.759550000002</v>
      </c>
      <c r="E100" s="124"/>
      <c r="F100" s="124">
        <v>31981.817999999999</v>
      </c>
      <c r="G100" s="124"/>
    </row>
    <row r="101" spans="1:7" s="91" customFormat="1">
      <c r="A101" s="164">
        <v>65</v>
      </c>
      <c r="B101" s="165"/>
      <c r="C101" s="165" t="s">
        <v>496</v>
      </c>
      <c r="D101" s="95">
        <v>360.5</v>
      </c>
      <c r="E101" s="124"/>
      <c r="F101" s="124">
        <v>0</v>
      </c>
      <c r="G101" s="124"/>
    </row>
    <row r="102" spans="1:7" s="195" customFormat="1" ht="14">
      <c r="A102" s="173">
        <v>66</v>
      </c>
      <c r="B102" s="174"/>
      <c r="C102" s="174" t="s">
        <v>497</v>
      </c>
      <c r="D102" s="131">
        <v>53.323</v>
      </c>
      <c r="E102" s="194"/>
      <c r="F102" s="194">
        <v>172.42</v>
      </c>
      <c r="G102" s="194"/>
    </row>
    <row r="103" spans="1:7" s="91" customFormat="1">
      <c r="A103" s="164">
        <v>67</v>
      </c>
      <c r="B103" s="165"/>
      <c r="C103" s="165" t="s">
        <v>483</v>
      </c>
      <c r="D103" s="95">
        <v>6088.3230000000003</v>
      </c>
      <c r="E103" s="96"/>
      <c r="F103" s="96">
        <v>5925.4620000000004</v>
      </c>
      <c r="G103" s="96"/>
    </row>
    <row r="104" spans="1:7" s="91" customFormat="1" ht="42">
      <c r="A104" s="173" t="s">
        <v>266</v>
      </c>
      <c r="B104" s="165"/>
      <c r="C104" s="174" t="s">
        <v>498</v>
      </c>
      <c r="D104" s="95"/>
      <c r="E104" s="124"/>
      <c r="F104" s="124"/>
      <c r="G104" s="124"/>
    </row>
    <row r="105" spans="1:7" s="91" customFormat="1" ht="56.5" customHeight="1">
      <c r="A105" s="175" t="s">
        <v>499</v>
      </c>
      <c r="B105" s="169"/>
      <c r="C105" s="176" t="s">
        <v>500</v>
      </c>
      <c r="D105" s="119"/>
      <c r="E105" s="133"/>
      <c r="F105" s="133"/>
      <c r="G105" s="133"/>
    </row>
    <row r="106" spans="1:7">
      <c r="A106" s="170">
        <v>6</v>
      </c>
      <c r="B106" s="171"/>
      <c r="C106" s="171" t="s">
        <v>501</v>
      </c>
      <c r="D106" s="172">
        <f t="shared" ref="D106:G106" si="11">SUM(D96:D105)</f>
        <v>32902.167780000003</v>
      </c>
      <c r="E106" s="172">
        <f t="shared" si="11"/>
        <v>31575</v>
      </c>
      <c r="F106" s="172">
        <f t="shared" si="11"/>
        <v>56728.02</v>
      </c>
      <c r="G106" s="172">
        <f t="shared" si="11"/>
        <v>25188</v>
      </c>
    </row>
    <row r="107" spans="1:7">
      <c r="A107" s="413" t="s">
        <v>271</v>
      </c>
      <c r="B107" s="178"/>
      <c r="C107" s="171" t="s">
        <v>2</v>
      </c>
      <c r="D107" s="172">
        <f t="shared" ref="D107:G107" si="12">(D95-D88)-(D106-D103)</f>
        <v>343313.54297000007</v>
      </c>
      <c r="E107" s="172">
        <f t="shared" si="12"/>
        <v>421474</v>
      </c>
      <c r="F107" s="172">
        <f t="shared" si="12"/>
        <v>334275.45699999999</v>
      </c>
      <c r="G107" s="172">
        <f t="shared" si="12"/>
        <v>437930</v>
      </c>
    </row>
    <row r="108" spans="1:7">
      <c r="A108" s="414" t="s">
        <v>272</v>
      </c>
      <c r="B108" s="179"/>
      <c r="C108" s="180" t="s">
        <v>502</v>
      </c>
      <c r="D108" s="172">
        <f t="shared" ref="D108:G108" si="13">D107-D85-D86+D100+D101</f>
        <v>333002.2525200001</v>
      </c>
      <c r="E108" s="172">
        <f t="shared" si="13"/>
        <v>421474</v>
      </c>
      <c r="F108" s="172">
        <f t="shared" si="13"/>
        <v>342031.41700000002</v>
      </c>
      <c r="G108" s="172">
        <f t="shared" si="13"/>
        <v>437930</v>
      </c>
    </row>
    <row r="109" spans="1:7">
      <c r="C109" s="135"/>
      <c r="D109" s="161"/>
      <c r="E109" s="161"/>
      <c r="F109" s="161"/>
      <c r="G109" s="161"/>
    </row>
    <row r="110" spans="1:7">
      <c r="A110" s="415" t="s">
        <v>503</v>
      </c>
      <c r="B110" s="182"/>
      <c r="C110" s="181"/>
      <c r="D110" s="161"/>
      <c r="E110" s="161"/>
      <c r="F110" s="161"/>
      <c r="G110" s="161"/>
    </row>
    <row r="111" spans="1:7" s="91" customFormat="1">
      <c r="A111" s="416">
        <v>10</v>
      </c>
      <c r="B111" s="184"/>
      <c r="C111" s="184" t="s">
        <v>504</v>
      </c>
      <c r="D111" s="185">
        <f t="shared" ref="D111:G111" si="14">D112+D117</f>
        <v>5714263.5274799997</v>
      </c>
      <c r="E111" s="186">
        <f t="shared" si="14"/>
        <v>0</v>
      </c>
      <c r="F111" s="186">
        <f t="shared" si="14"/>
        <v>5411117.8164599994</v>
      </c>
      <c r="G111" s="186">
        <f t="shared" si="14"/>
        <v>0</v>
      </c>
    </row>
    <row r="112" spans="1:7" s="91" customFormat="1">
      <c r="A112" s="187" t="s">
        <v>276</v>
      </c>
      <c r="B112" s="188"/>
      <c r="C112" s="188" t="s">
        <v>505</v>
      </c>
      <c r="D112" s="185">
        <f t="shared" ref="D112:G112" si="15">D113+D114+D115+D116</f>
        <v>5475423.6482799994</v>
      </c>
      <c r="E112" s="186">
        <f t="shared" si="15"/>
        <v>0</v>
      </c>
      <c r="F112" s="186">
        <f t="shared" si="15"/>
        <v>5177993.9457399994</v>
      </c>
      <c r="G112" s="186">
        <f t="shared" si="15"/>
        <v>0</v>
      </c>
    </row>
    <row r="113" spans="1:7" s="91" customFormat="1">
      <c r="A113" s="189" t="s">
        <v>278</v>
      </c>
      <c r="B113" s="190"/>
      <c r="C113" s="190" t="s">
        <v>506</v>
      </c>
      <c r="D113" s="95">
        <v>4514723.7882399997</v>
      </c>
      <c r="E113" s="124"/>
      <c r="F113" s="124">
        <v>4502321.90221</v>
      </c>
      <c r="G113" s="124"/>
    </row>
    <row r="114" spans="1:7" s="153" customFormat="1" ht="15" customHeight="1">
      <c r="A114" s="191">
        <v>102</v>
      </c>
      <c r="B114" s="192"/>
      <c r="C114" s="192" t="s">
        <v>507</v>
      </c>
      <c r="D114" s="143">
        <v>500000</v>
      </c>
      <c r="E114" s="144"/>
      <c r="F114" s="144">
        <v>0</v>
      </c>
      <c r="G114" s="144"/>
    </row>
    <row r="115" spans="1:7" s="91" customFormat="1">
      <c r="A115" s="189">
        <v>104</v>
      </c>
      <c r="B115" s="190"/>
      <c r="C115" s="190" t="s">
        <v>508</v>
      </c>
      <c r="D115" s="95">
        <v>427801.65269000002</v>
      </c>
      <c r="E115" s="124"/>
      <c r="F115" s="124">
        <v>643411.29746999999</v>
      </c>
      <c r="G115" s="124"/>
    </row>
    <row r="116" spans="1:7" s="91" customFormat="1">
      <c r="A116" s="189">
        <v>106</v>
      </c>
      <c r="B116" s="190"/>
      <c r="C116" s="190" t="s">
        <v>509</v>
      </c>
      <c r="D116" s="95">
        <v>32898.207350000004</v>
      </c>
      <c r="E116" s="124"/>
      <c r="F116" s="124">
        <v>32260.746060000001</v>
      </c>
      <c r="G116" s="124"/>
    </row>
    <row r="117" spans="1:7" s="91" customFormat="1">
      <c r="A117" s="187" t="s">
        <v>283</v>
      </c>
      <c r="B117" s="188"/>
      <c r="C117" s="188" t="s">
        <v>510</v>
      </c>
      <c r="D117" s="185">
        <f t="shared" ref="D117:G117" si="16">D118+D119+D120</f>
        <v>238839.87919999997</v>
      </c>
      <c r="E117" s="186">
        <f t="shared" si="16"/>
        <v>0</v>
      </c>
      <c r="F117" s="186">
        <f t="shared" si="16"/>
        <v>233123.87072000001</v>
      </c>
      <c r="G117" s="186">
        <f t="shared" si="16"/>
        <v>0</v>
      </c>
    </row>
    <row r="118" spans="1:7" s="91" customFormat="1">
      <c r="A118" s="189">
        <v>107</v>
      </c>
      <c r="B118" s="190"/>
      <c r="C118" s="190" t="s">
        <v>511</v>
      </c>
      <c r="D118" s="95">
        <v>195769.41134999998</v>
      </c>
      <c r="E118" s="124"/>
      <c r="F118" s="124">
        <v>190694.12022000001</v>
      </c>
      <c r="G118" s="124"/>
    </row>
    <row r="119" spans="1:7" s="91" customFormat="1">
      <c r="A119" s="189">
        <v>108</v>
      </c>
      <c r="B119" s="190"/>
      <c r="C119" s="190" t="s">
        <v>512</v>
      </c>
      <c r="D119" s="95">
        <v>43070.467850000001</v>
      </c>
      <c r="E119" s="124"/>
      <c r="F119" s="124">
        <v>42429.750500000002</v>
      </c>
      <c r="G119" s="124"/>
    </row>
    <row r="120" spans="1:7" s="195" customFormat="1" ht="28">
      <c r="A120" s="191">
        <v>109</v>
      </c>
      <c r="B120" s="193"/>
      <c r="C120" s="193" t="s">
        <v>513</v>
      </c>
      <c r="D120" s="131">
        <v>0</v>
      </c>
      <c r="E120" s="194"/>
      <c r="F120" s="194">
        <v>0</v>
      </c>
      <c r="G120" s="194"/>
    </row>
    <row r="121" spans="1:7" s="91" customFormat="1">
      <c r="A121" s="187">
        <v>14</v>
      </c>
      <c r="B121" s="188"/>
      <c r="C121" s="188" t="s">
        <v>514</v>
      </c>
      <c r="D121" s="185">
        <f t="shared" ref="D121:G121" si="17">SUM(D122:D130)</f>
        <v>2469024.0025500003</v>
      </c>
      <c r="E121" s="185">
        <f t="shared" si="17"/>
        <v>0</v>
      </c>
      <c r="F121" s="185">
        <f t="shared" si="17"/>
        <v>2314305.8139499999</v>
      </c>
      <c r="G121" s="185">
        <f t="shared" si="17"/>
        <v>0</v>
      </c>
    </row>
    <row r="122" spans="1:7" s="91" customFormat="1">
      <c r="A122" s="189" t="s">
        <v>289</v>
      </c>
      <c r="B122" s="190"/>
      <c r="C122" s="190" t="s">
        <v>515</v>
      </c>
      <c r="D122" s="95">
        <v>1335425.5008700001</v>
      </c>
      <c r="E122" s="124"/>
      <c r="F122" s="124">
        <v>1490193.03507</v>
      </c>
      <c r="G122" s="124"/>
    </row>
    <row r="123" spans="1:7" s="91" customFormat="1">
      <c r="A123" s="189">
        <v>144</v>
      </c>
      <c r="B123" s="190"/>
      <c r="C123" s="190" t="s">
        <v>480</v>
      </c>
      <c r="D123" s="95">
        <v>722473.86266999994</v>
      </c>
      <c r="E123" s="124"/>
      <c r="F123" s="124">
        <v>700734.75312999997</v>
      </c>
      <c r="G123" s="124"/>
    </row>
    <row r="124" spans="1:7" s="91" customFormat="1">
      <c r="A124" s="189">
        <v>145</v>
      </c>
      <c r="B124" s="190"/>
      <c r="C124" s="190" t="s">
        <v>516</v>
      </c>
      <c r="D124" s="95">
        <v>9011.9750000000004</v>
      </c>
      <c r="E124" s="196"/>
      <c r="F124" s="124">
        <v>9011.9750000000004</v>
      </c>
      <c r="G124" s="196"/>
    </row>
    <row r="125" spans="1:7" s="91" customFormat="1">
      <c r="A125" s="189">
        <v>146</v>
      </c>
      <c r="B125" s="190"/>
      <c r="C125" s="190" t="s">
        <v>517</v>
      </c>
      <c r="D125" s="95">
        <v>402112.66401000001</v>
      </c>
      <c r="E125" s="196"/>
      <c r="F125" s="124">
        <v>114366.05074999999</v>
      </c>
      <c r="G125" s="196"/>
    </row>
    <row r="126" spans="1:7" s="195" customFormat="1" ht="29.5" customHeight="1">
      <c r="A126" s="191" t="s">
        <v>293</v>
      </c>
      <c r="B126" s="193"/>
      <c r="C126" s="193" t="s">
        <v>518</v>
      </c>
      <c r="D126" s="131">
        <v>0</v>
      </c>
      <c r="E126" s="197"/>
      <c r="F126" s="197">
        <v>0</v>
      </c>
      <c r="G126" s="197"/>
    </row>
    <row r="127" spans="1:7" s="91" customFormat="1">
      <c r="A127" s="189">
        <v>1484</v>
      </c>
      <c r="B127" s="190"/>
      <c r="C127" s="190" t="s">
        <v>519</v>
      </c>
      <c r="D127" s="95">
        <v>0</v>
      </c>
      <c r="E127" s="196"/>
      <c r="F127" s="196">
        <v>0</v>
      </c>
      <c r="G127" s="196"/>
    </row>
    <row r="128" spans="1:7" s="195" customFormat="1" ht="14">
      <c r="A128" s="191">
        <v>1485</v>
      </c>
      <c r="B128" s="193"/>
      <c r="C128" s="193" t="s">
        <v>520</v>
      </c>
      <c r="D128" s="131">
        <v>0</v>
      </c>
      <c r="E128" s="197"/>
      <c r="F128" s="197">
        <v>0</v>
      </c>
      <c r="G128" s="197"/>
    </row>
    <row r="129" spans="1:7" s="195" customFormat="1" ht="28">
      <c r="A129" s="191">
        <v>1486</v>
      </c>
      <c r="B129" s="193"/>
      <c r="C129" s="193" t="s">
        <v>521</v>
      </c>
      <c r="D129" s="131">
        <v>0</v>
      </c>
      <c r="E129" s="197"/>
      <c r="F129" s="197">
        <v>0</v>
      </c>
      <c r="G129" s="197"/>
    </row>
    <row r="130" spans="1:7" s="195" customFormat="1" ht="14">
      <c r="A130" s="417">
        <v>1489</v>
      </c>
      <c r="B130" s="418"/>
      <c r="C130" s="418" t="s">
        <v>522</v>
      </c>
      <c r="D130" s="419">
        <v>0</v>
      </c>
      <c r="E130" s="420"/>
      <c r="F130" s="420">
        <v>0</v>
      </c>
      <c r="G130" s="420"/>
    </row>
    <row r="131" spans="1:7">
      <c r="A131" s="421">
        <v>1</v>
      </c>
      <c r="B131" s="202"/>
      <c r="C131" s="201" t="s">
        <v>523</v>
      </c>
      <c r="D131" s="203">
        <f t="shared" ref="D131:G131" si="18">D111+D121</f>
        <v>8183287.53003</v>
      </c>
      <c r="E131" s="203">
        <f t="shared" si="18"/>
        <v>0</v>
      </c>
      <c r="F131" s="203">
        <f t="shared" si="18"/>
        <v>7725423.6304099988</v>
      </c>
      <c r="G131" s="203">
        <f t="shared" si="18"/>
        <v>0</v>
      </c>
    </row>
    <row r="132" spans="1:7">
      <c r="C132" s="135"/>
      <c r="D132" s="161"/>
      <c r="E132" s="161"/>
      <c r="F132" s="161"/>
      <c r="G132" s="161"/>
    </row>
    <row r="133" spans="1:7" s="91" customFormat="1">
      <c r="A133" s="416">
        <v>20</v>
      </c>
      <c r="B133" s="184"/>
      <c r="C133" s="184" t="s">
        <v>524</v>
      </c>
      <c r="D133" s="204">
        <f t="shared" ref="D133:G133" si="19">D134+D140</f>
        <v>6319057.4961999999</v>
      </c>
      <c r="E133" s="318">
        <f t="shared" si="19"/>
        <v>0</v>
      </c>
      <c r="F133" s="318">
        <f t="shared" si="19"/>
        <v>5525838.552889999</v>
      </c>
      <c r="G133" s="318">
        <f t="shared" si="19"/>
        <v>0</v>
      </c>
    </row>
    <row r="134" spans="1:7" s="91" customFormat="1">
      <c r="A134" s="205" t="s">
        <v>301</v>
      </c>
      <c r="B134" s="188"/>
      <c r="C134" s="188" t="s">
        <v>525</v>
      </c>
      <c r="D134" s="185">
        <f t="shared" ref="D134:G134" si="20">D135+D136+D138+D139</f>
        <v>3855810.7574700001</v>
      </c>
      <c r="E134" s="186">
        <f t="shared" si="20"/>
        <v>0</v>
      </c>
      <c r="F134" s="186">
        <f t="shared" si="20"/>
        <v>3247361.6502099996</v>
      </c>
      <c r="G134" s="186">
        <f t="shared" si="20"/>
        <v>0</v>
      </c>
    </row>
    <row r="135" spans="1:7" s="106" customFormat="1">
      <c r="A135" s="206">
        <v>200</v>
      </c>
      <c r="B135" s="190"/>
      <c r="C135" s="190" t="s">
        <v>526</v>
      </c>
      <c r="D135" s="95">
        <v>1725939.0958699998</v>
      </c>
      <c r="E135" s="124"/>
      <c r="F135" s="124">
        <v>1847019.1278200001</v>
      </c>
      <c r="G135" s="124"/>
    </row>
    <row r="136" spans="1:7" s="106" customFormat="1">
      <c r="A136" s="206">
        <v>201</v>
      </c>
      <c r="B136" s="190"/>
      <c r="C136" s="190" t="s">
        <v>527</v>
      </c>
      <c r="D136" s="95">
        <v>738082.22446000006</v>
      </c>
      <c r="E136" s="124"/>
      <c r="F136" s="124">
        <v>180116.36590999999</v>
      </c>
      <c r="G136" s="124"/>
    </row>
    <row r="137" spans="1:7" s="106" customFormat="1">
      <c r="A137" s="207" t="s">
        <v>528</v>
      </c>
      <c r="B137" s="208"/>
      <c r="C137" s="208" t="s">
        <v>529</v>
      </c>
      <c r="D137" s="100">
        <v>0</v>
      </c>
      <c r="E137" s="209"/>
      <c r="F137" s="209">
        <v>0</v>
      </c>
      <c r="G137" s="209"/>
    </row>
    <row r="138" spans="1:7" s="106" customFormat="1">
      <c r="A138" s="206">
        <v>204</v>
      </c>
      <c r="B138" s="190"/>
      <c r="C138" s="190" t="s">
        <v>530</v>
      </c>
      <c r="D138" s="95">
        <v>1391789.4371400001</v>
      </c>
      <c r="E138" s="196"/>
      <c r="F138" s="124">
        <v>1220226.1564799999</v>
      </c>
      <c r="G138" s="196"/>
    </row>
    <row r="139" spans="1:7" s="106" customFormat="1">
      <c r="A139" s="206">
        <v>205</v>
      </c>
      <c r="B139" s="190"/>
      <c r="C139" s="190" t="s">
        <v>531</v>
      </c>
      <c r="D139" s="95">
        <v>0</v>
      </c>
      <c r="E139" s="196"/>
      <c r="F139" s="196">
        <v>0</v>
      </c>
      <c r="G139" s="196"/>
    </row>
    <row r="140" spans="1:7" s="106" customFormat="1">
      <c r="A140" s="205" t="s">
        <v>309</v>
      </c>
      <c r="B140" s="188"/>
      <c r="C140" s="188" t="s">
        <v>532</v>
      </c>
      <c r="D140" s="185">
        <f t="shared" ref="D140:G140" si="21">D141+D143+D144</f>
        <v>2463246.7387299999</v>
      </c>
      <c r="E140" s="186">
        <f t="shared" si="21"/>
        <v>0</v>
      </c>
      <c r="F140" s="186">
        <f t="shared" si="21"/>
        <v>2278476.9026799998</v>
      </c>
      <c r="G140" s="186">
        <f t="shared" si="21"/>
        <v>0</v>
      </c>
    </row>
    <row r="141" spans="1:7" s="106" customFormat="1">
      <c r="A141" s="206">
        <v>206</v>
      </c>
      <c r="B141" s="190"/>
      <c r="C141" s="190" t="s">
        <v>533</v>
      </c>
      <c r="D141" s="95">
        <v>2312394.4267899999</v>
      </c>
      <c r="E141" s="196"/>
      <c r="F141" s="124">
        <v>2131838.3834699998</v>
      </c>
      <c r="G141" s="196"/>
    </row>
    <row r="142" spans="1:7" s="106" customFormat="1">
      <c r="A142" s="207" t="s">
        <v>534</v>
      </c>
      <c r="B142" s="208"/>
      <c r="C142" s="208" t="s">
        <v>535</v>
      </c>
      <c r="D142" s="100">
        <v>0</v>
      </c>
      <c r="E142" s="209"/>
      <c r="F142" s="124">
        <v>0</v>
      </c>
      <c r="G142" s="209"/>
    </row>
    <row r="143" spans="1:7" s="106" customFormat="1">
      <c r="A143" s="206">
        <v>208</v>
      </c>
      <c r="B143" s="190"/>
      <c r="C143" s="190" t="s">
        <v>536</v>
      </c>
      <c r="D143" s="95">
        <v>8912.3218100000013</v>
      </c>
      <c r="E143" s="196"/>
      <c r="F143" s="124">
        <v>0</v>
      </c>
      <c r="G143" s="196"/>
    </row>
    <row r="144" spans="1:7" s="111" customFormat="1" ht="28">
      <c r="A144" s="191">
        <v>209</v>
      </c>
      <c r="B144" s="193"/>
      <c r="C144" s="193" t="s">
        <v>537</v>
      </c>
      <c r="D144" s="131">
        <v>141939.99012999999</v>
      </c>
      <c r="E144" s="197"/>
      <c r="F144" s="124">
        <v>146638.51921</v>
      </c>
      <c r="G144" s="197"/>
    </row>
    <row r="145" spans="1:7" s="91" customFormat="1">
      <c r="A145" s="205">
        <v>29</v>
      </c>
      <c r="B145" s="188"/>
      <c r="C145" s="188" t="s">
        <v>538</v>
      </c>
      <c r="D145" s="210">
        <v>1864230.0338299999</v>
      </c>
      <c r="E145" s="196"/>
      <c r="F145" s="124">
        <v>2199585.0775199998</v>
      </c>
      <c r="G145" s="196"/>
    </row>
    <row r="146" spans="1:7" s="91" customFormat="1">
      <c r="A146" s="211" t="s">
        <v>539</v>
      </c>
      <c r="B146" s="212"/>
      <c r="C146" s="212" t="s">
        <v>540</v>
      </c>
      <c r="D146" s="138">
        <v>751865.72214999993</v>
      </c>
      <c r="E146" s="139"/>
      <c r="F146" s="124">
        <v>1121505.3441000001</v>
      </c>
      <c r="G146" s="139"/>
    </row>
    <row r="147" spans="1:7">
      <c r="A147" s="421">
        <v>2</v>
      </c>
      <c r="B147" s="202"/>
      <c r="C147" s="201" t="s">
        <v>541</v>
      </c>
      <c r="D147" s="203">
        <f t="shared" ref="D147:G147" si="22">D133+D145</f>
        <v>8183287.53003</v>
      </c>
      <c r="E147" s="203">
        <f t="shared" si="22"/>
        <v>0</v>
      </c>
      <c r="F147" s="203">
        <f t="shared" si="22"/>
        <v>7725423.6304099988</v>
      </c>
      <c r="G147" s="203">
        <f t="shared" si="22"/>
        <v>0</v>
      </c>
    </row>
    <row r="148" spans="1:7" ht="7.5" customHeight="1"/>
    <row r="149" spans="1:7" ht="13.5" customHeight="1">
      <c r="A149" s="422" t="s">
        <v>542</v>
      </c>
      <c r="B149" s="214"/>
      <c r="C149" s="215"/>
      <c r="D149" s="214"/>
      <c r="E149" s="214"/>
      <c r="F149" s="214"/>
      <c r="G149" s="214"/>
    </row>
    <row r="150" spans="1:7">
      <c r="A150" s="217" t="s">
        <v>543</v>
      </c>
      <c r="B150" s="217"/>
      <c r="C150" s="217" t="s">
        <v>137</v>
      </c>
      <c r="D150" s="218">
        <f t="shared" ref="D150:G150" si="23">D77+SUM(D8:D12)-D30-D31+D16-D33+D59+D63-D73+D64-D74-D54+D20-D35</f>
        <v>550626.3657800022</v>
      </c>
      <c r="E150" s="218">
        <f t="shared" si="23"/>
        <v>208089.30000000112</v>
      </c>
      <c r="F150" s="218">
        <f t="shared" si="23"/>
        <v>899152.20579000004</v>
      </c>
      <c r="G150" s="218">
        <f t="shared" si="23"/>
        <v>198337.30000000034</v>
      </c>
    </row>
    <row r="151" spans="1:7">
      <c r="A151" s="220" t="s">
        <v>544</v>
      </c>
      <c r="B151" s="220"/>
      <c r="C151" s="220" t="s">
        <v>545</v>
      </c>
      <c r="D151" s="221">
        <f t="shared" ref="D151:G151" si="24">IF(D177=0,0,D150/D177)</f>
        <v>6.0473424166846E-2</v>
      </c>
      <c r="E151" s="221">
        <f t="shared" si="24"/>
        <v>2.3905136691109104E-2</v>
      </c>
      <c r="F151" s="221">
        <f t="shared" si="24"/>
        <v>9.5503576535433288E-2</v>
      </c>
      <c r="G151" s="221">
        <f t="shared" si="24"/>
        <v>2.3084089088385263E-2</v>
      </c>
    </row>
    <row r="152" spans="1:7" s="296" customFormat="1" ht="28">
      <c r="A152" s="223" t="s">
        <v>546</v>
      </c>
      <c r="B152" s="223"/>
      <c r="C152" s="223" t="s">
        <v>547</v>
      </c>
      <c r="D152" s="241">
        <f t="shared" ref="D152:G152" si="25">IF(D107=0,0,D150/D107)</f>
        <v>1.6038585632729259</v>
      </c>
      <c r="E152" s="241">
        <f t="shared" si="25"/>
        <v>0.49371799921229098</v>
      </c>
      <c r="F152" s="241">
        <f t="shared" si="25"/>
        <v>2.6898540917707878</v>
      </c>
      <c r="G152" s="241">
        <f t="shared" si="25"/>
        <v>0.45289726668645752</v>
      </c>
    </row>
    <row r="153" spans="1:7" s="296" customFormat="1" ht="28">
      <c r="A153" s="227" t="s">
        <v>546</v>
      </c>
      <c r="B153" s="227"/>
      <c r="C153" s="227" t="s">
        <v>548</v>
      </c>
      <c r="D153" s="423">
        <f t="shared" ref="D153:G153" si="26">IF(0=D108,0,D150/D108)</f>
        <v>1.6535214450146447</v>
      </c>
      <c r="E153" s="423">
        <f t="shared" si="26"/>
        <v>0.49371799921229098</v>
      </c>
      <c r="F153" s="423">
        <f t="shared" si="26"/>
        <v>2.6288585232215671</v>
      </c>
      <c r="G153" s="423">
        <f t="shared" si="26"/>
        <v>0.45289726668645752</v>
      </c>
    </row>
    <row r="154" spans="1:7" s="296" customFormat="1" ht="28">
      <c r="A154" s="230" t="s">
        <v>549</v>
      </c>
      <c r="B154" s="230"/>
      <c r="C154" s="230" t="s">
        <v>550</v>
      </c>
      <c r="D154" s="231">
        <f t="shared" ref="D154:G154" si="27">D150-D107</f>
        <v>207312.82281000214</v>
      </c>
      <c r="E154" s="231">
        <f t="shared" si="27"/>
        <v>-213384.69999999888</v>
      </c>
      <c r="F154" s="231">
        <f t="shared" si="27"/>
        <v>564876.7487900001</v>
      </c>
      <c r="G154" s="231">
        <f t="shared" si="27"/>
        <v>-239592.69999999966</v>
      </c>
    </row>
    <row r="155" spans="1:7" ht="27.5" customHeight="1">
      <c r="A155" s="233" t="s">
        <v>551</v>
      </c>
      <c r="B155" s="233"/>
      <c r="C155" s="233" t="s">
        <v>552</v>
      </c>
      <c r="D155" s="234">
        <f t="shared" ref="D155:G155" si="28">D150-D108</f>
        <v>217624.11326000211</v>
      </c>
      <c r="E155" s="234">
        <f t="shared" si="28"/>
        <v>-213384.69999999888</v>
      </c>
      <c r="F155" s="234">
        <f t="shared" si="28"/>
        <v>557120.78879000002</v>
      </c>
      <c r="G155" s="234">
        <f t="shared" si="28"/>
        <v>-239592.69999999966</v>
      </c>
    </row>
    <row r="156" spans="1:7">
      <c r="A156" s="217" t="s">
        <v>553</v>
      </c>
      <c r="B156" s="217"/>
      <c r="C156" s="217" t="s">
        <v>554</v>
      </c>
      <c r="D156" s="235">
        <f t="shared" ref="D156:G156" si="29">D135+D136-D137+D141-D142</f>
        <v>4776415.7471200004</v>
      </c>
      <c r="E156" s="235">
        <f t="shared" si="29"/>
        <v>0</v>
      </c>
      <c r="F156" s="235">
        <f t="shared" si="29"/>
        <v>4158973.8772</v>
      </c>
      <c r="G156" s="235">
        <f t="shared" si="29"/>
        <v>0</v>
      </c>
    </row>
    <row r="157" spans="1:7">
      <c r="A157" s="237" t="s">
        <v>555</v>
      </c>
      <c r="B157" s="237"/>
      <c r="C157" s="237" t="s">
        <v>556</v>
      </c>
      <c r="D157" s="238">
        <f t="shared" ref="D157:G157" si="30">IF(D177=0,0,D156/D177)</f>
        <v>0.52457752375082656</v>
      </c>
      <c r="E157" s="238">
        <f t="shared" si="30"/>
        <v>0</v>
      </c>
      <c r="F157" s="238">
        <f t="shared" si="30"/>
        <v>0.44174598853489838</v>
      </c>
      <c r="G157" s="238">
        <f t="shared" si="30"/>
        <v>0</v>
      </c>
    </row>
    <row r="158" spans="1:7">
      <c r="A158" s="217" t="s">
        <v>557</v>
      </c>
      <c r="B158" s="217"/>
      <c r="C158" s="217" t="s">
        <v>558</v>
      </c>
      <c r="D158" s="235">
        <f t="shared" ref="D158:G158" si="31">D133-D142-D111</f>
        <v>604793.96872000024</v>
      </c>
      <c r="E158" s="235">
        <f t="shared" si="31"/>
        <v>0</v>
      </c>
      <c r="F158" s="235">
        <f t="shared" si="31"/>
        <v>114720.73642999958</v>
      </c>
      <c r="G158" s="235">
        <f t="shared" si="31"/>
        <v>0</v>
      </c>
    </row>
    <row r="159" spans="1:7">
      <c r="A159" s="220" t="s">
        <v>559</v>
      </c>
      <c r="B159" s="220"/>
      <c r="C159" s="220" t="s">
        <v>560</v>
      </c>
      <c r="D159" s="239">
        <f t="shared" ref="D159:G159" si="32">D121-D123-D124-D142-D145</f>
        <v>-126691.86894999957</v>
      </c>
      <c r="E159" s="239">
        <f t="shared" si="32"/>
        <v>0</v>
      </c>
      <c r="F159" s="239">
        <f t="shared" si="32"/>
        <v>-595025.99170000013</v>
      </c>
      <c r="G159" s="239">
        <f t="shared" si="32"/>
        <v>0</v>
      </c>
    </row>
    <row r="160" spans="1:7">
      <c r="A160" s="220" t="s">
        <v>561</v>
      </c>
      <c r="B160" s="220"/>
      <c r="C160" s="220" t="s">
        <v>562</v>
      </c>
      <c r="D160" s="240">
        <f t="shared" ref="D160:G160" si="33">IF(D175=0,"-",1000*D158/D175)</f>
        <v>800.66029810595921</v>
      </c>
      <c r="E160" s="240">
        <f t="shared" si="33"/>
        <v>0</v>
      </c>
      <c r="F160" s="240">
        <f t="shared" si="33"/>
        <v>149.47385648412904</v>
      </c>
      <c r="G160" s="240">
        <f t="shared" si="33"/>
        <v>0</v>
      </c>
    </row>
    <row r="161" spans="1:7">
      <c r="A161" s="220" t="s">
        <v>561</v>
      </c>
      <c r="B161" s="220"/>
      <c r="C161" s="220" t="s">
        <v>563</v>
      </c>
      <c r="D161" s="239">
        <f t="shared" ref="D161:G161" si="34">IF(D175=0,0,1000*(D159/D175))</f>
        <v>-167.72182727911729</v>
      </c>
      <c r="E161" s="239">
        <f t="shared" si="34"/>
        <v>0</v>
      </c>
      <c r="F161" s="239">
        <f t="shared" si="34"/>
        <v>-775.2811954965299</v>
      </c>
      <c r="G161" s="239">
        <f t="shared" si="34"/>
        <v>0</v>
      </c>
    </row>
    <row r="162" spans="1:7">
      <c r="A162" s="237" t="s">
        <v>564</v>
      </c>
      <c r="B162" s="237"/>
      <c r="C162" s="237" t="s">
        <v>565</v>
      </c>
      <c r="D162" s="238">
        <f t="shared" ref="D162:G162" si="35">IF((D22+D23+D65+D66)=0,0,D158/(D22+D23+D65+D66))</f>
        <v>0.10349962206158204</v>
      </c>
      <c r="E162" s="238">
        <f t="shared" si="35"/>
        <v>0</v>
      </c>
      <c r="F162" s="238">
        <f t="shared" si="35"/>
        <v>1.9361205940287597E-2</v>
      </c>
      <c r="G162" s="238">
        <f t="shared" si="35"/>
        <v>0</v>
      </c>
    </row>
    <row r="163" spans="1:7">
      <c r="A163" s="220" t="s">
        <v>566</v>
      </c>
      <c r="B163" s="220"/>
      <c r="C163" s="220" t="s">
        <v>567</v>
      </c>
      <c r="D163" s="218">
        <f t="shared" ref="D163:G163" si="36">D145</f>
        <v>1864230.0338299999</v>
      </c>
      <c r="E163" s="218">
        <f t="shared" si="36"/>
        <v>0</v>
      </c>
      <c r="F163" s="218">
        <f t="shared" si="36"/>
        <v>2199585.0775199998</v>
      </c>
      <c r="G163" s="218">
        <f t="shared" si="36"/>
        <v>0</v>
      </c>
    </row>
    <row r="164" spans="1:7" ht="28">
      <c r="A164" s="223" t="s">
        <v>568</v>
      </c>
      <c r="B164" s="237"/>
      <c r="C164" s="237" t="s">
        <v>569</v>
      </c>
      <c r="D164" s="241">
        <f t="shared" ref="D164:G164" si="37">IF(D178=0,0,D146/D178)</f>
        <v>8.4411371780412151E-2</v>
      </c>
      <c r="E164" s="241">
        <f t="shared" si="37"/>
        <v>0</v>
      </c>
      <c r="F164" s="241">
        <f t="shared" si="37"/>
        <v>0.12383461730243894</v>
      </c>
      <c r="G164" s="241">
        <f t="shared" si="37"/>
        <v>0</v>
      </c>
    </row>
    <row r="165" spans="1:7">
      <c r="A165" s="243" t="s">
        <v>570</v>
      </c>
      <c r="B165" s="243"/>
      <c r="C165" s="243" t="s">
        <v>571</v>
      </c>
      <c r="D165" s="244">
        <f t="shared" ref="D165:G165" si="38">IF(D177=0,0,D180/D177)</f>
        <v>3.3473980063577637E-2</v>
      </c>
      <c r="E165" s="244">
        <f t="shared" si="38"/>
        <v>2.6053665322641046E-2</v>
      </c>
      <c r="F165" s="244">
        <f t="shared" si="38"/>
        <v>5.4415779949747424E-2</v>
      </c>
      <c r="G165" s="244">
        <f t="shared" si="38"/>
        <v>2.6893294970129183E-2</v>
      </c>
    </row>
    <row r="166" spans="1:7">
      <c r="A166" s="220" t="s">
        <v>572</v>
      </c>
      <c r="B166" s="220"/>
      <c r="C166" s="220" t="s">
        <v>573</v>
      </c>
      <c r="D166" s="218">
        <f t="shared" ref="D166:G166" si="39">D55</f>
        <v>222521.25847</v>
      </c>
      <c r="E166" s="218">
        <f t="shared" si="39"/>
        <v>169583.2</v>
      </c>
      <c r="F166" s="218">
        <f t="shared" si="39"/>
        <v>208143.75915000003</v>
      </c>
      <c r="G166" s="218">
        <f t="shared" si="39"/>
        <v>177458.59999999998</v>
      </c>
    </row>
    <row r="167" spans="1:7" s="296" customFormat="1" ht="28">
      <c r="A167" s="223" t="s">
        <v>574</v>
      </c>
      <c r="B167" s="237"/>
      <c r="C167" s="237" t="s">
        <v>575</v>
      </c>
      <c r="D167" s="241">
        <f t="shared" ref="D167:G167" si="40">IF(0=D111,0,(D44+D45+D46+D47+D48)/D111)</f>
        <v>1.9376417002389904E-2</v>
      </c>
      <c r="E167" s="241">
        <f t="shared" si="40"/>
        <v>0</v>
      </c>
      <c r="F167" s="241">
        <f t="shared" si="40"/>
        <v>1.5597840542902164E-2</v>
      </c>
      <c r="G167" s="241">
        <f t="shared" si="40"/>
        <v>0</v>
      </c>
    </row>
    <row r="168" spans="1:7">
      <c r="A168" s="220" t="s">
        <v>576</v>
      </c>
      <c r="B168" s="217"/>
      <c r="C168" s="217" t="s">
        <v>577</v>
      </c>
      <c r="D168" s="218">
        <f t="shared" ref="D168:G168" si="41">D38-D44</f>
        <v>-36656.049950000008</v>
      </c>
      <c r="E168" s="218">
        <f t="shared" si="41"/>
        <v>19201.300000000003</v>
      </c>
      <c r="F168" s="218">
        <f t="shared" si="41"/>
        <v>-19269.528849999999</v>
      </c>
      <c r="G168" s="218">
        <f t="shared" si="41"/>
        <v>10516.2</v>
      </c>
    </row>
    <row r="169" spans="1:7">
      <c r="A169" s="237" t="s">
        <v>578</v>
      </c>
      <c r="B169" s="237"/>
      <c r="C169" s="237" t="s">
        <v>579</v>
      </c>
      <c r="D169" s="221">
        <f t="shared" ref="D169:G169" si="42">IF(D177=0,0,D168/D177)</f>
        <v>-4.0258095047215987E-3</v>
      </c>
      <c r="E169" s="221">
        <f t="shared" si="42"/>
        <v>2.2058303869876578E-3</v>
      </c>
      <c r="F169" s="221">
        <f t="shared" si="42"/>
        <v>-2.0467156855949759E-3</v>
      </c>
      <c r="G169" s="221">
        <f t="shared" si="42"/>
        <v>1.2239598788088611E-3</v>
      </c>
    </row>
    <row r="170" spans="1:7">
      <c r="A170" s="220" t="s">
        <v>580</v>
      </c>
      <c r="B170" s="220"/>
      <c r="C170" s="220" t="s">
        <v>581</v>
      </c>
      <c r="D170" s="218">
        <f t="shared" ref="D170:G170" si="43">SUM(D82:D87)+SUM(D89:D94)</f>
        <v>370127.38775000005</v>
      </c>
      <c r="E170" s="218">
        <f t="shared" si="43"/>
        <v>453049</v>
      </c>
      <c r="F170" s="218">
        <f t="shared" si="43"/>
        <v>385078.01500000001</v>
      </c>
      <c r="G170" s="218">
        <f t="shared" si="43"/>
        <v>463118</v>
      </c>
    </row>
    <row r="171" spans="1:7">
      <c r="A171" s="220" t="s">
        <v>582</v>
      </c>
      <c r="B171" s="220"/>
      <c r="C171" s="220" t="s">
        <v>583</v>
      </c>
      <c r="D171" s="239">
        <f t="shared" ref="D171:G171" si="44">SUM(D96:D102)+SUM(D104:D105)</f>
        <v>26813.844780000003</v>
      </c>
      <c r="E171" s="239">
        <f t="shared" si="44"/>
        <v>31575</v>
      </c>
      <c r="F171" s="239">
        <f t="shared" si="44"/>
        <v>50802.557999999997</v>
      </c>
      <c r="G171" s="239">
        <f t="shared" si="44"/>
        <v>25188</v>
      </c>
    </row>
    <row r="172" spans="1:7">
      <c r="A172" s="243" t="s">
        <v>584</v>
      </c>
      <c r="B172" s="243"/>
      <c r="C172" s="243" t="s">
        <v>585</v>
      </c>
      <c r="D172" s="244">
        <f t="shared" ref="D172:G172" si="45">IF(D184=0,0,D170/D184)</f>
        <v>4.1560964247537156E-2</v>
      </c>
      <c r="E172" s="244">
        <f t="shared" si="45"/>
        <v>5.1666735149048175E-2</v>
      </c>
      <c r="F172" s="244">
        <f t="shared" si="45"/>
        <v>4.3471317881890764E-2</v>
      </c>
      <c r="G172" s="244">
        <f t="shared" si="45"/>
        <v>5.2515281001283581E-2</v>
      </c>
    </row>
    <row r="174" spans="1:7">
      <c r="A174" s="432" t="s">
        <v>586</v>
      </c>
      <c r="C174" s="135"/>
      <c r="D174" s="433"/>
      <c r="E174" s="433"/>
      <c r="F174" s="433"/>
      <c r="G174" s="433"/>
    </row>
    <row r="175" spans="1:7" s="91" customFormat="1">
      <c r="A175" s="389" t="s">
        <v>587</v>
      </c>
      <c r="B175" s="84"/>
      <c r="C175" s="84" t="s">
        <v>588</v>
      </c>
      <c r="D175" s="245">
        <v>755369</v>
      </c>
      <c r="E175" s="245">
        <v>755369</v>
      </c>
      <c r="F175" s="245">
        <v>767497</v>
      </c>
      <c r="G175" s="245">
        <v>767497</v>
      </c>
    </row>
    <row r="176" spans="1:7">
      <c r="A176" s="310" t="s">
        <v>589</v>
      </c>
      <c r="B176" s="248"/>
      <c r="C176" s="248"/>
      <c r="D176" s="248"/>
      <c r="E176" s="248"/>
      <c r="F176" s="248"/>
      <c r="G176" s="248"/>
    </row>
    <row r="177" spans="1:7">
      <c r="A177" s="312" t="s">
        <v>590</v>
      </c>
      <c r="B177" s="248"/>
      <c r="C177" s="248" t="s">
        <v>591</v>
      </c>
      <c r="D177" s="249">
        <f t="shared" ref="D177:G177" si="46">SUM(D22:D32)+SUM(D44:D53)+SUM(D65:D72)+D75</f>
        <v>9105261.9124200027</v>
      </c>
      <c r="E177" s="249">
        <f t="shared" si="46"/>
        <v>8704794.4000000022</v>
      </c>
      <c r="F177" s="249">
        <f t="shared" si="46"/>
        <v>9414853.7511199992</v>
      </c>
      <c r="G177" s="249">
        <f t="shared" si="46"/>
        <v>8591948.3000000007</v>
      </c>
    </row>
    <row r="178" spans="1:7">
      <c r="A178" s="312" t="s">
        <v>592</v>
      </c>
      <c r="B178" s="248"/>
      <c r="C178" s="248" t="s">
        <v>593</v>
      </c>
      <c r="D178" s="249">
        <f t="shared" ref="D178:G178" si="47">D78-D17-D20-D59-D63-D64</f>
        <v>8907161.5149899982</v>
      </c>
      <c r="E178" s="249">
        <f t="shared" si="47"/>
        <v>8678603.5</v>
      </c>
      <c r="F178" s="249">
        <f t="shared" si="47"/>
        <v>9056476.8441199996</v>
      </c>
      <c r="G178" s="249">
        <f t="shared" si="47"/>
        <v>8590410.8000000007</v>
      </c>
    </row>
    <row r="179" spans="1:7">
      <c r="A179" s="312"/>
      <c r="B179" s="248"/>
      <c r="C179" s="248" t="s">
        <v>594</v>
      </c>
      <c r="D179" s="249">
        <f t="shared" ref="D179:G179" si="48">D178+D170</f>
        <v>9277288.902739998</v>
      </c>
      <c r="E179" s="249">
        <f t="shared" si="48"/>
        <v>9131652.5</v>
      </c>
      <c r="F179" s="249">
        <f t="shared" si="48"/>
        <v>9441554.8591200002</v>
      </c>
      <c r="G179" s="249">
        <f t="shared" si="48"/>
        <v>9053528.8000000007</v>
      </c>
    </row>
    <row r="180" spans="1:7">
      <c r="A180" s="248" t="s">
        <v>595</v>
      </c>
      <c r="B180" s="248"/>
      <c r="C180" s="248" t="s">
        <v>596</v>
      </c>
      <c r="D180" s="249">
        <f t="shared" ref="D180:G180" si="49">D38-D44+D8+D9+D10+D16-D33</f>
        <v>304789.35572999995</v>
      </c>
      <c r="E180" s="249">
        <f t="shared" si="49"/>
        <v>226791.80000000002</v>
      </c>
      <c r="F180" s="249">
        <f t="shared" si="49"/>
        <v>512316.60998000001</v>
      </c>
      <c r="G180" s="249">
        <f t="shared" si="49"/>
        <v>231065.80000000002</v>
      </c>
    </row>
    <row r="181" spans="1:7" ht="27.5" customHeight="1">
      <c r="A181" s="315" t="s">
        <v>597</v>
      </c>
      <c r="B181" s="251"/>
      <c r="C181" s="251" t="s">
        <v>598</v>
      </c>
      <c r="D181" s="252">
        <f t="shared" ref="D181:G181" si="50">D22+D23+D24+D25+D26+D29+SUM(D44:D47)+SUM(D49:D53)-D54+D32-D33+SUM(D65:D70)+D72</f>
        <v>9101236.5212999992</v>
      </c>
      <c r="E181" s="252">
        <f t="shared" si="50"/>
        <v>8623733.9000000004</v>
      </c>
      <c r="F181" s="252">
        <f t="shared" si="50"/>
        <v>9385185.7052999996</v>
      </c>
      <c r="G181" s="252">
        <f t="shared" si="50"/>
        <v>8553947.6999999993</v>
      </c>
    </row>
    <row r="182" spans="1:7">
      <c r="A182" s="317" t="s">
        <v>599</v>
      </c>
      <c r="B182" s="251"/>
      <c r="C182" s="251" t="s">
        <v>600</v>
      </c>
      <c r="D182" s="252">
        <f t="shared" ref="D182:G182" si="51">D181+D171</f>
        <v>9128050.3660799991</v>
      </c>
      <c r="E182" s="252">
        <f t="shared" si="51"/>
        <v>8655308.9000000004</v>
      </c>
      <c r="F182" s="252">
        <f t="shared" si="51"/>
        <v>9435988.2632999998</v>
      </c>
      <c r="G182" s="252">
        <f t="shared" si="51"/>
        <v>8579135.6999999993</v>
      </c>
    </row>
    <row r="183" spans="1:7">
      <c r="A183" s="317" t="s">
        <v>601</v>
      </c>
      <c r="B183" s="251"/>
      <c r="C183" s="251" t="s">
        <v>602</v>
      </c>
      <c r="D183" s="252">
        <f t="shared" ref="D183" si="52">D4+D5-D7+D38+D39+D40+D41+D43+D13-D16+D57+D58+D60+D62</f>
        <v>8535522.2873999998</v>
      </c>
      <c r="E183" s="252">
        <f>E4+E5-E7+E38+E39+E40+E41+E43+E13-E16+E57+E58+E60+E62</f>
        <v>8315629.7000000002</v>
      </c>
      <c r="F183" s="252">
        <f>F4+F5-F7+F38+F39+F40+F41+F43+F13-F16+F57+F58+F60+F62</f>
        <v>8473130.8860100005</v>
      </c>
      <c r="G183" s="252">
        <f>G4+G5-G7+G38+G39+G40+G41+G43+G13-G16+G57+G58+G60+G62</f>
        <v>8355610.4000000004</v>
      </c>
    </row>
    <row r="184" spans="1:7">
      <c r="A184" s="317" t="s">
        <v>603</v>
      </c>
      <c r="B184" s="251"/>
      <c r="C184" s="251" t="s">
        <v>604</v>
      </c>
      <c r="D184" s="252">
        <f t="shared" ref="D184:G184" si="53">D183+D170</f>
        <v>8905649.6751499996</v>
      </c>
      <c r="E184" s="252">
        <f t="shared" si="53"/>
        <v>8768678.6999999993</v>
      </c>
      <c r="F184" s="252">
        <f t="shared" si="53"/>
        <v>8858208.9010100011</v>
      </c>
      <c r="G184" s="252">
        <f t="shared" si="53"/>
        <v>8818728.4000000004</v>
      </c>
    </row>
    <row r="185" spans="1:7">
      <c r="A185" s="317"/>
      <c r="B185" s="251"/>
      <c r="C185" s="251" t="s">
        <v>605</v>
      </c>
      <c r="D185" s="252">
        <f t="shared" ref="D185:G186" si="54">D181-D183</f>
        <v>565714.23389999941</v>
      </c>
      <c r="E185" s="252">
        <f t="shared" si="54"/>
        <v>308104.20000000019</v>
      </c>
      <c r="F185" s="252">
        <f t="shared" si="54"/>
        <v>912054.81928999908</v>
      </c>
      <c r="G185" s="252">
        <f t="shared" si="54"/>
        <v>198337.29999999888</v>
      </c>
    </row>
    <row r="186" spans="1:7">
      <c r="A186" s="317"/>
      <c r="B186" s="251"/>
      <c r="C186" s="251" t="s">
        <v>606</v>
      </c>
      <c r="D186" s="252">
        <f t="shared" si="54"/>
        <v>222400.69092999958</v>
      </c>
      <c r="E186" s="252">
        <f t="shared" si="54"/>
        <v>-113369.79999999888</v>
      </c>
      <c r="F186" s="252">
        <f t="shared" si="54"/>
        <v>577779.36228999868</v>
      </c>
      <c r="G186" s="252">
        <f t="shared" si="54"/>
        <v>-239592.70000000112</v>
      </c>
    </row>
  </sheetData>
  <sheetProtection selectLockedCells="1" sort="0" autoFilter="0" pivotTables="0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2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12" man="1"/>
    <brk id="148" max="12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43"/>
  <sheetViews>
    <sheetView view="pageLayout" zoomScaleNormal="100" workbookViewId="0">
      <selection activeCell="E28" sqref="E28"/>
    </sheetView>
  </sheetViews>
  <sheetFormatPr baseColWidth="10" defaultRowHeight="13"/>
  <cols>
    <col min="1" max="1" width="10.5" customWidth="1"/>
    <col min="2" max="2" width="46.5" bestFit="1" customWidth="1"/>
    <col min="3" max="3" width="12.33203125" bestFit="1" customWidth="1"/>
    <col min="4" max="4" width="11.5" bestFit="1" customWidth="1"/>
    <col min="5" max="5" width="12.33203125" bestFit="1" customWidth="1"/>
    <col min="6" max="6" width="11.5" bestFit="1" customWidth="1"/>
    <col min="7" max="7" width="12.33203125" bestFit="1" customWidth="1"/>
    <col min="8" max="8" width="11.5" style="49" bestFit="1" customWidth="1"/>
    <col min="9" max="9" width="12.33203125" bestFit="1" customWidth="1"/>
  </cols>
  <sheetData>
    <row r="1" spans="1:9">
      <c r="A1" s="3" t="s">
        <v>5</v>
      </c>
      <c r="B1" s="4" t="s">
        <v>150</v>
      </c>
      <c r="C1" s="43" t="s">
        <v>96</v>
      </c>
      <c r="D1" s="5" t="s">
        <v>8</v>
      </c>
      <c r="E1" s="43" t="s">
        <v>9</v>
      </c>
      <c r="F1" s="5" t="s">
        <v>8</v>
      </c>
      <c r="G1" s="43" t="s">
        <v>7</v>
      </c>
      <c r="H1" s="5" t="s">
        <v>8</v>
      </c>
      <c r="I1" s="44" t="s">
        <v>9</v>
      </c>
    </row>
    <row r="2" spans="1:9">
      <c r="A2" s="52">
        <v>0</v>
      </c>
      <c r="B2" s="55">
        <v>0</v>
      </c>
      <c r="C2" s="47">
        <v>2014</v>
      </c>
      <c r="D2" s="2" t="s">
        <v>10</v>
      </c>
      <c r="E2" s="47">
        <v>2015</v>
      </c>
      <c r="F2" s="2" t="s">
        <v>10</v>
      </c>
      <c r="G2" s="47">
        <v>2015</v>
      </c>
      <c r="H2" s="2" t="s">
        <v>10</v>
      </c>
      <c r="I2" s="48">
        <v>2016</v>
      </c>
    </row>
    <row r="3" spans="1:9">
      <c r="A3" s="52">
        <v>0</v>
      </c>
      <c r="B3" s="1" t="s">
        <v>97</v>
      </c>
      <c r="C3" s="54" t="s">
        <v>0</v>
      </c>
      <c r="D3" s="53">
        <v>0</v>
      </c>
      <c r="E3" s="54" t="s">
        <v>0</v>
      </c>
      <c r="F3" s="55">
        <v>0</v>
      </c>
      <c r="G3" s="54">
        <v>0</v>
      </c>
      <c r="H3" s="53">
        <v>0</v>
      </c>
      <c r="I3" s="50">
        <v>0</v>
      </c>
    </row>
    <row r="4" spans="1:9">
      <c r="A4" s="3" t="s">
        <v>13</v>
      </c>
      <c r="B4" s="7" t="s">
        <v>98</v>
      </c>
      <c r="C4" s="8">
        <v>983807.3</v>
      </c>
      <c r="D4" s="9">
        <v>-4.6892821388904105E-2</v>
      </c>
      <c r="E4" s="8">
        <v>937673.8</v>
      </c>
      <c r="F4" s="9">
        <v>-3.0235461415260754E-3</v>
      </c>
      <c r="G4" s="8">
        <v>934838.7</v>
      </c>
      <c r="H4" s="66">
        <v>1.3267315527266947E-2</v>
      </c>
      <c r="I4" s="10">
        <v>947241.5</v>
      </c>
    </row>
    <row r="5" spans="1:9">
      <c r="A5" s="11" t="s">
        <v>15</v>
      </c>
      <c r="B5" s="1" t="s">
        <v>99</v>
      </c>
      <c r="C5" s="12">
        <v>219345.9</v>
      </c>
      <c r="D5" s="13">
        <v>1.3891757265579188E-2</v>
      </c>
      <c r="E5" s="12">
        <v>222393</v>
      </c>
      <c r="F5" s="13">
        <v>-1.537818186723503E-2</v>
      </c>
      <c r="G5" s="12">
        <v>218973</v>
      </c>
      <c r="H5" s="37">
        <v>-6.6770789092719463E-3</v>
      </c>
      <c r="I5" s="14">
        <v>217510.9</v>
      </c>
    </row>
    <row r="6" spans="1:9">
      <c r="A6" s="11" t="s">
        <v>100</v>
      </c>
      <c r="B6" s="1" t="s">
        <v>101</v>
      </c>
      <c r="C6" s="12">
        <v>49663</v>
      </c>
      <c r="D6" s="13">
        <v>2.5934800555746313E-3</v>
      </c>
      <c r="E6" s="12">
        <v>49791.8</v>
      </c>
      <c r="F6" s="13">
        <v>5.3810065111122622E-2</v>
      </c>
      <c r="G6" s="12">
        <v>52471.1</v>
      </c>
      <c r="H6" s="37">
        <v>-0.14554678670734938</v>
      </c>
      <c r="I6" s="14">
        <v>44834.1</v>
      </c>
    </row>
    <row r="7" spans="1:9">
      <c r="A7" s="11" t="s">
        <v>19</v>
      </c>
      <c r="B7" s="1" t="s">
        <v>102</v>
      </c>
      <c r="C7" s="12">
        <v>36081.5</v>
      </c>
      <c r="D7" s="13">
        <v>-0.18222634868284301</v>
      </c>
      <c r="E7" s="12">
        <v>29506.5</v>
      </c>
      <c r="F7" s="13">
        <v>1.6796299120532713E-2</v>
      </c>
      <c r="G7" s="12">
        <v>30002.1</v>
      </c>
      <c r="H7" s="37">
        <v>1.4318997670163163E-2</v>
      </c>
      <c r="I7" s="14">
        <v>30431.7</v>
      </c>
    </row>
    <row r="8" spans="1:9">
      <c r="A8" s="11" t="s">
        <v>21</v>
      </c>
      <c r="B8" s="1" t="s">
        <v>103</v>
      </c>
      <c r="C8" s="12">
        <v>26553.3</v>
      </c>
      <c r="D8" s="13">
        <v>0.18318250462277766</v>
      </c>
      <c r="E8" s="12">
        <v>31417.4</v>
      </c>
      <c r="F8" s="13">
        <v>-1.6933291742792209E-2</v>
      </c>
      <c r="G8" s="12">
        <v>30885.4</v>
      </c>
      <c r="H8" s="37">
        <v>-0.12834866959793306</v>
      </c>
      <c r="I8" s="14">
        <v>26921.3</v>
      </c>
    </row>
    <row r="9" spans="1:9">
      <c r="A9" s="11" t="s">
        <v>23</v>
      </c>
      <c r="B9" s="1" t="s">
        <v>104</v>
      </c>
      <c r="C9" s="12">
        <v>174650.3</v>
      </c>
      <c r="D9" s="13">
        <v>0.21815422017597458</v>
      </c>
      <c r="E9" s="12">
        <v>212751</v>
      </c>
      <c r="F9" s="13">
        <v>-0.14094927873429505</v>
      </c>
      <c r="G9" s="12">
        <v>182763.9</v>
      </c>
      <c r="H9" s="37">
        <v>0.27328482265917947</v>
      </c>
      <c r="I9" s="14">
        <v>232710.5</v>
      </c>
    </row>
    <row r="10" spans="1:9">
      <c r="A10" s="11" t="s">
        <v>25</v>
      </c>
      <c r="B10" s="1" t="s">
        <v>105</v>
      </c>
      <c r="C10" s="12">
        <v>1597335.7</v>
      </c>
      <c r="D10" s="13">
        <v>-1.8844567237807364E-2</v>
      </c>
      <c r="E10" s="12">
        <v>1567234.5999999999</v>
      </c>
      <c r="F10" s="13">
        <v>3.6975829910850799E-2</v>
      </c>
      <c r="G10" s="12">
        <v>1625184.4000000001</v>
      </c>
      <c r="H10" s="37">
        <v>6.2202787572904709E-3</v>
      </c>
      <c r="I10" s="14">
        <v>1635293.5</v>
      </c>
    </row>
    <row r="11" spans="1:9">
      <c r="A11" s="11" t="s">
        <v>106</v>
      </c>
      <c r="B11" s="1" t="s">
        <v>107</v>
      </c>
      <c r="C11" s="12">
        <v>47969</v>
      </c>
      <c r="D11" s="37">
        <v>-0.80841793658404382</v>
      </c>
      <c r="E11" s="12">
        <v>9190</v>
      </c>
      <c r="F11" s="13">
        <v>2.070881392818281</v>
      </c>
      <c r="G11" s="12">
        <v>28221.4</v>
      </c>
      <c r="H11" s="37">
        <v>-0.10246479621847253</v>
      </c>
      <c r="I11" s="14">
        <v>25329.7</v>
      </c>
    </row>
    <row r="12" spans="1:9">
      <c r="A12" s="11" t="s">
        <v>108</v>
      </c>
      <c r="B12" s="1" t="s">
        <v>109</v>
      </c>
      <c r="C12" s="12">
        <v>481592.5</v>
      </c>
      <c r="D12" s="37">
        <v>0.12789692530510743</v>
      </c>
      <c r="E12" s="12">
        <v>543186.69999999995</v>
      </c>
      <c r="F12" s="13">
        <v>-1.7677715599442936E-2</v>
      </c>
      <c r="G12" s="12">
        <v>533584.4</v>
      </c>
      <c r="H12" s="37">
        <v>3.5949889089710883E-2</v>
      </c>
      <c r="I12" s="14">
        <v>552766.69999999995</v>
      </c>
    </row>
    <row r="13" spans="1:9">
      <c r="A13" s="11" t="s">
        <v>110</v>
      </c>
      <c r="B13" s="1" t="s">
        <v>111</v>
      </c>
      <c r="C13" s="12">
        <v>262148.8</v>
      </c>
      <c r="D13" s="37">
        <v>1.260429191360026E-2</v>
      </c>
      <c r="E13" s="12">
        <v>265453</v>
      </c>
      <c r="F13" s="37">
        <v>-3.2614059739388891E-2</v>
      </c>
      <c r="G13" s="12">
        <v>256795.5</v>
      </c>
      <c r="H13" s="37">
        <v>5.7874845937720874E-2</v>
      </c>
      <c r="I13" s="14">
        <v>271657.5</v>
      </c>
    </row>
    <row r="14" spans="1:9">
      <c r="A14" s="11" t="s">
        <v>112</v>
      </c>
      <c r="B14" s="1" t="s">
        <v>113</v>
      </c>
      <c r="C14" s="12">
        <v>958.5</v>
      </c>
      <c r="D14" s="37">
        <v>0.1476264997391758</v>
      </c>
      <c r="E14" s="12">
        <v>1100</v>
      </c>
      <c r="F14" s="13">
        <v>-6.545454545454546E-2</v>
      </c>
      <c r="G14" s="12">
        <v>1028</v>
      </c>
      <c r="H14" s="37">
        <v>7.0038910505836577E-2</v>
      </c>
      <c r="I14" s="14">
        <v>1100</v>
      </c>
    </row>
    <row r="15" spans="1:9">
      <c r="A15" s="11" t="s">
        <v>114</v>
      </c>
      <c r="B15" s="1" t="s">
        <v>115</v>
      </c>
      <c r="C15" s="12">
        <v>6281.2</v>
      </c>
      <c r="D15" s="37">
        <v>-0.13312742788002291</v>
      </c>
      <c r="E15" s="12">
        <v>5445</v>
      </c>
      <c r="F15" s="13">
        <v>0.25667584940312221</v>
      </c>
      <c r="G15" s="12">
        <v>6842.6</v>
      </c>
      <c r="H15" s="37">
        <v>-0.14506181860696232</v>
      </c>
      <c r="I15" s="14">
        <v>5850</v>
      </c>
    </row>
    <row r="16" spans="1:9">
      <c r="A16" s="11" t="s">
        <v>116</v>
      </c>
      <c r="B16" s="1" t="s">
        <v>117</v>
      </c>
      <c r="C16" s="12">
        <v>6226.4</v>
      </c>
      <c r="D16" s="37">
        <v>-5.7240138763972707E-2</v>
      </c>
      <c r="E16" s="12">
        <v>5870</v>
      </c>
      <c r="F16" s="37">
        <v>0.10681431005110732</v>
      </c>
      <c r="G16" s="12">
        <v>6497</v>
      </c>
      <c r="H16" s="37">
        <v>-2.8782515006926274E-2</v>
      </c>
      <c r="I16" s="14">
        <v>6310</v>
      </c>
    </row>
    <row r="17" spans="1:9">
      <c r="A17" s="11" t="s">
        <v>40</v>
      </c>
      <c r="B17" s="1" t="s">
        <v>118</v>
      </c>
      <c r="C17" s="12">
        <v>42426.7</v>
      </c>
      <c r="D17" s="13">
        <v>1.3667902523646669</v>
      </c>
      <c r="E17" s="12">
        <v>100415.1</v>
      </c>
      <c r="F17" s="13">
        <v>-0.24317358644267648</v>
      </c>
      <c r="G17" s="12">
        <v>75996.800000000003</v>
      </c>
      <c r="H17" s="37">
        <v>-0.80650369489241658</v>
      </c>
      <c r="I17" s="14">
        <v>14705.1</v>
      </c>
    </row>
    <row r="18" spans="1:9">
      <c r="A18" s="11">
        <v>389</v>
      </c>
      <c r="B18" s="1" t="s">
        <v>119</v>
      </c>
      <c r="C18" s="12">
        <v>0</v>
      </c>
      <c r="D18" s="37" t="s">
        <v>33</v>
      </c>
      <c r="E18" s="12">
        <v>0</v>
      </c>
      <c r="F18" s="37" t="s">
        <v>33</v>
      </c>
      <c r="G18" s="12">
        <v>0</v>
      </c>
      <c r="H18" s="37" t="s">
        <v>33</v>
      </c>
      <c r="I18" s="14">
        <v>0</v>
      </c>
    </row>
    <row r="19" spans="1:9">
      <c r="A19" s="15" t="s">
        <v>43</v>
      </c>
      <c r="B19" s="16" t="s">
        <v>120</v>
      </c>
      <c r="C19" s="17">
        <v>145217.1</v>
      </c>
      <c r="D19" s="37">
        <v>-0.24770016754225227</v>
      </c>
      <c r="E19" s="17">
        <v>109246.8</v>
      </c>
      <c r="F19" s="37">
        <v>4.0868016271414787E-2</v>
      </c>
      <c r="G19" s="17">
        <v>113711.5</v>
      </c>
      <c r="H19" s="37">
        <v>-0.11209420331276955</v>
      </c>
      <c r="I19" s="18">
        <v>100965.1</v>
      </c>
    </row>
    <row r="20" spans="1:9">
      <c r="A20" s="19" t="s">
        <v>45</v>
      </c>
      <c r="B20" s="20" t="s">
        <v>121</v>
      </c>
      <c r="C20" s="21">
        <v>3225417.8</v>
      </c>
      <c r="D20" s="22">
        <v>-4.5822280760029381E-3</v>
      </c>
      <c r="E20" s="21">
        <v>3210638.2</v>
      </c>
      <c r="F20" s="22">
        <v>5.3497152061531797E-4</v>
      </c>
      <c r="G20" s="21">
        <v>3212355.8</v>
      </c>
      <c r="H20" s="67">
        <v>-2.0471580389693198E-3</v>
      </c>
      <c r="I20" s="23">
        <v>3205779.6</v>
      </c>
    </row>
    <row r="21" spans="1:9">
      <c r="A21" s="24" t="s">
        <v>47</v>
      </c>
      <c r="B21" s="25" t="s">
        <v>122</v>
      </c>
      <c r="C21" s="8">
        <v>1039258</v>
      </c>
      <c r="D21" s="13">
        <v>7.9912783928533628E-4</v>
      </c>
      <c r="E21" s="8">
        <v>1040088.5</v>
      </c>
      <c r="F21" s="13">
        <v>3.0298190971249125E-2</v>
      </c>
      <c r="G21" s="8">
        <v>1071601.3</v>
      </c>
      <c r="H21" s="37">
        <v>-2.8743806115203503E-2</v>
      </c>
      <c r="I21" s="10">
        <v>1040799.4</v>
      </c>
    </row>
    <row r="22" spans="1:9">
      <c r="A22" s="6" t="s">
        <v>49</v>
      </c>
      <c r="B22" s="26" t="s">
        <v>123</v>
      </c>
      <c r="C22" s="12">
        <v>156084.20000000001</v>
      </c>
      <c r="D22" s="13">
        <v>0.12983889464788867</v>
      </c>
      <c r="E22" s="12">
        <v>176350</v>
      </c>
      <c r="F22" s="13">
        <v>9.1549191947831079E-2</v>
      </c>
      <c r="G22" s="12">
        <v>192494.7</v>
      </c>
      <c r="H22" s="37">
        <v>-9.8299849294552058E-2</v>
      </c>
      <c r="I22" s="14">
        <v>173572.5</v>
      </c>
    </row>
    <row r="23" spans="1:9">
      <c r="A23" s="6" t="s">
        <v>51</v>
      </c>
      <c r="B23" s="26" t="s">
        <v>124</v>
      </c>
      <c r="C23" s="12">
        <v>60371.1</v>
      </c>
      <c r="D23" s="13">
        <v>0.51664620985869081</v>
      </c>
      <c r="E23" s="12">
        <v>91561.600000000006</v>
      </c>
      <c r="F23" s="13">
        <v>4.7059029112640975E-2</v>
      </c>
      <c r="G23" s="12">
        <v>95870.399999999994</v>
      </c>
      <c r="H23" s="37">
        <v>-0.33501268378978283</v>
      </c>
      <c r="I23" s="14">
        <v>63752.6</v>
      </c>
    </row>
    <row r="24" spans="1:9">
      <c r="A24" s="6" t="s">
        <v>53</v>
      </c>
      <c r="B24" s="26" t="s">
        <v>125</v>
      </c>
      <c r="C24" s="12">
        <v>250635.40000000002</v>
      </c>
      <c r="D24" s="13">
        <v>-1.7758864071078342E-3</v>
      </c>
      <c r="E24" s="12">
        <v>250190.3</v>
      </c>
      <c r="F24" s="13">
        <v>0.17368419159335929</v>
      </c>
      <c r="G24" s="12">
        <v>293644.40000000002</v>
      </c>
      <c r="H24" s="37">
        <v>-0.17015512640459016</v>
      </c>
      <c r="I24" s="14">
        <v>243679.3</v>
      </c>
    </row>
    <row r="25" spans="1:9">
      <c r="A25" s="6" t="s">
        <v>55</v>
      </c>
      <c r="B25" s="26" t="s">
        <v>105</v>
      </c>
      <c r="C25" s="12">
        <v>1426811.4000000001</v>
      </c>
      <c r="D25" s="13">
        <v>7.9791905223071617E-3</v>
      </c>
      <c r="E25" s="12">
        <v>1438196.2</v>
      </c>
      <c r="F25" s="13">
        <v>2.7498542966529912E-2</v>
      </c>
      <c r="G25" s="12">
        <v>1477744.5</v>
      </c>
      <c r="H25" s="37">
        <v>1.1856718126848171E-2</v>
      </c>
      <c r="I25" s="14">
        <v>1495265.7000000002</v>
      </c>
    </row>
    <row r="26" spans="1:9">
      <c r="A26" s="45" t="s">
        <v>57</v>
      </c>
      <c r="B26" s="26" t="s">
        <v>126</v>
      </c>
      <c r="C26" s="12">
        <v>63118.1</v>
      </c>
      <c r="D26" s="13">
        <v>0.75581014003906954</v>
      </c>
      <c r="E26" s="12">
        <v>110823.4</v>
      </c>
      <c r="F26" s="13">
        <v>-0.43161642757756935</v>
      </c>
      <c r="G26" s="12">
        <v>62990.2</v>
      </c>
      <c r="H26" s="37">
        <v>0.39299446580579206</v>
      </c>
      <c r="I26" s="14">
        <v>87745</v>
      </c>
    </row>
    <row r="27" spans="1:9">
      <c r="A27" s="63">
        <v>489</v>
      </c>
      <c r="B27" s="26" t="s">
        <v>149</v>
      </c>
      <c r="C27" s="12">
        <v>0</v>
      </c>
      <c r="D27" s="13" t="s">
        <v>33</v>
      </c>
      <c r="E27" s="12">
        <v>0</v>
      </c>
      <c r="F27" s="13" t="s">
        <v>33</v>
      </c>
      <c r="G27" s="12">
        <v>0</v>
      </c>
      <c r="H27" s="37" t="s">
        <v>33</v>
      </c>
      <c r="I27" s="14">
        <v>0</v>
      </c>
    </row>
    <row r="28" spans="1:9">
      <c r="A28" s="27" t="s">
        <v>60</v>
      </c>
      <c r="B28" s="28" t="s">
        <v>120</v>
      </c>
      <c r="C28" s="17">
        <v>145217.1</v>
      </c>
      <c r="D28" s="13">
        <v>-0.24770016754225227</v>
      </c>
      <c r="E28" s="17">
        <v>109246.8</v>
      </c>
      <c r="F28" s="13">
        <v>4.0868016271414787E-2</v>
      </c>
      <c r="G28" s="17">
        <v>113711.5</v>
      </c>
      <c r="H28" s="37">
        <v>-0.11209420331276955</v>
      </c>
      <c r="I28" s="18">
        <v>100965.1</v>
      </c>
    </row>
    <row r="29" spans="1:9">
      <c r="A29" s="39" t="s">
        <v>62</v>
      </c>
      <c r="B29" s="40" t="s">
        <v>127</v>
      </c>
      <c r="C29" s="21">
        <v>3141495.3000000007</v>
      </c>
      <c r="D29" s="41">
        <v>2.3861725974888153E-2</v>
      </c>
      <c r="E29" s="21">
        <v>3216456.8</v>
      </c>
      <c r="F29" s="41">
        <v>2.8478604158464118E-2</v>
      </c>
      <c r="G29" s="21">
        <v>3308057</v>
      </c>
      <c r="H29" s="68">
        <v>-3.0917665566222077E-2</v>
      </c>
      <c r="I29" s="23">
        <v>3205779.6</v>
      </c>
    </row>
    <row r="30" spans="1:9">
      <c r="A30" s="38" t="s">
        <v>64</v>
      </c>
      <c r="B30" s="29" t="s">
        <v>128</v>
      </c>
      <c r="C30" s="30">
        <v>-83922.499999999069</v>
      </c>
      <c r="D30" s="56">
        <v>0</v>
      </c>
      <c r="E30" s="30">
        <v>5818.5999999996275</v>
      </c>
      <c r="F30" s="56">
        <v>0</v>
      </c>
      <c r="G30" s="30">
        <v>95701.200000000186</v>
      </c>
      <c r="H30" s="69">
        <v>0</v>
      </c>
      <c r="I30" s="31">
        <v>0</v>
      </c>
    </row>
    <row r="31" spans="1:9">
      <c r="A31" s="60">
        <v>0</v>
      </c>
      <c r="B31" s="25" t="s">
        <v>129</v>
      </c>
      <c r="C31" s="58">
        <v>0</v>
      </c>
      <c r="D31" s="55">
        <v>0</v>
      </c>
      <c r="E31" s="58">
        <v>0</v>
      </c>
      <c r="F31" s="55">
        <v>0</v>
      </c>
      <c r="G31" s="58">
        <v>0</v>
      </c>
      <c r="H31" s="70">
        <v>0</v>
      </c>
      <c r="I31" s="59">
        <v>0</v>
      </c>
    </row>
    <row r="32" spans="1:9">
      <c r="A32" s="45" t="s">
        <v>67</v>
      </c>
      <c r="B32" s="26" t="s">
        <v>130</v>
      </c>
      <c r="C32" s="12">
        <v>335460.59999999998</v>
      </c>
      <c r="D32" s="13">
        <v>0.2774829592506543</v>
      </c>
      <c r="E32" s="12">
        <v>428545.2</v>
      </c>
      <c r="F32" s="13">
        <v>-0.22139694949330907</v>
      </c>
      <c r="G32" s="12">
        <v>333666.59999999998</v>
      </c>
      <c r="H32" s="37">
        <v>0.20058825186578472</v>
      </c>
      <c r="I32" s="14">
        <v>400596.2</v>
      </c>
    </row>
    <row r="33" spans="1:9">
      <c r="A33" s="45" t="s">
        <v>69</v>
      </c>
      <c r="B33" s="26" t="s">
        <v>131</v>
      </c>
      <c r="C33" s="12">
        <v>48849.599999999999</v>
      </c>
      <c r="D33" s="13">
        <v>-7.8766253971373296E-2</v>
      </c>
      <c r="E33" s="12">
        <v>45001.9</v>
      </c>
      <c r="F33" s="13">
        <v>3.2580846586477391E-2</v>
      </c>
      <c r="G33" s="12">
        <v>46468.1</v>
      </c>
      <c r="H33" s="37">
        <v>0.17300685846849781</v>
      </c>
      <c r="I33" s="14">
        <v>54507.4</v>
      </c>
    </row>
    <row r="34" spans="1:9">
      <c r="A34" s="6" t="s">
        <v>71</v>
      </c>
      <c r="B34" s="26" t="s">
        <v>132</v>
      </c>
      <c r="C34" s="12">
        <v>133670</v>
      </c>
      <c r="D34" s="13">
        <v>3.6797336724770043E-2</v>
      </c>
      <c r="E34" s="12">
        <v>138588.70000000001</v>
      </c>
      <c r="F34" s="13">
        <v>-8.7590113768294342E-2</v>
      </c>
      <c r="G34" s="12">
        <v>126449.7</v>
      </c>
      <c r="H34" s="37">
        <v>5.6304601750735643E-2</v>
      </c>
      <c r="I34" s="14">
        <v>133569.4</v>
      </c>
    </row>
    <row r="35" spans="1:9">
      <c r="A35" s="39" t="s">
        <v>73</v>
      </c>
      <c r="B35" s="40" t="s">
        <v>133</v>
      </c>
      <c r="C35" s="21">
        <v>517980.19999999995</v>
      </c>
      <c r="D35" s="42">
        <v>0.18177451570542677</v>
      </c>
      <c r="E35" s="21">
        <v>612135.80000000005</v>
      </c>
      <c r="F35" s="42">
        <v>-0.17243134611633573</v>
      </c>
      <c r="G35" s="21">
        <v>506584.39999999997</v>
      </c>
      <c r="H35" s="68">
        <v>0.16204328439644025</v>
      </c>
      <c r="I35" s="23">
        <v>588673</v>
      </c>
    </row>
    <row r="36" spans="1:9">
      <c r="A36" s="6" t="s">
        <v>75</v>
      </c>
      <c r="B36" s="26" t="s">
        <v>134</v>
      </c>
      <c r="C36" s="12">
        <v>705.2</v>
      </c>
      <c r="D36" s="13">
        <v>3.8383437322745322</v>
      </c>
      <c r="E36" s="12">
        <v>3412</v>
      </c>
      <c r="F36" s="13">
        <v>1.4720984759671745</v>
      </c>
      <c r="G36" s="12">
        <v>8434.7999999999993</v>
      </c>
      <c r="H36" s="37">
        <v>-1</v>
      </c>
      <c r="I36" s="14">
        <v>0</v>
      </c>
    </row>
    <row r="37" spans="1:9">
      <c r="A37" s="6" t="s">
        <v>77</v>
      </c>
      <c r="B37" s="26" t="s">
        <v>135</v>
      </c>
      <c r="C37" s="12">
        <v>342314</v>
      </c>
      <c r="D37" s="13">
        <v>0.22157989448284329</v>
      </c>
      <c r="E37" s="12">
        <v>418163.9</v>
      </c>
      <c r="F37" s="13">
        <v>-0.24219259481748664</v>
      </c>
      <c r="G37" s="12">
        <v>316887.7</v>
      </c>
      <c r="H37" s="37">
        <v>0.25823406840972374</v>
      </c>
      <c r="I37" s="14">
        <v>398718.9</v>
      </c>
    </row>
    <row r="38" spans="1:9">
      <c r="A38" s="39" t="s">
        <v>79</v>
      </c>
      <c r="B38" s="40" t="s">
        <v>136</v>
      </c>
      <c r="C38" s="21">
        <v>343019.2</v>
      </c>
      <c r="D38" s="42">
        <v>0.22901546035907031</v>
      </c>
      <c r="E38" s="21">
        <v>421575.9</v>
      </c>
      <c r="F38" s="42">
        <v>-0.22831807985228761</v>
      </c>
      <c r="G38" s="21">
        <v>325322.5</v>
      </c>
      <c r="H38" s="68">
        <v>0.22561120119266273</v>
      </c>
      <c r="I38" s="23">
        <v>398718.9</v>
      </c>
    </row>
    <row r="39" spans="1:9">
      <c r="A39" s="32" t="s">
        <v>81</v>
      </c>
      <c r="B39" s="33" t="s">
        <v>2</v>
      </c>
      <c r="C39" s="34">
        <v>174960.99999999994</v>
      </c>
      <c r="D39" s="35">
        <v>8.9156440578186488E-2</v>
      </c>
      <c r="E39" s="34">
        <v>190559.90000000002</v>
      </c>
      <c r="F39" s="35">
        <v>-4.879305667141963E-2</v>
      </c>
      <c r="G39" s="34">
        <v>181261.89999999997</v>
      </c>
      <c r="H39" s="71">
        <v>4.7953817101111781E-2</v>
      </c>
      <c r="I39" s="36">
        <v>189954.09999999998</v>
      </c>
    </row>
    <row r="40" spans="1:9">
      <c r="A40" s="52" t="s">
        <v>0</v>
      </c>
      <c r="B40" s="26" t="s">
        <v>137</v>
      </c>
      <c r="C40" s="12">
        <v>90727.80000000092</v>
      </c>
      <c r="D40" s="13">
        <v>1.4090697669291816</v>
      </c>
      <c r="E40" s="12">
        <v>218569.59999999963</v>
      </c>
      <c r="F40" s="13">
        <v>0.27403399191836691</v>
      </c>
      <c r="G40" s="12">
        <v>278465.10000000021</v>
      </c>
      <c r="H40" s="37">
        <v>-0.16430999791356324</v>
      </c>
      <c r="I40" s="14">
        <v>232710.5</v>
      </c>
    </row>
    <row r="41" spans="1:9">
      <c r="A41" s="52" t="s">
        <v>0</v>
      </c>
      <c r="B41" s="26" t="s">
        <v>138</v>
      </c>
      <c r="C41" s="12">
        <v>-84233.199999999022</v>
      </c>
      <c r="D41" s="13">
        <v>-1.3325256549673992</v>
      </c>
      <c r="E41" s="12">
        <v>28009.699999999604</v>
      </c>
      <c r="F41" s="13">
        <v>2.4703406319954024</v>
      </c>
      <c r="G41" s="12">
        <v>97203.200000000244</v>
      </c>
      <c r="H41" s="37">
        <v>-0.56013382275480728</v>
      </c>
      <c r="I41" s="14">
        <v>42756.400000000023</v>
      </c>
    </row>
    <row r="42" spans="1:9">
      <c r="A42" s="61" t="s">
        <v>0</v>
      </c>
      <c r="B42" s="28" t="s">
        <v>139</v>
      </c>
      <c r="C42" s="17">
        <v>3354550.6</v>
      </c>
      <c r="D42" s="51">
        <v>4.2906194349848509E-3</v>
      </c>
      <c r="E42" s="17">
        <v>3368943.7</v>
      </c>
      <c r="F42" s="51">
        <v>-1.583911894995458E-2</v>
      </c>
      <c r="G42" s="17">
        <v>3315582.6</v>
      </c>
      <c r="H42" s="46">
        <v>3.1236742526034488E-2</v>
      </c>
      <c r="I42" s="18">
        <v>3419150.6</v>
      </c>
    </row>
    <row r="43" spans="1:9">
      <c r="A43" s="61" t="s">
        <v>0</v>
      </c>
      <c r="B43" s="28" t="s">
        <v>4</v>
      </c>
      <c r="C43" s="46">
        <v>0.51856013625894315</v>
      </c>
      <c r="D43" s="62">
        <v>0</v>
      </c>
      <c r="E43" s="46">
        <v>1.1469863281834194</v>
      </c>
      <c r="F43" s="64">
        <v>0</v>
      </c>
      <c r="G43" s="46">
        <v>1.5362583091096378</v>
      </c>
      <c r="H43" s="64">
        <v>0</v>
      </c>
      <c r="I43" s="65">
        <v>1.2250880607473069</v>
      </c>
    </row>
  </sheetData>
  <phoneticPr fontId="6" type="noConversion"/>
  <pageMargins left="0.78740157480314965" right="0.43307086614173229" top="0.98425196850393704" bottom="0.51181102362204722" header="0.51181102362204722" footer="0.23622047244094491"/>
  <pageSetup paperSize="9" scale="89" orientation="landscape" r:id="rId1"/>
  <headerFooter alignWithMargins="0">
    <oddHeader>&amp;LFachgruppe für kantonale Finanzfragen (FkF)
Groupe d'études pour les finances cantonales&amp;CRechnung 2014 - Budget 2016
Compte 2014 - Budget 2016&amp;RZürich, 26.04.2015</oddHeader>
    <oddFooter>&amp;LQuelle: FkF Mai 2015&amp;RBlatt &amp;P /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43"/>
  <sheetViews>
    <sheetView showWhiteSpace="0" view="pageLayout" zoomScaleNormal="100" workbookViewId="0">
      <selection activeCell="B34" sqref="B34"/>
    </sheetView>
  </sheetViews>
  <sheetFormatPr baseColWidth="10" defaultRowHeight="13"/>
  <cols>
    <col min="1" max="1" width="10.5" customWidth="1"/>
    <col min="2" max="2" width="46.5" bestFit="1" customWidth="1"/>
    <col min="3" max="4" width="11.5" bestFit="1" customWidth="1"/>
    <col min="5" max="5" width="12.33203125" bestFit="1" customWidth="1"/>
    <col min="6" max="6" width="11.5" bestFit="1" customWidth="1"/>
    <col min="7" max="7" width="12.33203125" bestFit="1" customWidth="1"/>
    <col min="8" max="8" width="11.5" style="49" bestFit="1" customWidth="1"/>
    <col min="9" max="9" width="12.33203125" bestFit="1" customWidth="1"/>
  </cols>
  <sheetData>
    <row r="1" spans="1:9">
      <c r="A1" s="3" t="s">
        <v>5</v>
      </c>
      <c r="B1" s="4" t="s">
        <v>151</v>
      </c>
      <c r="C1" s="43" t="s">
        <v>96</v>
      </c>
      <c r="D1" s="5" t="s">
        <v>8</v>
      </c>
      <c r="E1" s="43" t="s">
        <v>9</v>
      </c>
      <c r="F1" s="5" t="s">
        <v>8</v>
      </c>
      <c r="G1" s="43" t="s">
        <v>7</v>
      </c>
      <c r="H1" s="5" t="s">
        <v>8</v>
      </c>
      <c r="I1" s="44" t="s">
        <v>9</v>
      </c>
    </row>
    <row r="2" spans="1:9">
      <c r="A2" s="52">
        <v>0</v>
      </c>
      <c r="B2" s="55">
        <v>0</v>
      </c>
      <c r="C2" s="47">
        <v>2014</v>
      </c>
      <c r="D2" s="2" t="s">
        <v>10</v>
      </c>
      <c r="E2" s="47">
        <v>2015</v>
      </c>
      <c r="F2" s="2" t="s">
        <v>10</v>
      </c>
      <c r="G2" s="47">
        <v>2015</v>
      </c>
      <c r="H2" s="2" t="s">
        <v>10</v>
      </c>
      <c r="I2" s="48">
        <v>2016</v>
      </c>
    </row>
    <row r="3" spans="1:9">
      <c r="A3" s="52">
        <v>0</v>
      </c>
      <c r="B3" s="1" t="s">
        <v>97</v>
      </c>
      <c r="C3" s="54" t="s">
        <v>0</v>
      </c>
      <c r="D3" s="53">
        <v>0</v>
      </c>
      <c r="E3" s="54" t="s">
        <v>0</v>
      </c>
      <c r="F3" s="55">
        <v>0</v>
      </c>
      <c r="G3" s="54">
        <v>0</v>
      </c>
      <c r="H3" s="53">
        <v>0</v>
      </c>
      <c r="I3" s="50">
        <v>0</v>
      </c>
    </row>
    <row r="4" spans="1:9">
      <c r="A4" s="3" t="s">
        <v>13</v>
      </c>
      <c r="B4" s="7" t="s">
        <v>98</v>
      </c>
      <c r="C4" s="8">
        <v>535020.74199999997</v>
      </c>
      <c r="D4" s="9">
        <v>-0.15690919512051357</v>
      </c>
      <c r="E4" s="8">
        <v>451071.06800000003</v>
      </c>
      <c r="F4" s="9">
        <v>1.55721313076994E-3</v>
      </c>
      <c r="G4" s="8">
        <v>451773.48179000005</v>
      </c>
      <c r="H4" s="66">
        <v>-2.6610383399148216E-2</v>
      </c>
      <c r="I4" s="10">
        <v>439751.61623000004</v>
      </c>
    </row>
    <row r="5" spans="1:9">
      <c r="A5" s="11" t="s">
        <v>15</v>
      </c>
      <c r="B5" s="1" t="s">
        <v>99</v>
      </c>
      <c r="C5" s="12">
        <v>131670.90900000001</v>
      </c>
      <c r="D5" s="13">
        <v>0.12909419498273519</v>
      </c>
      <c r="E5" s="12">
        <v>148668.859</v>
      </c>
      <c r="F5" s="13">
        <v>-7.5918474493706728E-2</v>
      </c>
      <c r="G5" s="12">
        <v>137382.14602000001</v>
      </c>
      <c r="H5" s="37">
        <v>6.6022428989277321E-2</v>
      </c>
      <c r="I5" s="14">
        <v>146452.44899999999</v>
      </c>
    </row>
    <row r="6" spans="1:9">
      <c r="A6" s="11" t="s">
        <v>100</v>
      </c>
      <c r="B6" s="1" t="s">
        <v>101</v>
      </c>
      <c r="C6" s="12">
        <v>16390.940999999999</v>
      </c>
      <c r="D6" s="13">
        <v>0.18703374016171492</v>
      </c>
      <c r="E6" s="12">
        <v>19456.599999999999</v>
      </c>
      <c r="F6" s="13">
        <v>-4.7259930820389998E-2</v>
      </c>
      <c r="G6" s="12">
        <v>18537.082429999999</v>
      </c>
      <c r="H6" s="37">
        <v>1.1534585920272185E-2</v>
      </c>
      <c r="I6" s="14">
        <v>18750.900000000001</v>
      </c>
    </row>
    <row r="7" spans="1:9">
      <c r="A7" s="11" t="s">
        <v>19</v>
      </c>
      <c r="B7" s="1" t="s">
        <v>102</v>
      </c>
      <c r="C7" s="12">
        <v>29804.39</v>
      </c>
      <c r="D7" s="13">
        <v>4.087954828131022E-2</v>
      </c>
      <c r="E7" s="12">
        <v>31022.78</v>
      </c>
      <c r="F7" s="13">
        <v>-8.3003838147322581E-2</v>
      </c>
      <c r="G7" s="12">
        <v>28447.770190000003</v>
      </c>
      <c r="H7" s="37">
        <v>-7.6438299925678715E-2</v>
      </c>
      <c r="I7" s="14">
        <v>26273.271000000001</v>
      </c>
    </row>
    <row r="8" spans="1:9">
      <c r="A8" s="11" t="s">
        <v>21</v>
      </c>
      <c r="B8" s="1" t="s">
        <v>103</v>
      </c>
      <c r="C8" s="12">
        <v>20543.985000000001</v>
      </c>
      <c r="D8" s="13">
        <v>9.1187761283898938E-2</v>
      </c>
      <c r="E8" s="12">
        <v>22417.345000000001</v>
      </c>
      <c r="F8" s="13">
        <v>0.31542276482785986</v>
      </c>
      <c r="G8" s="12">
        <v>29488.285940000002</v>
      </c>
      <c r="H8" s="37">
        <v>-0.29290464551158657</v>
      </c>
      <c r="I8" s="14">
        <v>20851.03</v>
      </c>
    </row>
    <row r="9" spans="1:9">
      <c r="A9" s="11" t="s">
        <v>23</v>
      </c>
      <c r="B9" s="1" t="s">
        <v>104</v>
      </c>
      <c r="C9" s="12">
        <v>56532.391000000003</v>
      </c>
      <c r="D9" s="13">
        <v>-9.1981533206334773E-2</v>
      </c>
      <c r="E9" s="12">
        <v>51332.455000000002</v>
      </c>
      <c r="F9" s="13">
        <v>4.8476724910195487E-3</v>
      </c>
      <c r="G9" s="12">
        <v>51581.297930000001</v>
      </c>
      <c r="H9" s="37">
        <v>-8.94078413121468E-3</v>
      </c>
      <c r="I9" s="14">
        <v>51120.12068</v>
      </c>
    </row>
    <row r="10" spans="1:9">
      <c r="A10" s="11" t="s">
        <v>25</v>
      </c>
      <c r="B10" s="1" t="s">
        <v>105</v>
      </c>
      <c r="C10" s="12">
        <v>1330576.7949999999</v>
      </c>
      <c r="D10" s="13">
        <v>2.8299622495671133E-2</v>
      </c>
      <c r="E10" s="12">
        <v>1368231.6159999999</v>
      </c>
      <c r="F10" s="13">
        <v>4.61664060831067E-3</v>
      </c>
      <c r="G10" s="12">
        <v>1374548.2496400001</v>
      </c>
      <c r="H10" s="37">
        <v>2.8392471032007229E-2</v>
      </c>
      <c r="I10" s="14">
        <v>1413575.071</v>
      </c>
    </row>
    <row r="11" spans="1:9">
      <c r="A11" s="11" t="s">
        <v>106</v>
      </c>
      <c r="B11" s="1" t="s">
        <v>107</v>
      </c>
      <c r="C11" s="12">
        <v>383752.05900000001</v>
      </c>
      <c r="D11" s="37">
        <v>1.9837394540207543E-2</v>
      </c>
      <c r="E11" s="12">
        <v>391364.7</v>
      </c>
      <c r="F11" s="13">
        <v>4.6609988688300144E-2</v>
      </c>
      <c r="G11" s="12">
        <v>409606.20423999999</v>
      </c>
      <c r="H11" s="37">
        <v>-0.27784156114324388</v>
      </c>
      <c r="I11" s="14">
        <v>295800.57699999999</v>
      </c>
    </row>
    <row r="12" spans="1:9">
      <c r="A12" s="11" t="s">
        <v>108</v>
      </c>
      <c r="B12" s="1" t="s">
        <v>109</v>
      </c>
      <c r="C12" s="12">
        <v>174542.83499999999</v>
      </c>
      <c r="D12" s="37">
        <v>-6.2714404747693043E-3</v>
      </c>
      <c r="E12" s="12">
        <v>173448.2</v>
      </c>
      <c r="F12" s="13">
        <v>5.3528419954776023E-2</v>
      </c>
      <c r="G12" s="12">
        <v>182732.60808999999</v>
      </c>
      <c r="H12" s="37">
        <v>0.61289439843620874</v>
      </c>
      <c r="I12" s="14">
        <v>294728.40000000002</v>
      </c>
    </row>
    <row r="13" spans="1:9">
      <c r="A13" s="11" t="s">
        <v>110</v>
      </c>
      <c r="B13" s="1" t="s">
        <v>111</v>
      </c>
      <c r="C13" s="12">
        <v>156911.40700000001</v>
      </c>
      <c r="D13" s="37">
        <v>7.9397102085764781E-2</v>
      </c>
      <c r="E13" s="12">
        <v>169369.71799999999</v>
      </c>
      <c r="F13" s="37">
        <v>-2.3698954555737006E-2</v>
      </c>
      <c r="G13" s="12">
        <v>165355.83275</v>
      </c>
      <c r="H13" s="37">
        <v>5.031632154505896E-2</v>
      </c>
      <c r="I13" s="14">
        <v>173675.93</v>
      </c>
    </row>
    <row r="14" spans="1:9">
      <c r="A14" s="11" t="s">
        <v>112</v>
      </c>
      <c r="B14" s="1" t="s">
        <v>113</v>
      </c>
      <c r="C14" s="12">
        <v>47175.601000000002</v>
      </c>
      <c r="D14" s="37">
        <v>-9.6575558200096348E-3</v>
      </c>
      <c r="E14" s="12">
        <v>46720</v>
      </c>
      <c r="F14" s="13">
        <v>7.7471104452054726E-2</v>
      </c>
      <c r="G14" s="12">
        <v>50339.45</v>
      </c>
      <c r="H14" s="37">
        <v>5.8115454181561959E-3</v>
      </c>
      <c r="I14" s="14">
        <v>50632</v>
      </c>
    </row>
    <row r="15" spans="1:9">
      <c r="A15" s="11" t="s">
        <v>114</v>
      </c>
      <c r="B15" s="1" t="s">
        <v>115</v>
      </c>
      <c r="C15" s="12">
        <v>0</v>
      </c>
      <c r="D15" s="37" t="s">
        <v>33</v>
      </c>
      <c r="E15" s="12">
        <v>0</v>
      </c>
      <c r="F15" s="13" t="s">
        <v>33</v>
      </c>
      <c r="G15" s="12">
        <v>0</v>
      </c>
      <c r="H15" s="37" t="s">
        <v>33</v>
      </c>
      <c r="I15" s="14">
        <v>0</v>
      </c>
    </row>
    <row r="16" spans="1:9">
      <c r="A16" s="11" t="s">
        <v>116</v>
      </c>
      <c r="B16" s="1" t="s">
        <v>117</v>
      </c>
      <c r="C16" s="12">
        <v>81812.290999999997</v>
      </c>
      <c r="D16" s="37">
        <v>3.0334182916354251E-2</v>
      </c>
      <c r="E16" s="12">
        <v>84294</v>
      </c>
      <c r="F16" s="37">
        <v>-2.559394084988267E-2</v>
      </c>
      <c r="G16" s="12">
        <v>82136.58434999999</v>
      </c>
      <c r="H16" s="37">
        <v>0.13624885595817957</v>
      </c>
      <c r="I16" s="14">
        <v>93327.6</v>
      </c>
    </row>
    <row r="17" spans="1:9">
      <c r="A17" s="11" t="s">
        <v>40</v>
      </c>
      <c r="B17" s="1" t="s">
        <v>118</v>
      </c>
      <c r="C17" s="12">
        <v>45880.161</v>
      </c>
      <c r="D17" s="13">
        <v>-0.93752419482573301</v>
      </c>
      <c r="E17" s="12">
        <v>2866.4</v>
      </c>
      <c r="F17" s="13">
        <v>10.410170126290817</v>
      </c>
      <c r="G17" s="12">
        <v>32706.111649999999</v>
      </c>
      <c r="H17" s="37">
        <v>-0.94457610799478819</v>
      </c>
      <c r="I17" s="14">
        <v>1812.7</v>
      </c>
    </row>
    <row r="18" spans="1:9">
      <c r="A18" s="11">
        <v>389</v>
      </c>
      <c r="B18" s="1" t="s">
        <v>119</v>
      </c>
      <c r="C18" s="12">
        <v>0</v>
      </c>
      <c r="D18" s="37" t="s">
        <v>33</v>
      </c>
      <c r="E18" s="12">
        <v>0</v>
      </c>
      <c r="F18" s="37" t="s">
        <v>33</v>
      </c>
      <c r="G18" s="12">
        <v>0</v>
      </c>
      <c r="H18" s="37" t="s">
        <v>33</v>
      </c>
      <c r="I18" s="14">
        <v>0</v>
      </c>
    </row>
    <row r="19" spans="1:9">
      <c r="A19" s="15" t="s">
        <v>43</v>
      </c>
      <c r="B19" s="16" t="s">
        <v>120</v>
      </c>
      <c r="C19" s="17">
        <v>67151.78</v>
      </c>
      <c r="D19" s="37">
        <v>0.15781225754551848</v>
      </c>
      <c r="E19" s="17">
        <v>77749.153999999995</v>
      </c>
      <c r="F19" s="37">
        <v>4.0695214252749475E-2</v>
      </c>
      <c r="G19" s="17">
        <v>80913.172480000008</v>
      </c>
      <c r="H19" s="37">
        <v>0.1360522543189249</v>
      </c>
      <c r="I19" s="18">
        <v>91921.592000000004</v>
      </c>
    </row>
    <row r="20" spans="1:9">
      <c r="A20" s="19" t="s">
        <v>45</v>
      </c>
      <c r="B20" s="20" t="s">
        <v>121</v>
      </c>
      <c r="C20" s="21">
        <v>2217181.1529999999</v>
      </c>
      <c r="D20" s="22">
        <v>-2.8784962344481822E-2</v>
      </c>
      <c r="E20" s="21">
        <v>2153359.6770000001</v>
      </c>
      <c r="F20" s="22">
        <v>1.5548186862421778E-2</v>
      </c>
      <c r="G20" s="21">
        <v>2186840.5156400003</v>
      </c>
      <c r="H20" s="67">
        <v>2.2486021430604508E-3</v>
      </c>
      <c r="I20" s="23">
        <v>2191757.8499099999</v>
      </c>
    </row>
    <row r="21" spans="1:9">
      <c r="A21" s="24" t="s">
        <v>47</v>
      </c>
      <c r="B21" s="25" t="s">
        <v>122</v>
      </c>
      <c r="C21" s="8">
        <v>1026311.921</v>
      </c>
      <c r="D21" s="13">
        <v>-7.141903791644642E-3</v>
      </c>
      <c r="E21" s="8">
        <v>1018982.1</v>
      </c>
      <c r="F21" s="13">
        <v>-8.9928765775178568E-3</v>
      </c>
      <c r="G21" s="8">
        <v>1009818.51974</v>
      </c>
      <c r="H21" s="37">
        <v>2.5725295934054152E-2</v>
      </c>
      <c r="I21" s="10">
        <v>1035796.4</v>
      </c>
    </row>
    <row r="22" spans="1:9">
      <c r="A22" s="6" t="s">
        <v>49</v>
      </c>
      <c r="B22" s="26" t="s">
        <v>123</v>
      </c>
      <c r="C22" s="12">
        <v>68334.862999999998</v>
      </c>
      <c r="D22" s="13">
        <v>7.2823296653130405E-3</v>
      </c>
      <c r="E22" s="12">
        <v>68832.5</v>
      </c>
      <c r="F22" s="13">
        <v>2.2795804743398755E-2</v>
      </c>
      <c r="G22" s="12">
        <v>70401.592229999995</v>
      </c>
      <c r="H22" s="37">
        <v>-2.7164047991304896E-2</v>
      </c>
      <c r="I22" s="14">
        <v>68489.2</v>
      </c>
    </row>
    <row r="23" spans="1:9">
      <c r="A23" s="6" t="s">
        <v>51</v>
      </c>
      <c r="B23" s="26" t="s">
        <v>124</v>
      </c>
      <c r="C23" s="12">
        <v>61555.887999999999</v>
      </c>
      <c r="D23" s="13">
        <v>-5.1476602855603383E-2</v>
      </c>
      <c r="E23" s="12">
        <v>58387.199999999997</v>
      </c>
      <c r="F23" s="13">
        <v>-0.16044260711251779</v>
      </c>
      <c r="G23" s="12">
        <v>49019.405409999999</v>
      </c>
      <c r="H23" s="37">
        <v>0.24399183323345819</v>
      </c>
      <c r="I23" s="14">
        <v>60979.74</v>
      </c>
    </row>
    <row r="24" spans="1:9">
      <c r="A24" s="6" t="s">
        <v>53</v>
      </c>
      <c r="B24" s="26" t="s">
        <v>125</v>
      </c>
      <c r="C24" s="12">
        <v>146569.57399999999</v>
      </c>
      <c r="D24" s="13">
        <v>-1.3097807052369483E-2</v>
      </c>
      <c r="E24" s="12">
        <v>144649.834</v>
      </c>
      <c r="F24" s="13">
        <v>1.9986158504682345E-2</v>
      </c>
      <c r="G24" s="12">
        <v>147540.82850999999</v>
      </c>
      <c r="H24" s="37">
        <v>4.160508695790347E-4</v>
      </c>
      <c r="I24" s="14">
        <v>147602.21299999999</v>
      </c>
    </row>
    <row r="25" spans="1:9">
      <c r="A25" s="6" t="s">
        <v>55</v>
      </c>
      <c r="B25" s="26" t="s">
        <v>105</v>
      </c>
      <c r="C25" s="12">
        <v>720937.75899999996</v>
      </c>
      <c r="D25" s="13">
        <v>6.0077888082985073E-2</v>
      </c>
      <c r="E25" s="12">
        <v>764250.17700000003</v>
      </c>
      <c r="F25" s="13">
        <v>1.3912635181502864E-2</v>
      </c>
      <c r="G25" s="12">
        <v>774882.91090000002</v>
      </c>
      <c r="H25" s="37">
        <v>-2.4538983416107201E-2</v>
      </c>
      <c r="I25" s="14">
        <v>755868.07200000004</v>
      </c>
    </row>
    <row r="26" spans="1:9">
      <c r="A26" s="45" t="s">
        <v>57</v>
      </c>
      <c r="B26" s="26" t="s">
        <v>126</v>
      </c>
      <c r="C26" s="12">
        <v>126392.553</v>
      </c>
      <c r="D26" s="13">
        <v>-0.92692582924565181</v>
      </c>
      <c r="E26" s="12">
        <v>9236.0310000000009</v>
      </c>
      <c r="F26" s="13">
        <v>4.8817228775000858</v>
      </c>
      <c r="G26" s="12">
        <v>54323.774830000002</v>
      </c>
      <c r="H26" s="37">
        <v>-0.69205103930366907</v>
      </c>
      <c r="I26" s="14">
        <v>16728.95</v>
      </c>
    </row>
    <row r="27" spans="1:9">
      <c r="A27" s="63">
        <v>489</v>
      </c>
      <c r="B27" s="26" t="s">
        <v>149</v>
      </c>
      <c r="C27" s="12">
        <v>0</v>
      </c>
      <c r="D27" s="13" t="s">
        <v>33</v>
      </c>
      <c r="E27" s="12">
        <v>0</v>
      </c>
      <c r="F27" s="13" t="s">
        <v>33</v>
      </c>
      <c r="G27" s="12">
        <v>0</v>
      </c>
      <c r="H27" s="37" t="s">
        <v>33</v>
      </c>
      <c r="I27" s="14">
        <v>0</v>
      </c>
    </row>
    <row r="28" spans="1:9">
      <c r="A28" s="27" t="s">
        <v>60</v>
      </c>
      <c r="B28" s="28" t="s">
        <v>120</v>
      </c>
      <c r="C28" s="17">
        <v>67151.78</v>
      </c>
      <c r="D28" s="13">
        <v>0.15781225754551848</v>
      </c>
      <c r="E28" s="17">
        <v>77749.153999999995</v>
      </c>
      <c r="F28" s="13">
        <v>4.0695214252749287E-2</v>
      </c>
      <c r="G28" s="17">
        <v>80913.172479999994</v>
      </c>
      <c r="H28" s="37">
        <v>0.13605225431892509</v>
      </c>
      <c r="I28" s="18">
        <v>91921.592000000004</v>
      </c>
    </row>
    <row r="29" spans="1:9">
      <c r="A29" s="39" t="s">
        <v>62</v>
      </c>
      <c r="B29" s="40" t="s">
        <v>127</v>
      </c>
      <c r="C29" s="21">
        <v>2217254.3379999995</v>
      </c>
      <c r="D29" s="41">
        <v>-3.3901091413717312E-2</v>
      </c>
      <c r="E29" s="21">
        <v>2142086.9960000003</v>
      </c>
      <c r="F29" s="41">
        <v>2.0920349259241505E-2</v>
      </c>
      <c r="G29" s="21">
        <v>2186900.2040999997</v>
      </c>
      <c r="H29" s="68">
        <v>-4.3504669678858356E-3</v>
      </c>
      <c r="I29" s="23">
        <v>2177386.1669999999</v>
      </c>
    </row>
    <row r="30" spans="1:9">
      <c r="A30" s="38" t="s">
        <v>64</v>
      </c>
      <c r="B30" s="29" t="s">
        <v>128</v>
      </c>
      <c r="C30" s="30">
        <v>73.184999999590218</v>
      </c>
      <c r="D30" s="56">
        <v>0</v>
      </c>
      <c r="E30" s="30">
        <v>-11272.680999999866</v>
      </c>
      <c r="F30" s="56">
        <v>0</v>
      </c>
      <c r="G30" s="30">
        <v>59.688459999393672</v>
      </c>
      <c r="H30" s="69">
        <v>0</v>
      </c>
      <c r="I30" s="31">
        <v>-14371.682909999974</v>
      </c>
    </row>
    <row r="31" spans="1:9">
      <c r="A31" s="60">
        <v>0</v>
      </c>
      <c r="B31" s="25" t="s">
        <v>129</v>
      </c>
      <c r="C31" s="58">
        <v>0</v>
      </c>
      <c r="D31" s="55">
        <v>0</v>
      </c>
      <c r="E31" s="58">
        <v>0</v>
      </c>
      <c r="F31" s="55">
        <v>0</v>
      </c>
      <c r="G31" s="58">
        <v>0</v>
      </c>
      <c r="H31" s="70">
        <v>0</v>
      </c>
      <c r="I31" s="59">
        <v>0</v>
      </c>
    </row>
    <row r="32" spans="1:9">
      <c r="A32" s="45" t="s">
        <v>67</v>
      </c>
      <c r="B32" s="26" t="s">
        <v>130</v>
      </c>
      <c r="C32" s="12">
        <v>60002.277999999998</v>
      </c>
      <c r="D32" s="13">
        <v>0.20830372473525083</v>
      </c>
      <c r="E32" s="12">
        <v>72500.975999999995</v>
      </c>
      <c r="F32" s="13">
        <v>-0.23394100239422977</v>
      </c>
      <c r="G32" s="12">
        <v>55540.025000000001</v>
      </c>
      <c r="H32" s="37">
        <v>0.23202141158560871</v>
      </c>
      <c r="I32" s="14">
        <v>68426.5</v>
      </c>
    </row>
    <row r="33" spans="1:9">
      <c r="A33" s="45" t="s">
        <v>69</v>
      </c>
      <c r="B33" s="26" t="s">
        <v>131</v>
      </c>
      <c r="C33" s="12">
        <v>2072</v>
      </c>
      <c r="D33" s="13">
        <v>2.9020270270270272</v>
      </c>
      <c r="E33" s="12">
        <v>8085</v>
      </c>
      <c r="F33" s="13">
        <v>-0.94162028447742729</v>
      </c>
      <c r="G33" s="12">
        <v>472</v>
      </c>
      <c r="H33" s="37">
        <v>14.572033898305085</v>
      </c>
      <c r="I33" s="14">
        <v>7350</v>
      </c>
    </row>
    <row r="34" spans="1:9">
      <c r="A34" s="6" t="s">
        <v>71</v>
      </c>
      <c r="B34" s="26" t="s">
        <v>132</v>
      </c>
      <c r="C34" s="12">
        <v>18236.292000000001</v>
      </c>
      <c r="D34" s="13">
        <v>0.26435242427572431</v>
      </c>
      <c r="E34" s="12">
        <v>23057.1</v>
      </c>
      <c r="F34" s="13">
        <v>-0.43460669381665512</v>
      </c>
      <c r="G34" s="12">
        <v>13036.33</v>
      </c>
      <c r="H34" s="37">
        <v>0.56652907681839915</v>
      </c>
      <c r="I34" s="14">
        <v>20421.79</v>
      </c>
    </row>
    <row r="35" spans="1:9">
      <c r="A35" s="39" t="s">
        <v>73</v>
      </c>
      <c r="B35" s="40" t="s">
        <v>133</v>
      </c>
      <c r="C35" s="21">
        <v>80310.570000000007</v>
      </c>
      <c r="D35" s="42">
        <v>0.29052845721304171</v>
      </c>
      <c r="E35" s="21">
        <v>103643.076</v>
      </c>
      <c r="F35" s="42">
        <v>-0.33378709254055722</v>
      </c>
      <c r="G35" s="21">
        <v>69048.354999999996</v>
      </c>
      <c r="H35" s="68">
        <v>0.39320176418395503</v>
      </c>
      <c r="I35" s="23">
        <v>96198.290000000008</v>
      </c>
    </row>
    <row r="36" spans="1:9">
      <c r="A36" s="6" t="s">
        <v>75</v>
      </c>
      <c r="B36" s="26" t="s">
        <v>134</v>
      </c>
      <c r="C36" s="12">
        <v>1680.481</v>
      </c>
      <c r="D36" s="13">
        <v>8.9632188641228314</v>
      </c>
      <c r="E36" s="12">
        <v>16743</v>
      </c>
      <c r="F36" s="13">
        <v>-0.71220802723526244</v>
      </c>
      <c r="G36" s="12">
        <v>4818.5010000000002</v>
      </c>
      <c r="H36" s="37">
        <v>-0.98443499337242013</v>
      </c>
      <c r="I36" s="14">
        <v>75</v>
      </c>
    </row>
    <row r="37" spans="1:9">
      <c r="A37" s="6" t="s">
        <v>77</v>
      </c>
      <c r="B37" s="26" t="s">
        <v>135</v>
      </c>
      <c r="C37" s="12">
        <v>29834.005000000001</v>
      </c>
      <c r="D37" s="13">
        <v>1.5026477336850385E-3</v>
      </c>
      <c r="E37" s="12">
        <v>29878.834999999999</v>
      </c>
      <c r="F37" s="13">
        <v>-0.43339149602051086</v>
      </c>
      <c r="G37" s="12">
        <v>16929.601999999999</v>
      </c>
      <c r="H37" s="37">
        <v>1.0458514027677672</v>
      </c>
      <c r="I37" s="14">
        <v>34635.449999999997</v>
      </c>
    </row>
    <row r="38" spans="1:9">
      <c r="A38" s="39" t="s">
        <v>79</v>
      </c>
      <c r="B38" s="40" t="s">
        <v>136</v>
      </c>
      <c r="C38" s="21">
        <v>31514.486000000001</v>
      </c>
      <c r="D38" s="42">
        <v>0.47937792797889828</v>
      </c>
      <c r="E38" s="21">
        <v>46621.834999999999</v>
      </c>
      <c r="F38" s="42">
        <v>-0.53352108513103358</v>
      </c>
      <c r="G38" s="21">
        <v>21748.102999999999</v>
      </c>
      <c r="H38" s="68">
        <v>0.59602196108782446</v>
      </c>
      <c r="I38" s="23">
        <v>34710.449999999997</v>
      </c>
    </row>
    <row r="39" spans="1:9">
      <c r="A39" s="32" t="s">
        <v>81</v>
      </c>
      <c r="B39" s="33" t="s">
        <v>2</v>
      </c>
      <c r="C39" s="34">
        <v>48796.084000000003</v>
      </c>
      <c r="D39" s="35">
        <v>0.16856182557600316</v>
      </c>
      <c r="E39" s="34">
        <v>57021.241000000002</v>
      </c>
      <c r="F39" s="35">
        <v>-0.17048013739301129</v>
      </c>
      <c r="G39" s="34">
        <v>47300.251999999993</v>
      </c>
      <c r="H39" s="71">
        <v>0.29994740831401956</v>
      </c>
      <c r="I39" s="36">
        <v>61487.840000000011</v>
      </c>
    </row>
    <row r="40" spans="1:9">
      <c r="A40" s="52" t="s">
        <v>0</v>
      </c>
      <c r="B40" s="26" t="s">
        <v>137</v>
      </c>
      <c r="C40" s="12">
        <v>56605.575999999593</v>
      </c>
      <c r="D40" s="13">
        <v>-0.29229986105961675</v>
      </c>
      <c r="E40" s="12">
        <v>40059.774000000136</v>
      </c>
      <c r="F40" s="13">
        <v>0.28909829571178358</v>
      </c>
      <c r="G40" s="12">
        <v>51640.986389999394</v>
      </c>
      <c r="H40" s="37">
        <v>-0.28838621531217312</v>
      </c>
      <c r="I40" s="14">
        <v>36748.437770000026</v>
      </c>
    </row>
    <row r="41" spans="1:9">
      <c r="A41" s="52" t="s">
        <v>0</v>
      </c>
      <c r="B41" s="26" t="s">
        <v>138</v>
      </c>
      <c r="C41" s="12">
        <v>7809.4919999995909</v>
      </c>
      <c r="D41" s="13">
        <v>-3.1719040111700934</v>
      </c>
      <c r="E41" s="12">
        <v>-16961.466999999866</v>
      </c>
      <c r="F41" s="13">
        <v>-1.2559173914614481</v>
      </c>
      <c r="G41" s="12">
        <v>4340.7343899994012</v>
      </c>
      <c r="H41" s="37">
        <v>-6.699358681562499</v>
      </c>
      <c r="I41" s="14">
        <v>-24739.402229999985</v>
      </c>
    </row>
    <row r="42" spans="1:9">
      <c r="A42" s="61" t="s">
        <v>0</v>
      </c>
      <c r="B42" s="28" t="s">
        <v>139</v>
      </c>
      <c r="C42" s="17">
        <v>2107383.4060000004</v>
      </c>
      <c r="D42" s="51">
        <v>-2.2520852097858272E-3</v>
      </c>
      <c r="E42" s="17">
        <v>2102637.3989999997</v>
      </c>
      <c r="F42" s="51">
        <v>-1.9707342968267524E-2</v>
      </c>
      <c r="G42" s="17">
        <v>2061200.0026400008</v>
      </c>
      <c r="H42" s="46">
        <v>2.9619005682032122E-2</v>
      </c>
      <c r="I42" s="18">
        <v>2122250.6972299996</v>
      </c>
    </row>
    <row r="43" spans="1:9">
      <c r="A43" s="61" t="s">
        <v>0</v>
      </c>
      <c r="B43" s="28" t="s">
        <v>4</v>
      </c>
      <c r="C43" s="46">
        <v>1.1600434165987499</v>
      </c>
      <c r="D43" s="62">
        <v>0</v>
      </c>
      <c r="E43" s="46">
        <v>0.70254125125056699</v>
      </c>
      <c r="F43" s="64">
        <v>0</v>
      </c>
      <c r="G43" s="46">
        <v>1.0917697941651432</v>
      </c>
      <c r="H43" s="64">
        <v>0</v>
      </c>
      <c r="I43" s="65">
        <v>0.59765374373209434</v>
      </c>
    </row>
  </sheetData>
  <phoneticPr fontId="6" type="noConversion"/>
  <pageMargins left="0.78740157480314965" right="0.43307086614173229" top="0.98425196850393704" bottom="0.51181102362204722" header="0.51181102362204722" footer="0.23622047244094491"/>
  <pageSetup paperSize="9" scale="89" orientation="landscape" r:id="rId1"/>
  <headerFooter alignWithMargins="0">
    <oddHeader>&amp;LFachgruppe für kantonale Finanzfragen (FkF)
Groupe d'études pour les finances cantonales&amp;CRechnung 2014 - Budget 2016
Compte 2014 - Budget 2016&amp;RZürich, 26.04.2015</oddHeader>
    <oddFooter>&amp;LQuelle: FkF Mai 2016&amp;RBlatt &amp;P /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B050"/>
  </sheetPr>
  <dimension ref="A1:AJ186"/>
  <sheetViews>
    <sheetView tabSelected="1" zoomScaleNormal="100" workbookViewId="0">
      <pane xSplit="3" ySplit="2" topLeftCell="D3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11.5" defaultRowHeight="13"/>
  <cols>
    <col min="1" max="1" width="16.33203125" style="389" customWidth="1"/>
    <col min="2" max="2" width="3.6640625" style="84" customWidth="1"/>
    <col min="3" max="3" width="44.6640625" style="84" customWidth="1"/>
    <col min="4" max="5" width="11.5" style="84"/>
    <col min="6" max="7" width="11.5" style="84" customWidth="1"/>
    <col min="8" max="16384" width="11.5" style="84"/>
  </cols>
  <sheetData>
    <row r="1" spans="1:36" s="77" customFormat="1" ht="18" customHeight="1">
      <c r="A1" s="399" t="s">
        <v>94</v>
      </c>
      <c r="B1" s="73" t="s">
        <v>607</v>
      </c>
      <c r="C1" s="73" t="s">
        <v>608</v>
      </c>
      <c r="D1" s="74" t="s">
        <v>96</v>
      </c>
      <c r="E1" s="75" t="s">
        <v>9</v>
      </c>
      <c r="F1" s="74" t="s">
        <v>96</v>
      </c>
      <c r="G1" s="75" t="s">
        <v>9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</row>
    <row r="2" spans="1:36" s="83" customFormat="1" ht="15" customHeight="1">
      <c r="A2" s="400"/>
      <c r="B2" s="79"/>
      <c r="C2" s="80" t="s">
        <v>397</v>
      </c>
      <c r="D2" s="81">
        <v>2014</v>
      </c>
      <c r="E2" s="82">
        <v>2015</v>
      </c>
      <c r="F2" s="81">
        <v>2015</v>
      </c>
      <c r="G2" s="82">
        <v>2016</v>
      </c>
    </row>
    <row r="3" spans="1:36" ht="15" customHeight="1">
      <c r="A3" s="678" t="s">
        <v>398</v>
      </c>
      <c r="B3" s="679"/>
      <c r="C3" s="679"/>
      <c r="D3" s="85" t="s">
        <v>609</v>
      </c>
      <c r="E3" s="394"/>
      <c r="F3" s="85"/>
      <c r="G3" s="85" t="s">
        <v>610</v>
      </c>
    </row>
    <row r="4" spans="1:36" s="91" customFormat="1" ht="12.75" customHeight="1">
      <c r="A4" s="401">
        <v>30</v>
      </c>
      <c r="B4" s="87"/>
      <c r="C4" s="88" t="s">
        <v>98</v>
      </c>
      <c r="D4" s="89">
        <v>2237964.7647200003</v>
      </c>
      <c r="E4" s="424">
        <v>2330580.2540000002</v>
      </c>
      <c r="F4" s="424">
        <v>2295097.82504</v>
      </c>
      <c r="G4" s="90">
        <v>2351230.4419999998</v>
      </c>
    </row>
    <row r="5" spans="1:36" s="91" customFormat="1" ht="12.75" customHeight="1">
      <c r="A5" s="101">
        <v>31</v>
      </c>
      <c r="B5" s="93"/>
      <c r="C5" s="94" t="s">
        <v>399</v>
      </c>
      <c r="D5" s="273">
        <v>801725.36246000021</v>
      </c>
      <c r="E5" s="425">
        <v>571518.75</v>
      </c>
      <c r="F5" s="425">
        <v>821683.03478999995</v>
      </c>
      <c r="G5" s="96">
        <v>570797.13399999996</v>
      </c>
    </row>
    <row r="6" spans="1:36" s="91" customFormat="1" ht="12.75" customHeight="1">
      <c r="A6" s="97" t="s">
        <v>100</v>
      </c>
      <c r="B6" s="98"/>
      <c r="C6" s="99" t="s">
        <v>400</v>
      </c>
      <c r="D6" s="100">
        <v>84130.19025</v>
      </c>
      <c r="E6" s="425">
        <v>70731.870999999999</v>
      </c>
      <c r="F6" s="425">
        <v>76627.068209999983</v>
      </c>
      <c r="G6" s="96">
        <v>68079.971000000005</v>
      </c>
    </row>
    <row r="7" spans="1:36" s="91" customFormat="1" ht="12.75" customHeight="1">
      <c r="A7" s="97" t="s">
        <v>401</v>
      </c>
      <c r="B7" s="98"/>
      <c r="C7" s="99" t="s">
        <v>402</v>
      </c>
      <c r="D7" s="100">
        <v>17648.809870000005</v>
      </c>
      <c r="E7" s="425">
        <v>31773.137999999999</v>
      </c>
      <c r="F7" s="425">
        <v>27999.968709999979</v>
      </c>
      <c r="G7" s="96">
        <v>17907.553</v>
      </c>
    </row>
    <row r="8" spans="1:36" s="91" customFormat="1" ht="12.75" customHeight="1">
      <c r="A8" s="101">
        <v>330</v>
      </c>
      <c r="B8" s="93"/>
      <c r="C8" s="94" t="s">
        <v>403</v>
      </c>
      <c r="D8" s="273">
        <v>354188.01730000001</v>
      </c>
      <c r="E8" s="96">
        <v>351593.61</v>
      </c>
      <c r="F8" s="425">
        <v>367177.80176</v>
      </c>
      <c r="G8" s="96">
        <v>353107.652</v>
      </c>
    </row>
    <row r="9" spans="1:36" s="91" customFormat="1" ht="12.75" customHeight="1">
      <c r="A9" s="101">
        <v>332</v>
      </c>
      <c r="B9" s="93"/>
      <c r="C9" s="94" t="s">
        <v>404</v>
      </c>
      <c r="D9" s="95">
        <v>35789.080900000001</v>
      </c>
      <c r="E9" s="96">
        <v>38064.54</v>
      </c>
      <c r="F9" s="425">
        <v>37119.290070000003</v>
      </c>
      <c r="G9" s="96">
        <v>36302.625</v>
      </c>
    </row>
    <row r="10" spans="1:36" s="91" customFormat="1" ht="12.75" customHeight="1">
      <c r="A10" s="101">
        <v>339</v>
      </c>
      <c r="B10" s="93"/>
      <c r="C10" s="94" t="s">
        <v>405</v>
      </c>
      <c r="D10" s="95">
        <v>0</v>
      </c>
      <c r="E10" s="96">
        <v>0</v>
      </c>
      <c r="F10" s="425">
        <v>0</v>
      </c>
      <c r="G10" s="96">
        <v>0</v>
      </c>
    </row>
    <row r="11" spans="1:36" s="195" customFormat="1" ht="28.25" customHeight="1">
      <c r="A11" s="102">
        <v>350</v>
      </c>
      <c r="B11" s="402"/>
      <c r="C11" s="104" t="s">
        <v>406</v>
      </c>
      <c r="D11" s="131">
        <v>0</v>
      </c>
      <c r="E11" s="96">
        <v>0</v>
      </c>
      <c r="F11" s="425">
        <v>0</v>
      </c>
      <c r="G11" s="96">
        <v>0</v>
      </c>
    </row>
    <row r="12" spans="1:36" s="106" customFormat="1" ht="28">
      <c r="A12" s="102">
        <v>351</v>
      </c>
      <c r="B12" s="103"/>
      <c r="C12" s="104" t="s">
        <v>407</v>
      </c>
      <c r="D12" s="105">
        <v>0</v>
      </c>
      <c r="E12" s="96">
        <v>0</v>
      </c>
      <c r="F12" s="425">
        <v>0</v>
      </c>
      <c r="G12" s="96">
        <v>0</v>
      </c>
    </row>
    <row r="13" spans="1:36" s="91" customFormat="1" ht="12.75" customHeight="1">
      <c r="A13" s="101">
        <v>36</v>
      </c>
      <c r="B13" s="93"/>
      <c r="C13" s="94" t="s">
        <v>408</v>
      </c>
      <c r="D13" s="273">
        <v>4256836.7058100002</v>
      </c>
      <c r="E13" s="96">
        <v>4272419.8590000002</v>
      </c>
      <c r="F13" s="425">
        <v>4334429.5842299992</v>
      </c>
      <c r="G13" s="96">
        <v>4374264.92</v>
      </c>
    </row>
    <row r="14" spans="1:36" s="91" customFormat="1" ht="12.75" customHeight="1">
      <c r="A14" s="107" t="s">
        <v>409</v>
      </c>
      <c r="B14" s="93"/>
      <c r="C14" s="108" t="s">
        <v>410</v>
      </c>
      <c r="D14" s="100">
        <v>1767410.93781</v>
      </c>
      <c r="E14" s="96">
        <v>1808112.977</v>
      </c>
      <c r="F14" s="425">
        <v>1818840.4340500003</v>
      </c>
      <c r="G14" s="96">
        <v>1829746.6329999999</v>
      </c>
    </row>
    <row r="15" spans="1:36" s="91" customFormat="1" ht="12.75" customHeight="1">
      <c r="A15" s="107" t="s">
        <v>411</v>
      </c>
      <c r="B15" s="93"/>
      <c r="C15" s="108" t="s">
        <v>412</v>
      </c>
      <c r="D15" s="273">
        <v>19723.114859999998</v>
      </c>
      <c r="E15" s="273">
        <v>17217.7</v>
      </c>
      <c r="F15" s="425">
        <v>18648.343440000001</v>
      </c>
      <c r="G15" s="96">
        <v>17217.7</v>
      </c>
    </row>
    <row r="16" spans="1:36" s="111" customFormat="1" ht="26.25" customHeight="1">
      <c r="A16" s="107" t="s">
        <v>413</v>
      </c>
      <c r="B16" s="109"/>
      <c r="C16" s="108" t="s">
        <v>414</v>
      </c>
      <c r="D16" s="273">
        <v>77748.53465999999</v>
      </c>
      <c r="E16" s="110">
        <v>68288.429999999993</v>
      </c>
      <c r="F16" s="425">
        <v>78610.475990000006</v>
      </c>
      <c r="G16" s="96">
        <v>73627.202999999994</v>
      </c>
    </row>
    <row r="17" spans="1:7" s="113" customFormat="1">
      <c r="A17" s="101">
        <v>37</v>
      </c>
      <c r="B17" s="93"/>
      <c r="C17" s="94" t="s">
        <v>415</v>
      </c>
      <c r="D17" s="112">
        <v>271594.59778999997</v>
      </c>
      <c r="E17" s="96">
        <v>27308.65</v>
      </c>
      <c r="F17" s="425">
        <v>286229.69368999999</v>
      </c>
      <c r="G17" s="96">
        <v>25481.95</v>
      </c>
    </row>
    <row r="18" spans="1:7" s="113" customFormat="1">
      <c r="A18" s="114" t="s">
        <v>416</v>
      </c>
      <c r="B18" s="98"/>
      <c r="C18" s="99" t="s">
        <v>417</v>
      </c>
      <c r="D18" s="115">
        <v>245862.65005000003</v>
      </c>
      <c r="E18" s="96">
        <v>300</v>
      </c>
      <c r="F18" s="425">
        <v>258549.55947000001</v>
      </c>
      <c r="G18" s="96">
        <v>1000</v>
      </c>
    </row>
    <row r="19" spans="1:7" s="113" customFormat="1">
      <c r="A19" s="114" t="s">
        <v>418</v>
      </c>
      <c r="B19" s="98"/>
      <c r="C19" s="99" t="s">
        <v>419</v>
      </c>
      <c r="D19" s="115">
        <v>20340.689440000002</v>
      </c>
      <c r="E19" s="96">
        <v>23448</v>
      </c>
      <c r="F19" s="425">
        <v>21222.351320000002</v>
      </c>
      <c r="G19" s="96">
        <v>21621.3</v>
      </c>
    </row>
    <row r="20" spans="1:7" s="91" customFormat="1" ht="12.75" customHeight="1">
      <c r="A20" s="403">
        <v>39</v>
      </c>
      <c r="B20" s="117"/>
      <c r="C20" s="118" t="s">
        <v>120</v>
      </c>
      <c r="D20" s="119">
        <v>13590.064609999999</v>
      </c>
      <c r="E20" s="120">
        <v>15588.75</v>
      </c>
      <c r="F20" s="425">
        <v>14140.600629999999</v>
      </c>
      <c r="G20" s="120">
        <v>15691.03</v>
      </c>
    </row>
    <row r="21" spans="1:7" ht="12.75" customHeight="1">
      <c r="A21" s="404"/>
      <c r="B21" s="121"/>
      <c r="C21" s="122" t="s">
        <v>420</v>
      </c>
      <c r="D21" s="123">
        <f t="shared" ref="D21:G21" si="0">D4+D5+SUM(D8:D13)+D17</f>
        <v>7958098.5289800009</v>
      </c>
      <c r="E21" s="123">
        <f t="shared" si="0"/>
        <v>7591485.6630000006</v>
      </c>
      <c r="F21" s="123">
        <f t="shared" si="0"/>
        <v>8141737.22958</v>
      </c>
      <c r="G21" s="123">
        <f t="shared" si="0"/>
        <v>7711184.7230000002</v>
      </c>
    </row>
    <row r="22" spans="1:7" s="195" customFormat="1" ht="12.75" customHeight="1">
      <c r="A22" s="102" t="s">
        <v>183</v>
      </c>
      <c r="B22" s="402"/>
      <c r="C22" s="104" t="s">
        <v>421</v>
      </c>
      <c r="D22" s="131">
        <v>5405911.9391999999</v>
      </c>
      <c r="E22" s="194">
        <v>5322918.7129999995</v>
      </c>
      <c r="F22" s="426">
        <v>5279230.0108099999</v>
      </c>
      <c r="G22" s="194">
        <v>5391938.7130000005</v>
      </c>
    </row>
    <row r="23" spans="1:7" s="195" customFormat="1" ht="14">
      <c r="A23" s="102" t="s">
        <v>185</v>
      </c>
      <c r="B23" s="402"/>
      <c r="C23" s="104" t="s">
        <v>422</v>
      </c>
      <c r="D23" s="131">
        <v>738643.80544999987</v>
      </c>
      <c r="E23" s="194">
        <v>657820</v>
      </c>
      <c r="F23" s="426">
        <v>766765.41017000005</v>
      </c>
      <c r="G23" s="194">
        <v>669950</v>
      </c>
    </row>
    <row r="24" spans="1:7" s="125" customFormat="1" ht="12.75" customHeight="1">
      <c r="A24" s="101">
        <v>41</v>
      </c>
      <c r="B24" s="93"/>
      <c r="C24" s="94" t="s">
        <v>423</v>
      </c>
      <c r="D24" s="95">
        <v>31317.729849999992</v>
      </c>
      <c r="E24" s="124">
        <v>74228.744999999995</v>
      </c>
      <c r="F24" s="273">
        <v>111339.38718000001</v>
      </c>
      <c r="G24" s="124">
        <v>68598.744999999995</v>
      </c>
    </row>
    <row r="25" spans="1:7" s="91" customFormat="1" ht="12.75" customHeight="1">
      <c r="A25" s="344">
        <v>42</v>
      </c>
      <c r="B25" s="127"/>
      <c r="C25" s="94" t="s">
        <v>424</v>
      </c>
      <c r="D25" s="273">
        <v>391890.79212</v>
      </c>
      <c r="E25" s="273">
        <v>411016.18</v>
      </c>
      <c r="F25" s="273">
        <v>451530.89477999997</v>
      </c>
      <c r="G25" s="124">
        <v>442944.49</v>
      </c>
    </row>
    <row r="26" spans="1:7" s="129" customFormat="1" ht="12.75" customHeight="1">
      <c r="A26" s="102">
        <v>430</v>
      </c>
      <c r="B26" s="93"/>
      <c r="C26" s="94" t="s">
        <v>425</v>
      </c>
      <c r="D26" s="273">
        <v>44149.864610000004</v>
      </c>
      <c r="E26" s="427">
        <v>50973.536999999997</v>
      </c>
      <c r="F26" s="273">
        <v>91178.640350000016</v>
      </c>
      <c r="G26" s="128">
        <v>46763.396000000001</v>
      </c>
    </row>
    <row r="27" spans="1:7" s="129" customFormat="1" ht="12.75" customHeight="1">
      <c r="A27" s="102">
        <v>431</v>
      </c>
      <c r="B27" s="93"/>
      <c r="C27" s="94" t="s">
        <v>426</v>
      </c>
      <c r="D27" s="112">
        <v>18904.41678</v>
      </c>
      <c r="E27" s="427">
        <v>25036.454000000002</v>
      </c>
      <c r="F27" s="273">
        <v>14296.07575</v>
      </c>
      <c r="G27" s="128">
        <v>20304.986000000001</v>
      </c>
    </row>
    <row r="28" spans="1:7" s="129" customFormat="1" ht="12.75" customHeight="1">
      <c r="A28" s="102">
        <v>432</v>
      </c>
      <c r="B28" s="93"/>
      <c r="C28" s="94" t="s">
        <v>427</v>
      </c>
      <c r="D28" s="112">
        <v>208.47504999999998</v>
      </c>
      <c r="E28" s="427">
        <v>2.5</v>
      </c>
      <c r="F28" s="273">
        <v>9.9409599999999987</v>
      </c>
      <c r="G28" s="128">
        <v>2.5</v>
      </c>
    </row>
    <row r="29" spans="1:7" s="129" customFormat="1" ht="12.75" customHeight="1">
      <c r="A29" s="102">
        <v>439</v>
      </c>
      <c r="B29" s="93"/>
      <c r="C29" s="94" t="s">
        <v>428</v>
      </c>
      <c r="D29" s="273">
        <v>45310.596570000002</v>
      </c>
      <c r="E29" s="427">
        <v>14019.422</v>
      </c>
      <c r="F29" s="273">
        <v>85529.811359999992</v>
      </c>
      <c r="G29" s="128">
        <v>13199.422</v>
      </c>
    </row>
    <row r="30" spans="1:7" s="91" customFormat="1" ht="28">
      <c r="A30" s="102">
        <v>450</v>
      </c>
      <c r="B30" s="103"/>
      <c r="C30" s="104" t="s">
        <v>429</v>
      </c>
      <c r="D30" s="273">
        <v>2342.29898</v>
      </c>
      <c r="E30" s="273">
        <v>3496.76</v>
      </c>
      <c r="F30" s="273">
        <v>2726.6304700000001</v>
      </c>
      <c r="G30" s="96">
        <v>3177.127</v>
      </c>
    </row>
    <row r="31" spans="1:7" s="106" customFormat="1" ht="28">
      <c r="A31" s="102">
        <v>451</v>
      </c>
      <c r="B31" s="103"/>
      <c r="C31" s="104" t="s">
        <v>430</v>
      </c>
      <c r="D31" s="131">
        <v>0</v>
      </c>
      <c r="E31" s="273">
        <v>0</v>
      </c>
      <c r="F31" s="273">
        <v>0</v>
      </c>
      <c r="G31" s="124">
        <v>0</v>
      </c>
    </row>
    <row r="32" spans="1:7" s="91" customFormat="1" ht="12.75" customHeight="1">
      <c r="A32" s="101">
        <v>46</v>
      </c>
      <c r="B32" s="93"/>
      <c r="C32" s="94" t="s">
        <v>431</v>
      </c>
      <c r="D32" s="273">
        <v>1023424.1393200001</v>
      </c>
      <c r="E32" s="273">
        <v>1019245.953</v>
      </c>
      <c r="F32" s="273">
        <v>1011445.0497799999</v>
      </c>
      <c r="G32" s="124">
        <v>1015491.493</v>
      </c>
    </row>
    <row r="33" spans="1:7" s="111" customFormat="1" ht="14">
      <c r="A33" s="107" t="s">
        <v>432</v>
      </c>
      <c r="B33" s="405"/>
      <c r="C33" s="108" t="s">
        <v>433</v>
      </c>
      <c r="D33" s="286">
        <v>17621.441870000002</v>
      </c>
      <c r="E33" s="406">
        <v>17452.349999999999</v>
      </c>
      <c r="F33" s="273">
        <v>18458.437069999996</v>
      </c>
      <c r="G33" s="273">
        <v>18362.837</v>
      </c>
    </row>
    <row r="34" spans="1:7" s="91" customFormat="1" ht="15" customHeight="1">
      <c r="A34" s="101">
        <v>47</v>
      </c>
      <c r="B34" s="93"/>
      <c r="C34" s="94" t="s">
        <v>415</v>
      </c>
      <c r="D34" s="95">
        <v>271594.59779000003</v>
      </c>
      <c r="E34" s="124">
        <v>27308.65</v>
      </c>
      <c r="F34" s="273">
        <v>286229.69369000004</v>
      </c>
      <c r="G34" s="124">
        <v>25481.95</v>
      </c>
    </row>
    <row r="35" spans="1:7" s="91" customFormat="1" ht="15" customHeight="1">
      <c r="A35" s="403">
        <v>49</v>
      </c>
      <c r="B35" s="117"/>
      <c r="C35" s="118" t="s">
        <v>120</v>
      </c>
      <c r="D35" s="119">
        <v>13590.064610000001</v>
      </c>
      <c r="E35" s="133">
        <v>15588.75</v>
      </c>
      <c r="F35" s="273">
        <v>14140.600629999999</v>
      </c>
      <c r="G35" s="133">
        <v>15691.03</v>
      </c>
    </row>
    <row r="36" spans="1:7" ht="13.5" customHeight="1">
      <c r="A36" s="404"/>
      <c r="B36" s="134"/>
      <c r="C36" s="122" t="s">
        <v>434</v>
      </c>
      <c r="D36" s="123">
        <f t="shared" ref="D36:G36" si="1">D22+D23+D24+D25+D26+D27+D28+D29+D30+D31+D32+D34</f>
        <v>7973698.6557199992</v>
      </c>
      <c r="E36" s="123">
        <f t="shared" si="1"/>
        <v>7606066.9139999989</v>
      </c>
      <c r="F36" s="123">
        <f t="shared" si="1"/>
        <v>8100281.5452999994</v>
      </c>
      <c r="G36" s="123">
        <f t="shared" si="1"/>
        <v>7697852.8220000006</v>
      </c>
    </row>
    <row r="37" spans="1:7" s="135" customFormat="1" ht="15" customHeight="1">
      <c r="A37" s="404"/>
      <c r="B37" s="134"/>
      <c r="C37" s="122" t="s">
        <v>435</v>
      </c>
      <c r="D37" s="123">
        <f t="shared" ref="D37:G37" si="2">D36-D21</f>
        <v>15600.126739998348</v>
      </c>
      <c r="E37" s="123">
        <f t="shared" si="2"/>
        <v>14581.250999998301</v>
      </c>
      <c r="F37" s="123">
        <f t="shared" si="2"/>
        <v>-41455.684280000627</v>
      </c>
      <c r="G37" s="123">
        <f t="shared" si="2"/>
        <v>-13331.900999999605</v>
      </c>
    </row>
    <row r="38" spans="1:7" s="106" customFormat="1" ht="15" customHeight="1">
      <c r="A38" s="101">
        <v>340</v>
      </c>
      <c r="B38" s="93"/>
      <c r="C38" s="94" t="s">
        <v>436</v>
      </c>
      <c r="D38" s="273">
        <v>250579.95934</v>
      </c>
      <c r="E38" s="124">
        <v>253476.41</v>
      </c>
      <c r="F38" s="273">
        <v>233584.34449000002</v>
      </c>
      <c r="G38" s="124">
        <v>224326.41</v>
      </c>
    </row>
    <row r="39" spans="1:7" s="106" customFormat="1" ht="15" customHeight="1">
      <c r="A39" s="101">
        <v>341</v>
      </c>
      <c r="B39" s="93"/>
      <c r="C39" s="94" t="s">
        <v>437</v>
      </c>
      <c r="D39" s="273">
        <v>3863.8641400000001</v>
      </c>
      <c r="E39" s="124">
        <v>0</v>
      </c>
      <c r="F39" s="273">
        <v>5284.7464099999997</v>
      </c>
      <c r="G39" s="124">
        <v>0</v>
      </c>
    </row>
    <row r="40" spans="1:7" s="111" customFormat="1" ht="15" customHeight="1">
      <c r="A40" s="102">
        <v>342</v>
      </c>
      <c r="B40" s="402"/>
      <c r="C40" s="104" t="s">
        <v>438</v>
      </c>
      <c r="D40" s="131">
        <v>620.00711000000001</v>
      </c>
      <c r="E40" s="194">
        <v>750</v>
      </c>
      <c r="F40" s="273">
        <v>574.09222999999997</v>
      </c>
      <c r="G40" s="194">
        <v>750</v>
      </c>
    </row>
    <row r="41" spans="1:7" s="106" customFormat="1" ht="15" customHeight="1">
      <c r="A41" s="101">
        <v>343</v>
      </c>
      <c r="B41" s="93"/>
      <c r="C41" s="94" t="s">
        <v>439</v>
      </c>
      <c r="D41" s="95">
        <v>0</v>
      </c>
      <c r="E41" s="124">
        <v>0</v>
      </c>
      <c r="F41" s="273">
        <v>0</v>
      </c>
      <c r="G41" s="124">
        <v>0</v>
      </c>
    </row>
    <row r="42" spans="1:7" s="111" customFormat="1" ht="15" customHeight="1">
      <c r="A42" s="102">
        <v>344</v>
      </c>
      <c r="B42" s="402"/>
      <c r="C42" s="104" t="s">
        <v>440</v>
      </c>
      <c r="D42" s="131">
        <v>0</v>
      </c>
      <c r="E42" s="194">
        <v>0</v>
      </c>
      <c r="F42" s="273">
        <v>0</v>
      </c>
      <c r="G42" s="194">
        <v>0</v>
      </c>
    </row>
    <row r="43" spans="1:7" s="106" customFormat="1" ht="15" customHeight="1">
      <c r="A43" s="101">
        <v>349</v>
      </c>
      <c r="B43" s="93"/>
      <c r="C43" s="94" t="s">
        <v>441</v>
      </c>
      <c r="D43" s="95">
        <v>526.90989999999999</v>
      </c>
      <c r="E43" s="124">
        <v>1038.886</v>
      </c>
      <c r="F43" s="273">
        <v>466.35505000000001</v>
      </c>
      <c r="G43" s="124">
        <v>999.01900000000001</v>
      </c>
    </row>
    <row r="44" spans="1:7" s="91" customFormat="1" ht="15" customHeight="1">
      <c r="A44" s="101">
        <v>440</v>
      </c>
      <c r="B44" s="93"/>
      <c r="C44" s="94" t="s">
        <v>442</v>
      </c>
      <c r="D44" s="95">
        <v>104653.81444</v>
      </c>
      <c r="E44" s="124">
        <v>123856.034</v>
      </c>
      <c r="F44" s="273">
        <v>117682.31273000001</v>
      </c>
      <c r="G44" s="124">
        <v>103125.40300000001</v>
      </c>
    </row>
    <row r="45" spans="1:7" s="195" customFormat="1" ht="15" customHeight="1">
      <c r="A45" s="102">
        <v>441</v>
      </c>
      <c r="B45" s="402"/>
      <c r="C45" s="104" t="s">
        <v>443</v>
      </c>
      <c r="D45" s="131">
        <v>1379.62285</v>
      </c>
      <c r="E45" s="407">
        <v>6130.1469999999999</v>
      </c>
      <c r="F45" s="273">
        <v>9066.1793200000011</v>
      </c>
      <c r="G45" s="407">
        <v>10630.147000000001</v>
      </c>
    </row>
    <row r="46" spans="1:7" s="195" customFormat="1" ht="15" customHeight="1">
      <c r="A46" s="102">
        <v>442</v>
      </c>
      <c r="B46" s="402"/>
      <c r="C46" s="104" t="s">
        <v>444</v>
      </c>
      <c r="D46" s="131">
        <v>4762.1335399999998</v>
      </c>
      <c r="E46" s="194">
        <v>5420</v>
      </c>
      <c r="F46" s="273">
        <v>4710.7115000000003</v>
      </c>
      <c r="G46" s="194">
        <v>4706.1000000000004</v>
      </c>
    </row>
    <row r="47" spans="1:7" s="91" customFormat="1" ht="15" customHeight="1">
      <c r="A47" s="101">
        <v>443</v>
      </c>
      <c r="B47" s="93"/>
      <c r="C47" s="94" t="s">
        <v>445</v>
      </c>
      <c r="D47" s="95">
        <v>0</v>
      </c>
      <c r="E47" s="269">
        <v>0</v>
      </c>
      <c r="F47" s="273">
        <v>0</v>
      </c>
      <c r="G47" s="269">
        <v>0</v>
      </c>
    </row>
    <row r="48" spans="1:7" s="91" customFormat="1" ht="15" customHeight="1">
      <c r="A48" s="101">
        <v>444</v>
      </c>
      <c r="B48" s="93"/>
      <c r="C48" s="94" t="s">
        <v>446</v>
      </c>
      <c r="D48" s="95">
        <v>0</v>
      </c>
      <c r="E48" s="269">
        <v>0</v>
      </c>
      <c r="F48" s="273">
        <v>103.9</v>
      </c>
      <c r="G48" s="269">
        <v>0</v>
      </c>
    </row>
    <row r="49" spans="1:7" s="91" customFormat="1" ht="15" customHeight="1">
      <c r="A49" s="101">
        <v>445</v>
      </c>
      <c r="B49" s="93"/>
      <c r="C49" s="94" t="s">
        <v>447</v>
      </c>
      <c r="D49" s="95">
        <v>64604.853200000005</v>
      </c>
      <c r="E49" s="124">
        <v>56988.989000000001</v>
      </c>
      <c r="F49" s="273">
        <v>58128.36836</v>
      </c>
      <c r="G49" s="124">
        <v>73838.865000000005</v>
      </c>
    </row>
    <row r="50" spans="1:7" s="91" customFormat="1" ht="15" customHeight="1">
      <c r="A50" s="101">
        <v>446</v>
      </c>
      <c r="B50" s="93"/>
      <c r="C50" s="94" t="s">
        <v>448</v>
      </c>
      <c r="D50" s="95">
        <v>3353.4663999999998</v>
      </c>
      <c r="E50" s="124">
        <v>3230.8</v>
      </c>
      <c r="F50" s="273">
        <v>3300.3702499999999</v>
      </c>
      <c r="G50" s="124">
        <v>3240</v>
      </c>
    </row>
    <row r="51" spans="1:7" s="195" customFormat="1" ht="15" customHeight="1">
      <c r="A51" s="102">
        <v>447</v>
      </c>
      <c r="B51" s="402"/>
      <c r="C51" s="104" t="s">
        <v>449</v>
      </c>
      <c r="D51" s="131">
        <v>66362.134559999991</v>
      </c>
      <c r="E51" s="194">
        <v>58817.603999999999</v>
      </c>
      <c r="F51" s="273">
        <v>67549.119920000012</v>
      </c>
      <c r="G51" s="194">
        <v>53299.17</v>
      </c>
    </row>
    <row r="52" spans="1:7" s="91" customFormat="1" ht="15" customHeight="1">
      <c r="A52" s="101">
        <v>448</v>
      </c>
      <c r="B52" s="93"/>
      <c r="C52" s="94" t="s">
        <v>450</v>
      </c>
      <c r="D52" s="95">
        <v>0</v>
      </c>
      <c r="E52" s="269">
        <v>0</v>
      </c>
      <c r="F52" s="273">
        <v>0</v>
      </c>
      <c r="G52" s="269">
        <v>0</v>
      </c>
    </row>
    <row r="53" spans="1:7" s="195" customFormat="1" ht="15" customHeight="1">
      <c r="A53" s="102">
        <v>449</v>
      </c>
      <c r="B53" s="402"/>
      <c r="C53" s="104" t="s">
        <v>451</v>
      </c>
      <c r="D53" s="131">
        <v>0</v>
      </c>
      <c r="E53" s="407">
        <v>0</v>
      </c>
      <c r="F53" s="273">
        <v>0.1</v>
      </c>
      <c r="G53" s="407">
        <v>0</v>
      </c>
    </row>
    <row r="54" spans="1:7" s="106" customFormat="1" ht="13.5" customHeight="1">
      <c r="A54" s="136" t="s">
        <v>452</v>
      </c>
      <c r="B54" s="137"/>
      <c r="C54" s="137" t="s">
        <v>453</v>
      </c>
      <c r="D54" s="138">
        <v>0</v>
      </c>
      <c r="E54" s="408">
        <v>0</v>
      </c>
      <c r="F54" s="273">
        <v>0.1</v>
      </c>
      <c r="G54" s="408">
        <v>0</v>
      </c>
    </row>
    <row r="55" spans="1:7" ht="15" customHeight="1">
      <c r="A55" s="409"/>
      <c r="B55" s="134"/>
      <c r="C55" s="122" t="s">
        <v>454</v>
      </c>
      <c r="D55" s="123">
        <f t="shared" ref="D55:G55" si="3">SUM(D44:D53)-SUM(D38:D43)</f>
        <v>-10474.715499999991</v>
      </c>
      <c r="E55" s="123">
        <f t="shared" si="3"/>
        <v>-821.72200000003795</v>
      </c>
      <c r="F55" s="123">
        <f t="shared" si="3"/>
        <v>20631.5239</v>
      </c>
      <c r="G55" s="123">
        <f t="shared" si="3"/>
        <v>22764.255999999994</v>
      </c>
    </row>
    <row r="56" spans="1:7" ht="14.25" customHeight="1">
      <c r="A56" s="409"/>
      <c r="B56" s="134"/>
      <c r="C56" s="122" t="s">
        <v>455</v>
      </c>
      <c r="D56" s="123">
        <f t="shared" ref="D56:G56" si="4">D55+D37</f>
        <v>5125.4112399983569</v>
      </c>
      <c r="E56" s="123">
        <f t="shared" si="4"/>
        <v>13759.528999998263</v>
      </c>
      <c r="F56" s="123">
        <f t="shared" si="4"/>
        <v>-20824.160380000627</v>
      </c>
      <c r="G56" s="123">
        <f t="shared" si="4"/>
        <v>9432.3550000003888</v>
      </c>
    </row>
    <row r="57" spans="1:7" s="91" customFormat="1" ht="15.75" customHeight="1">
      <c r="A57" s="410">
        <v>380</v>
      </c>
      <c r="B57" s="141"/>
      <c r="C57" s="142" t="s">
        <v>456</v>
      </c>
      <c r="D57" s="340"/>
      <c r="E57" s="266">
        <v>0</v>
      </c>
      <c r="F57" s="266">
        <v>0</v>
      </c>
      <c r="G57" s="266">
        <v>0</v>
      </c>
    </row>
    <row r="58" spans="1:7" s="91" customFormat="1" ht="15.75" customHeight="1">
      <c r="A58" s="410">
        <v>381</v>
      </c>
      <c r="B58" s="141"/>
      <c r="C58" s="142" t="s">
        <v>457</v>
      </c>
      <c r="D58" s="340"/>
      <c r="E58" s="266">
        <v>0</v>
      </c>
      <c r="F58" s="266">
        <v>0</v>
      </c>
      <c r="G58" s="266">
        <v>0</v>
      </c>
    </row>
    <row r="59" spans="1:7" s="106" customFormat="1" ht="27.5" customHeight="1">
      <c r="A59" s="102">
        <v>383</v>
      </c>
      <c r="B59" s="103"/>
      <c r="C59" s="104" t="s">
        <v>458</v>
      </c>
      <c r="D59" s="143"/>
      <c r="E59" s="144">
        <v>0</v>
      </c>
      <c r="F59" s="144">
        <v>0</v>
      </c>
      <c r="G59" s="144">
        <v>0</v>
      </c>
    </row>
    <row r="60" spans="1:7" s="106" customFormat="1" ht="14">
      <c r="A60" s="102">
        <v>3840</v>
      </c>
      <c r="B60" s="103"/>
      <c r="C60" s="104" t="s">
        <v>459</v>
      </c>
      <c r="D60" s="145"/>
      <c r="E60" s="146">
        <v>0</v>
      </c>
      <c r="F60" s="146">
        <v>0</v>
      </c>
      <c r="G60" s="146">
        <v>0</v>
      </c>
    </row>
    <row r="61" spans="1:7" s="106" customFormat="1" ht="26.5" customHeight="1">
      <c r="A61" s="102">
        <v>3841</v>
      </c>
      <c r="B61" s="103"/>
      <c r="C61" s="104" t="s">
        <v>460</v>
      </c>
      <c r="D61" s="145"/>
      <c r="E61" s="146">
        <v>0</v>
      </c>
      <c r="F61" s="146">
        <v>0</v>
      </c>
      <c r="G61" s="146">
        <v>0</v>
      </c>
    </row>
    <row r="62" spans="1:7" s="106" customFormat="1" ht="14">
      <c r="A62" s="147">
        <v>386</v>
      </c>
      <c r="B62" s="148"/>
      <c r="C62" s="149" t="s">
        <v>461</v>
      </c>
      <c r="D62" s="145"/>
      <c r="E62" s="146">
        <v>0</v>
      </c>
      <c r="F62" s="146">
        <v>0</v>
      </c>
      <c r="G62" s="146">
        <v>0</v>
      </c>
    </row>
    <row r="63" spans="1:7" s="106" customFormat="1" ht="27.5" customHeight="1">
      <c r="A63" s="102">
        <v>387</v>
      </c>
      <c r="B63" s="103"/>
      <c r="C63" s="104" t="s">
        <v>462</v>
      </c>
      <c r="D63" s="145"/>
      <c r="E63" s="146">
        <v>0</v>
      </c>
      <c r="F63" s="146">
        <v>0</v>
      </c>
      <c r="G63" s="146">
        <v>0</v>
      </c>
    </row>
    <row r="64" spans="1:7" s="106" customFormat="1">
      <c r="A64" s="101">
        <v>389</v>
      </c>
      <c r="B64" s="150"/>
      <c r="C64" s="94" t="s">
        <v>119</v>
      </c>
      <c r="D64" s="95"/>
      <c r="E64" s="124">
        <v>0</v>
      </c>
      <c r="F64" s="124">
        <v>0</v>
      </c>
      <c r="G64" s="124">
        <v>0</v>
      </c>
    </row>
    <row r="65" spans="1:7" s="195" customFormat="1" ht="14">
      <c r="A65" s="102" t="s">
        <v>227</v>
      </c>
      <c r="B65" s="402"/>
      <c r="C65" s="104" t="s">
        <v>463</v>
      </c>
      <c r="D65" s="131"/>
      <c r="E65" s="194">
        <v>0</v>
      </c>
      <c r="F65" s="194">
        <v>0</v>
      </c>
      <c r="G65" s="194">
        <v>0</v>
      </c>
    </row>
    <row r="66" spans="1:7" s="153" customFormat="1" ht="28">
      <c r="A66" s="102" t="s">
        <v>229</v>
      </c>
      <c r="B66" s="152"/>
      <c r="C66" s="104" t="s">
        <v>464</v>
      </c>
      <c r="D66" s="143"/>
      <c r="E66" s="144">
        <v>0</v>
      </c>
      <c r="F66" s="144">
        <v>0</v>
      </c>
      <c r="G66" s="144">
        <v>0</v>
      </c>
    </row>
    <row r="67" spans="1:7" s="91" customFormat="1">
      <c r="A67" s="102">
        <v>481</v>
      </c>
      <c r="B67" s="93"/>
      <c r="C67" s="94" t="s">
        <v>465</v>
      </c>
      <c r="D67" s="95"/>
      <c r="E67" s="124">
        <v>0</v>
      </c>
      <c r="F67" s="124">
        <v>0</v>
      </c>
      <c r="G67" s="124">
        <v>0</v>
      </c>
    </row>
    <row r="68" spans="1:7" s="91" customFormat="1">
      <c r="A68" s="102">
        <v>482</v>
      </c>
      <c r="B68" s="93"/>
      <c r="C68" s="94" t="s">
        <v>466</v>
      </c>
      <c r="D68" s="95"/>
      <c r="E68" s="124">
        <v>0</v>
      </c>
      <c r="F68" s="124">
        <v>0</v>
      </c>
      <c r="G68" s="124">
        <v>0</v>
      </c>
    </row>
    <row r="69" spans="1:7" s="91" customFormat="1">
      <c r="A69" s="102">
        <v>483</v>
      </c>
      <c r="B69" s="93"/>
      <c r="C69" s="94" t="s">
        <v>467</v>
      </c>
      <c r="D69" s="95"/>
      <c r="E69" s="124">
        <v>0</v>
      </c>
      <c r="F69" s="124">
        <v>0</v>
      </c>
      <c r="G69" s="124">
        <v>0</v>
      </c>
    </row>
    <row r="70" spans="1:7" s="91" customFormat="1">
      <c r="A70" s="102">
        <v>484</v>
      </c>
      <c r="B70" s="93"/>
      <c r="C70" s="94" t="s">
        <v>468</v>
      </c>
      <c r="D70" s="95"/>
      <c r="E70" s="124">
        <v>0</v>
      </c>
      <c r="F70" s="124">
        <v>0</v>
      </c>
      <c r="G70" s="124">
        <v>0</v>
      </c>
    </row>
    <row r="71" spans="1:7" s="195" customFormat="1" ht="28">
      <c r="A71" s="102">
        <v>485</v>
      </c>
      <c r="B71" s="402"/>
      <c r="C71" s="104" t="s">
        <v>469</v>
      </c>
      <c r="D71" s="131"/>
      <c r="E71" s="194">
        <v>0</v>
      </c>
      <c r="F71" s="194">
        <v>0</v>
      </c>
      <c r="G71" s="194">
        <v>0</v>
      </c>
    </row>
    <row r="72" spans="1:7" s="91" customFormat="1">
      <c r="A72" s="102">
        <v>486</v>
      </c>
      <c r="B72" s="93"/>
      <c r="C72" s="94" t="s">
        <v>470</v>
      </c>
      <c r="D72" s="95"/>
      <c r="E72" s="124">
        <v>0</v>
      </c>
      <c r="F72" s="124">
        <v>0</v>
      </c>
      <c r="G72" s="124">
        <v>0</v>
      </c>
    </row>
    <row r="73" spans="1:7" s="111" customFormat="1" ht="28">
      <c r="A73" s="102">
        <v>487</v>
      </c>
      <c r="B73" s="405"/>
      <c r="C73" s="104" t="s">
        <v>471</v>
      </c>
      <c r="D73" s="131"/>
      <c r="E73" s="194">
        <v>0</v>
      </c>
      <c r="F73" s="194">
        <v>0</v>
      </c>
      <c r="G73" s="194">
        <v>0</v>
      </c>
    </row>
    <row r="74" spans="1:7" s="106" customFormat="1" ht="15" customHeight="1">
      <c r="A74" s="102">
        <v>489</v>
      </c>
      <c r="B74" s="155"/>
      <c r="C74" s="118" t="s">
        <v>149</v>
      </c>
      <c r="D74" s="131"/>
      <c r="E74" s="194"/>
      <c r="F74" s="194"/>
      <c r="G74" s="194"/>
    </row>
    <row r="75" spans="1:7" s="106" customFormat="1">
      <c r="A75" s="156" t="s">
        <v>472</v>
      </c>
      <c r="B75" s="155"/>
      <c r="C75" s="137" t="s">
        <v>473</v>
      </c>
      <c r="D75" s="95"/>
      <c r="E75" s="124">
        <v>0</v>
      </c>
      <c r="F75" s="124">
        <v>0</v>
      </c>
      <c r="G75" s="124">
        <v>0</v>
      </c>
    </row>
    <row r="76" spans="1:7">
      <c r="A76" s="404"/>
      <c r="B76" s="121"/>
      <c r="C76" s="122" t="s">
        <v>474</v>
      </c>
      <c r="D76" s="123">
        <f t="shared" ref="D76:G76" si="5">SUM(D65:D74)-SUM(D57:D64)</f>
        <v>0</v>
      </c>
      <c r="E76" s="123">
        <f t="shared" si="5"/>
        <v>0</v>
      </c>
      <c r="F76" s="123">
        <f t="shared" si="5"/>
        <v>0</v>
      </c>
      <c r="G76" s="123">
        <f t="shared" si="5"/>
        <v>0</v>
      </c>
    </row>
    <row r="77" spans="1:7">
      <c r="A77" s="411"/>
      <c r="B77" s="157"/>
      <c r="C77" s="122" t="s">
        <v>475</v>
      </c>
      <c r="D77" s="123">
        <f t="shared" ref="D77:G77" si="6">D56+D76</f>
        <v>5125.4112399983569</v>
      </c>
      <c r="E77" s="123">
        <f t="shared" si="6"/>
        <v>13759.528999998263</v>
      </c>
      <c r="F77" s="123">
        <f t="shared" si="6"/>
        <v>-20824.160380000627</v>
      </c>
      <c r="G77" s="123">
        <f t="shared" si="6"/>
        <v>9432.3550000003888</v>
      </c>
    </row>
    <row r="78" spans="1:7">
      <c r="A78" s="412">
        <v>3</v>
      </c>
      <c r="B78" s="158"/>
      <c r="C78" s="159" t="s">
        <v>242</v>
      </c>
      <c r="D78" s="160">
        <f t="shared" ref="D78:G78" si="7">D20+D21+SUM(D38:D43)+SUM(D57:D64)</f>
        <v>8227279.3340800004</v>
      </c>
      <c r="E78" s="160">
        <f t="shared" si="7"/>
        <v>7862339.7090000007</v>
      </c>
      <c r="F78" s="160">
        <f t="shared" si="7"/>
        <v>8395787.3683899995</v>
      </c>
      <c r="G78" s="160">
        <f t="shared" si="7"/>
        <v>7952951.182</v>
      </c>
    </row>
    <row r="79" spans="1:7">
      <c r="A79" s="412">
        <v>4</v>
      </c>
      <c r="B79" s="158"/>
      <c r="C79" s="159" t="s">
        <v>243</v>
      </c>
      <c r="D79" s="160">
        <f t="shared" ref="D79:G79" si="8">D35+D36+SUM(D44:D53)+SUM(D65:D74)</f>
        <v>8232404.7453199988</v>
      </c>
      <c r="E79" s="160">
        <f t="shared" si="8"/>
        <v>7876099.237999999</v>
      </c>
      <c r="F79" s="160">
        <f t="shared" si="8"/>
        <v>8374963.2080099992</v>
      </c>
      <c r="G79" s="160">
        <f t="shared" si="8"/>
        <v>7962383.5370000005</v>
      </c>
    </row>
    <row r="80" spans="1:7">
      <c r="C80" s="135"/>
      <c r="D80" s="161"/>
      <c r="E80" s="161"/>
      <c r="F80" s="161"/>
      <c r="G80" s="161"/>
    </row>
    <row r="81" spans="1:7">
      <c r="A81" s="680" t="s">
        <v>476</v>
      </c>
      <c r="B81" s="681"/>
      <c r="C81" s="681"/>
      <c r="D81" s="162"/>
      <c r="E81" s="162"/>
      <c r="F81" s="162"/>
      <c r="G81" s="162"/>
    </row>
    <row r="82" spans="1:7" s="91" customFormat="1">
      <c r="A82" s="164">
        <v>50</v>
      </c>
      <c r="B82" s="165"/>
      <c r="C82" s="165" t="s">
        <v>477</v>
      </c>
      <c r="D82" s="95">
        <v>358094.72349</v>
      </c>
      <c r="E82" s="124">
        <v>439181.35600000003</v>
      </c>
      <c r="F82" s="124">
        <v>388374.80186000001</v>
      </c>
      <c r="G82" s="124">
        <v>420076.72428037401</v>
      </c>
    </row>
    <row r="83" spans="1:7" s="91" customFormat="1">
      <c r="A83" s="164">
        <v>51</v>
      </c>
      <c r="B83" s="165"/>
      <c r="C83" s="165" t="s">
        <v>478</v>
      </c>
      <c r="D83" s="95"/>
      <c r="E83" s="124">
        <v>0</v>
      </c>
      <c r="F83" s="124">
        <v>0</v>
      </c>
      <c r="G83" s="124">
        <v>0</v>
      </c>
    </row>
    <row r="84" spans="1:7" s="91" customFormat="1">
      <c r="A84" s="164">
        <v>52</v>
      </c>
      <c r="B84" s="165"/>
      <c r="C84" s="165" t="s">
        <v>479</v>
      </c>
      <c r="D84" s="95">
        <v>39685.623849999996</v>
      </c>
      <c r="E84" s="124">
        <v>25282.9</v>
      </c>
      <c r="F84" s="124">
        <v>23274.643650000002</v>
      </c>
      <c r="G84" s="124">
        <v>28208.073719626202</v>
      </c>
    </row>
    <row r="85" spans="1:7" s="91" customFormat="1">
      <c r="A85" s="166">
        <v>54</v>
      </c>
      <c r="B85" s="167"/>
      <c r="C85" s="167" t="s">
        <v>480</v>
      </c>
      <c r="D85" s="100">
        <v>122920.01319999999</v>
      </c>
      <c r="E85" s="124">
        <v>174400</v>
      </c>
      <c r="F85" s="124">
        <v>129327.23106999999</v>
      </c>
      <c r="G85" s="124">
        <v>187652.31200000001</v>
      </c>
    </row>
    <row r="86" spans="1:7" s="91" customFormat="1">
      <c r="A86" s="166">
        <v>55</v>
      </c>
      <c r="B86" s="167"/>
      <c r="C86" s="167" t="s">
        <v>481</v>
      </c>
      <c r="D86" s="100">
        <v>35591.313000000002</v>
      </c>
      <c r="E86" s="124">
        <v>25000</v>
      </c>
      <c r="F86" s="124">
        <v>23930.909</v>
      </c>
      <c r="G86" s="124">
        <v>25000</v>
      </c>
    </row>
    <row r="87" spans="1:7" s="91" customFormat="1">
      <c r="A87" s="166">
        <v>56</v>
      </c>
      <c r="B87" s="167"/>
      <c r="C87" s="167" t="s">
        <v>482</v>
      </c>
      <c r="D87" s="100">
        <v>79161.769010000004</v>
      </c>
      <c r="E87" s="124">
        <v>138387.9</v>
      </c>
      <c r="F87" s="124">
        <v>73776.764190000002</v>
      </c>
      <c r="G87" s="124">
        <v>133725.32</v>
      </c>
    </row>
    <row r="88" spans="1:7" s="91" customFormat="1">
      <c r="A88" s="164">
        <v>57</v>
      </c>
      <c r="B88" s="165"/>
      <c r="C88" s="165" t="s">
        <v>483</v>
      </c>
      <c r="D88" s="95"/>
      <c r="E88" s="124">
        <v>0</v>
      </c>
      <c r="F88" s="124">
        <v>0</v>
      </c>
      <c r="G88" s="124">
        <v>0</v>
      </c>
    </row>
    <row r="89" spans="1:7" s="195" customFormat="1" ht="28">
      <c r="A89" s="173">
        <v>580</v>
      </c>
      <c r="B89" s="174"/>
      <c r="C89" s="174" t="s">
        <v>484</v>
      </c>
      <c r="D89" s="131"/>
      <c r="E89" s="194">
        <v>0</v>
      </c>
      <c r="F89" s="194">
        <v>0</v>
      </c>
      <c r="G89" s="194">
        <v>0</v>
      </c>
    </row>
    <row r="90" spans="1:7" s="195" customFormat="1" ht="28">
      <c r="A90" s="173">
        <v>582</v>
      </c>
      <c r="B90" s="174"/>
      <c r="C90" s="174" t="s">
        <v>485</v>
      </c>
      <c r="D90" s="131"/>
      <c r="E90" s="194">
        <v>0</v>
      </c>
      <c r="F90" s="194">
        <v>0</v>
      </c>
      <c r="G90" s="194">
        <v>0</v>
      </c>
    </row>
    <row r="91" spans="1:7" s="91" customFormat="1">
      <c r="A91" s="164">
        <v>584</v>
      </c>
      <c r="B91" s="165"/>
      <c r="C91" s="165" t="s">
        <v>486</v>
      </c>
      <c r="D91" s="95"/>
      <c r="E91" s="124">
        <v>0</v>
      </c>
      <c r="F91" s="124">
        <v>0</v>
      </c>
      <c r="G91" s="124">
        <v>0</v>
      </c>
    </row>
    <row r="92" spans="1:7" s="195" customFormat="1" ht="28">
      <c r="A92" s="173">
        <v>585</v>
      </c>
      <c r="B92" s="174"/>
      <c r="C92" s="174" t="s">
        <v>487</v>
      </c>
      <c r="D92" s="131"/>
      <c r="E92" s="194">
        <v>0</v>
      </c>
      <c r="F92" s="194">
        <v>0</v>
      </c>
      <c r="G92" s="194">
        <v>0</v>
      </c>
    </row>
    <row r="93" spans="1:7" s="91" customFormat="1">
      <c r="A93" s="164">
        <v>586</v>
      </c>
      <c r="B93" s="165"/>
      <c r="C93" s="165" t="s">
        <v>488</v>
      </c>
      <c r="D93" s="95"/>
      <c r="E93" s="124">
        <v>0</v>
      </c>
      <c r="F93" s="124">
        <v>0</v>
      </c>
      <c r="G93" s="124">
        <v>0</v>
      </c>
    </row>
    <row r="94" spans="1:7" s="91" customFormat="1">
      <c r="A94" s="168">
        <v>589</v>
      </c>
      <c r="B94" s="169"/>
      <c r="C94" s="169" t="s">
        <v>489</v>
      </c>
      <c r="D94" s="119"/>
      <c r="E94" s="133">
        <v>0</v>
      </c>
      <c r="F94" s="133">
        <v>0</v>
      </c>
      <c r="G94" s="133">
        <v>0</v>
      </c>
    </row>
    <row r="95" spans="1:7">
      <c r="A95" s="170">
        <v>5</v>
      </c>
      <c r="B95" s="171"/>
      <c r="C95" s="171" t="s">
        <v>490</v>
      </c>
      <c r="D95" s="172">
        <f t="shared" ref="D95:G95" si="9">SUM(D82:D94)</f>
        <v>635453.44255000004</v>
      </c>
      <c r="E95" s="172">
        <f t="shared" si="9"/>
        <v>802252.15600000008</v>
      </c>
      <c r="F95" s="172">
        <f t="shared" si="9"/>
        <v>638684.34976999997</v>
      </c>
      <c r="G95" s="172">
        <f t="shared" si="9"/>
        <v>794662.43000000017</v>
      </c>
    </row>
    <row r="96" spans="1:7" s="195" customFormat="1" ht="14">
      <c r="A96" s="173">
        <v>60</v>
      </c>
      <c r="B96" s="174"/>
      <c r="C96" s="174" t="s">
        <v>491</v>
      </c>
      <c r="D96" s="131">
        <v>26531.24121</v>
      </c>
      <c r="E96" s="194">
        <v>22000</v>
      </c>
      <c r="F96" s="194">
        <v>117303.4685</v>
      </c>
      <c r="G96" s="194"/>
    </row>
    <row r="97" spans="1:7" s="195" customFormat="1" ht="14">
      <c r="A97" s="173">
        <v>61</v>
      </c>
      <c r="B97" s="174"/>
      <c r="C97" s="174" t="s">
        <v>492</v>
      </c>
      <c r="D97" s="131"/>
      <c r="E97" s="194"/>
      <c r="F97" s="194"/>
      <c r="G97" s="194"/>
    </row>
    <row r="98" spans="1:7" s="91" customFormat="1">
      <c r="A98" s="164">
        <v>62</v>
      </c>
      <c r="B98" s="165"/>
      <c r="C98" s="165" t="s">
        <v>493</v>
      </c>
      <c r="D98" s="95"/>
      <c r="E98" s="124"/>
      <c r="F98" s="124"/>
      <c r="G98" s="124"/>
    </row>
    <row r="99" spans="1:7" s="91" customFormat="1">
      <c r="A99" s="164">
        <v>63</v>
      </c>
      <c r="B99" s="165"/>
      <c r="C99" s="165" t="s">
        <v>494</v>
      </c>
      <c r="D99" s="95">
        <v>51405.124429999996</v>
      </c>
      <c r="E99" s="124">
        <v>40984</v>
      </c>
      <c r="F99" s="124">
        <v>26166.07273</v>
      </c>
      <c r="G99" s="124">
        <v>21367.19</v>
      </c>
    </row>
    <row r="100" spans="1:7" s="91" customFormat="1">
      <c r="A100" s="164">
        <v>64</v>
      </c>
      <c r="B100" s="165"/>
      <c r="C100" s="165" t="s">
        <v>495</v>
      </c>
      <c r="D100" s="95">
        <v>1511.5247899999999</v>
      </c>
      <c r="E100" s="124">
        <v>3562</v>
      </c>
      <c r="F100" s="124">
        <v>1800.27889</v>
      </c>
      <c r="G100" s="124">
        <v>2323.4250000000002</v>
      </c>
    </row>
    <row r="101" spans="1:7" s="91" customFormat="1">
      <c r="A101" s="164">
        <v>65</v>
      </c>
      <c r="B101" s="165"/>
      <c r="C101" s="165" t="s">
        <v>496</v>
      </c>
      <c r="D101" s="95">
        <v>6</v>
      </c>
      <c r="E101" s="124"/>
      <c r="F101" s="124"/>
      <c r="G101" s="124"/>
    </row>
    <row r="102" spans="1:7" s="195" customFormat="1" ht="14">
      <c r="A102" s="173">
        <v>66</v>
      </c>
      <c r="B102" s="174"/>
      <c r="C102" s="174" t="s">
        <v>497</v>
      </c>
      <c r="D102" s="131"/>
      <c r="E102" s="194"/>
      <c r="F102" s="194"/>
      <c r="G102" s="194"/>
    </row>
    <row r="103" spans="1:7" s="91" customFormat="1">
      <c r="A103" s="164">
        <v>67</v>
      </c>
      <c r="B103" s="165"/>
      <c r="C103" s="165" t="s">
        <v>483</v>
      </c>
      <c r="D103" s="95"/>
      <c r="E103" s="96"/>
      <c r="F103" s="96"/>
      <c r="G103" s="96"/>
    </row>
    <row r="104" spans="1:7" s="91" customFormat="1" ht="42">
      <c r="A104" s="173" t="s">
        <v>266</v>
      </c>
      <c r="B104" s="165"/>
      <c r="C104" s="174" t="s">
        <v>498</v>
      </c>
      <c r="D104" s="95"/>
      <c r="E104" s="124"/>
      <c r="F104" s="124"/>
      <c r="G104" s="124"/>
    </row>
    <row r="105" spans="1:7" s="91" customFormat="1" ht="56.5" customHeight="1">
      <c r="A105" s="175" t="s">
        <v>499</v>
      </c>
      <c r="B105" s="169"/>
      <c r="C105" s="176" t="s">
        <v>500</v>
      </c>
      <c r="D105" s="119"/>
      <c r="E105" s="133"/>
      <c r="F105" s="133"/>
      <c r="G105" s="133"/>
    </row>
    <row r="106" spans="1:7">
      <c r="A106" s="170">
        <v>6</v>
      </c>
      <c r="B106" s="171"/>
      <c r="C106" s="171" t="s">
        <v>501</v>
      </c>
      <c r="D106" s="172">
        <f t="shared" ref="D106:G106" si="10">SUM(D96:D105)</f>
        <v>79453.890429999999</v>
      </c>
      <c r="E106" s="172">
        <f t="shared" si="10"/>
        <v>66546</v>
      </c>
      <c r="F106" s="172">
        <f t="shared" si="10"/>
        <v>145269.82011999999</v>
      </c>
      <c r="G106" s="172">
        <f t="shared" si="10"/>
        <v>23690.614999999998</v>
      </c>
    </row>
    <row r="107" spans="1:7">
      <c r="A107" s="413" t="s">
        <v>271</v>
      </c>
      <c r="B107" s="178"/>
      <c r="C107" s="171" t="s">
        <v>2</v>
      </c>
      <c r="D107" s="172">
        <f t="shared" ref="D107:G107" si="11">(D95-D88)-(D106-D103)</f>
        <v>555999.55212000001</v>
      </c>
      <c r="E107" s="172">
        <f t="shared" si="11"/>
        <v>735706.15600000008</v>
      </c>
      <c r="F107" s="172">
        <f t="shared" si="11"/>
        <v>493414.52964999998</v>
      </c>
      <c r="G107" s="172">
        <f t="shared" si="11"/>
        <v>770971.81500000018</v>
      </c>
    </row>
    <row r="108" spans="1:7">
      <c r="A108" s="414" t="s">
        <v>272</v>
      </c>
      <c r="B108" s="179"/>
      <c r="C108" s="180" t="s">
        <v>502</v>
      </c>
      <c r="D108" s="172">
        <f t="shared" ref="D108:G108" si="12">D107-D85-D86+D100+D101</f>
        <v>399005.75070999999</v>
      </c>
      <c r="E108" s="172">
        <f t="shared" si="12"/>
        <v>539868.15600000008</v>
      </c>
      <c r="F108" s="172">
        <f t="shared" si="12"/>
        <v>341956.66847000003</v>
      </c>
      <c r="G108" s="172">
        <f t="shared" si="12"/>
        <v>560642.92800000019</v>
      </c>
    </row>
    <row r="109" spans="1:7">
      <c r="C109" s="135"/>
      <c r="D109" s="161"/>
      <c r="E109" s="161"/>
      <c r="F109" s="161"/>
      <c r="G109" s="161"/>
    </row>
    <row r="110" spans="1:7">
      <c r="A110" s="415" t="s">
        <v>503</v>
      </c>
      <c r="B110" s="182"/>
      <c r="C110" s="181"/>
      <c r="D110" s="161"/>
      <c r="E110" s="161"/>
      <c r="F110" s="161"/>
      <c r="G110" s="161"/>
    </row>
    <row r="111" spans="1:7" s="91" customFormat="1">
      <c r="A111" s="416">
        <v>10</v>
      </c>
      <c r="B111" s="184"/>
      <c r="C111" s="184" t="s">
        <v>504</v>
      </c>
      <c r="D111" s="185">
        <f t="shared" ref="D111:G111" si="13">D112+D117</f>
        <v>4896305.0286399899</v>
      </c>
      <c r="E111" s="186">
        <f t="shared" si="13"/>
        <v>0</v>
      </c>
      <c r="F111" s="186">
        <f t="shared" si="13"/>
        <v>4587563.5524700005</v>
      </c>
      <c r="G111" s="186">
        <f t="shared" si="13"/>
        <v>0</v>
      </c>
    </row>
    <row r="112" spans="1:7" s="91" customFormat="1">
      <c r="A112" s="187" t="s">
        <v>276</v>
      </c>
      <c r="B112" s="188"/>
      <c r="C112" s="188" t="s">
        <v>505</v>
      </c>
      <c r="D112" s="185">
        <f t="shared" ref="D112:G112" si="14">D113+D114+D115+D116</f>
        <v>3626626.3530999902</v>
      </c>
      <c r="E112" s="186">
        <f t="shared" si="14"/>
        <v>0</v>
      </c>
      <c r="F112" s="186">
        <f t="shared" si="14"/>
        <v>3283084.5604300005</v>
      </c>
      <c r="G112" s="186">
        <f t="shared" si="14"/>
        <v>0</v>
      </c>
    </row>
    <row r="113" spans="1:7" s="91" customFormat="1">
      <c r="A113" s="189" t="s">
        <v>278</v>
      </c>
      <c r="B113" s="190"/>
      <c r="C113" s="190" t="s">
        <v>506</v>
      </c>
      <c r="D113" s="273">
        <v>1095416.3655699999</v>
      </c>
      <c r="E113" s="124"/>
      <c r="F113" s="124">
        <v>1222771.6927700001</v>
      </c>
      <c r="G113" s="124"/>
    </row>
    <row r="114" spans="1:7" s="153" customFormat="1" ht="15" customHeight="1">
      <c r="A114" s="191">
        <v>102</v>
      </c>
      <c r="B114" s="192"/>
      <c r="C114" s="192" t="s">
        <v>507</v>
      </c>
      <c r="D114" s="428">
        <v>371307.07169000001</v>
      </c>
      <c r="E114" s="144"/>
      <c r="F114" s="144">
        <v>367709.57573000004</v>
      </c>
      <c r="G114" s="144"/>
    </row>
    <row r="115" spans="1:7" s="91" customFormat="1">
      <c r="A115" s="189">
        <v>104</v>
      </c>
      <c r="B115" s="190"/>
      <c r="C115" s="190" t="s">
        <v>508</v>
      </c>
      <c r="D115" s="273">
        <v>2144441.6904299902</v>
      </c>
      <c r="E115" s="124"/>
      <c r="F115" s="124">
        <v>1678605.1331500001</v>
      </c>
      <c r="G115" s="124"/>
    </row>
    <row r="116" spans="1:7" s="91" customFormat="1">
      <c r="A116" s="189">
        <v>106</v>
      </c>
      <c r="B116" s="190"/>
      <c r="C116" s="190" t="s">
        <v>509</v>
      </c>
      <c r="D116" s="273">
        <v>15461.225410000001</v>
      </c>
      <c r="E116" s="124"/>
      <c r="F116" s="124">
        <v>13998.15878</v>
      </c>
      <c r="G116" s="124"/>
    </row>
    <row r="117" spans="1:7" s="91" customFormat="1">
      <c r="A117" s="187" t="s">
        <v>283</v>
      </c>
      <c r="B117" s="188"/>
      <c r="C117" s="188" t="s">
        <v>510</v>
      </c>
      <c r="D117" s="185">
        <f t="shared" ref="D117:G117" si="15">D118+D119+D120</f>
        <v>1269678.67554</v>
      </c>
      <c r="E117" s="186">
        <f t="shared" si="15"/>
        <v>0</v>
      </c>
      <c r="F117" s="186">
        <f t="shared" si="15"/>
        <v>1304478.9920399999</v>
      </c>
      <c r="G117" s="186">
        <f t="shared" si="15"/>
        <v>0</v>
      </c>
    </row>
    <row r="118" spans="1:7" s="91" customFormat="1">
      <c r="A118" s="189">
        <v>107</v>
      </c>
      <c r="B118" s="190"/>
      <c r="C118" s="190" t="s">
        <v>511</v>
      </c>
      <c r="D118" s="273">
        <v>660183.6701799999</v>
      </c>
      <c r="E118" s="124"/>
      <c r="F118" s="124">
        <v>702979.10540999996</v>
      </c>
      <c r="G118" s="124"/>
    </row>
    <row r="119" spans="1:7" s="91" customFormat="1">
      <c r="A119" s="189">
        <v>108</v>
      </c>
      <c r="B119" s="190"/>
      <c r="C119" s="190" t="s">
        <v>512</v>
      </c>
      <c r="D119" s="95">
        <v>609495.00536000007</v>
      </c>
      <c r="E119" s="124"/>
      <c r="F119" s="124">
        <v>601499.88662999996</v>
      </c>
      <c r="G119" s="124"/>
    </row>
    <row r="120" spans="1:7" s="195" customFormat="1" ht="28">
      <c r="A120" s="191">
        <v>109</v>
      </c>
      <c r="B120" s="193"/>
      <c r="C120" s="193" t="s">
        <v>513</v>
      </c>
      <c r="D120" s="131">
        <v>0</v>
      </c>
      <c r="E120" s="194"/>
      <c r="F120" s="194">
        <v>0</v>
      </c>
      <c r="G120" s="194"/>
    </row>
    <row r="121" spans="1:7" s="91" customFormat="1">
      <c r="A121" s="187">
        <v>14</v>
      </c>
      <c r="B121" s="188"/>
      <c r="C121" s="188" t="s">
        <v>514</v>
      </c>
      <c r="D121" s="185">
        <f t="shared" ref="D121:G121" si="16">SUM(D122:D130)</f>
        <v>15263316.163930001</v>
      </c>
      <c r="E121" s="185">
        <f t="shared" si="16"/>
        <v>0</v>
      </c>
      <c r="F121" s="185">
        <f t="shared" si="16"/>
        <v>15350731.409500001</v>
      </c>
      <c r="G121" s="185">
        <f t="shared" si="16"/>
        <v>0</v>
      </c>
    </row>
    <row r="122" spans="1:7" s="91" customFormat="1">
      <c r="A122" s="189" t="s">
        <v>289</v>
      </c>
      <c r="B122" s="190"/>
      <c r="C122" s="190" t="s">
        <v>515</v>
      </c>
      <c r="D122" s="273">
        <v>13156065.210070001</v>
      </c>
      <c r="E122" s="124"/>
      <c r="F122" s="124">
        <v>13044935.93891</v>
      </c>
      <c r="G122" s="124"/>
    </row>
    <row r="123" spans="1:7" s="91" customFormat="1">
      <c r="A123" s="189">
        <v>144</v>
      </c>
      <c r="B123" s="190"/>
      <c r="C123" s="190" t="s">
        <v>480</v>
      </c>
      <c r="D123" s="273">
        <v>353133.97925999999</v>
      </c>
      <c r="E123" s="124"/>
      <c r="F123" s="124">
        <v>477317.13535</v>
      </c>
      <c r="G123" s="124"/>
    </row>
    <row r="124" spans="1:7" s="91" customFormat="1">
      <c r="A124" s="189">
        <v>145</v>
      </c>
      <c r="B124" s="190"/>
      <c r="C124" s="190" t="s">
        <v>516</v>
      </c>
      <c r="D124" s="273">
        <v>954638.63535</v>
      </c>
      <c r="E124" s="196"/>
      <c r="F124" s="124">
        <v>1016546.0385499999</v>
      </c>
      <c r="G124" s="196"/>
    </row>
    <row r="125" spans="1:7" s="91" customFormat="1">
      <c r="A125" s="189">
        <v>146</v>
      </c>
      <c r="B125" s="190"/>
      <c r="C125" s="190" t="s">
        <v>517</v>
      </c>
      <c r="D125" s="273">
        <v>799478.33924999996</v>
      </c>
      <c r="E125" s="196"/>
      <c r="F125" s="124">
        <v>811932.2966900001</v>
      </c>
      <c r="G125" s="196"/>
    </row>
    <row r="126" spans="1:7" s="195" customFormat="1" ht="29.5" customHeight="1">
      <c r="A126" s="191" t="s">
        <v>293</v>
      </c>
      <c r="B126" s="193"/>
      <c r="C126" s="193" t="s">
        <v>518</v>
      </c>
      <c r="D126" s="131">
        <v>0</v>
      </c>
      <c r="E126" s="197"/>
      <c r="F126" s="197"/>
      <c r="G126" s="197"/>
    </row>
    <row r="127" spans="1:7" s="91" customFormat="1">
      <c r="A127" s="189">
        <v>1484</v>
      </c>
      <c r="B127" s="190"/>
      <c r="C127" s="190" t="s">
        <v>519</v>
      </c>
      <c r="D127" s="95">
        <v>0</v>
      </c>
      <c r="E127" s="196"/>
      <c r="F127" s="196"/>
      <c r="G127" s="196"/>
    </row>
    <row r="128" spans="1:7" s="195" customFormat="1" ht="14">
      <c r="A128" s="191">
        <v>1485</v>
      </c>
      <c r="B128" s="193"/>
      <c r="C128" s="193" t="s">
        <v>520</v>
      </c>
      <c r="D128" s="131">
        <v>0</v>
      </c>
      <c r="E128" s="197"/>
      <c r="F128" s="197"/>
      <c r="G128" s="197"/>
    </row>
    <row r="129" spans="1:7" s="195" customFormat="1" ht="28">
      <c r="A129" s="191">
        <v>1486</v>
      </c>
      <c r="B129" s="193"/>
      <c r="C129" s="193" t="s">
        <v>521</v>
      </c>
      <c r="D129" s="131">
        <v>0</v>
      </c>
      <c r="E129" s="197"/>
      <c r="F129" s="197"/>
      <c r="G129" s="197"/>
    </row>
    <row r="130" spans="1:7" s="195" customFormat="1" ht="14">
      <c r="A130" s="417">
        <v>1489</v>
      </c>
      <c r="B130" s="418"/>
      <c r="C130" s="418" t="s">
        <v>522</v>
      </c>
      <c r="D130" s="419">
        <v>0</v>
      </c>
      <c r="E130" s="420"/>
      <c r="F130" s="420"/>
      <c r="G130" s="420"/>
    </row>
    <row r="131" spans="1:7">
      <c r="A131" s="421">
        <v>1</v>
      </c>
      <c r="B131" s="202"/>
      <c r="C131" s="201" t="s">
        <v>523</v>
      </c>
      <c r="D131" s="203">
        <f t="shared" ref="D131:G131" si="17">D111+D121</f>
        <v>20159621.19256999</v>
      </c>
      <c r="E131" s="203">
        <f t="shared" si="17"/>
        <v>0</v>
      </c>
      <c r="F131" s="203">
        <f t="shared" si="17"/>
        <v>19938294.961970001</v>
      </c>
      <c r="G131" s="203">
        <f t="shared" si="17"/>
        <v>0</v>
      </c>
    </row>
    <row r="132" spans="1:7">
      <c r="C132" s="135"/>
      <c r="D132" s="161"/>
      <c r="E132" s="161"/>
      <c r="F132" s="161"/>
      <c r="G132" s="161"/>
    </row>
    <row r="133" spans="1:7" s="91" customFormat="1">
      <c r="A133" s="416">
        <v>20</v>
      </c>
      <c r="B133" s="184"/>
      <c r="C133" s="184" t="s">
        <v>524</v>
      </c>
      <c r="D133" s="204">
        <f t="shared" ref="D133:G133" si="18">D134+D140</f>
        <v>17538578.31944</v>
      </c>
      <c r="E133" s="318">
        <f t="shared" si="18"/>
        <v>0</v>
      </c>
      <c r="F133" s="318">
        <f t="shared" si="18"/>
        <v>17262743.590719998</v>
      </c>
      <c r="G133" s="318">
        <f t="shared" si="18"/>
        <v>0</v>
      </c>
    </row>
    <row r="134" spans="1:7" s="91" customFormat="1">
      <c r="A134" s="205" t="s">
        <v>301</v>
      </c>
      <c r="B134" s="188"/>
      <c r="C134" s="188" t="s">
        <v>525</v>
      </c>
      <c r="D134" s="185">
        <f t="shared" ref="D134:G134" si="19">D135+D136+D138+D139</f>
        <v>6317642.7621299997</v>
      </c>
      <c r="E134" s="186">
        <f t="shared" si="19"/>
        <v>0</v>
      </c>
      <c r="F134" s="186">
        <f t="shared" si="19"/>
        <v>6094033.8314799992</v>
      </c>
      <c r="G134" s="186">
        <f t="shared" si="19"/>
        <v>0</v>
      </c>
    </row>
    <row r="135" spans="1:7" s="106" customFormat="1">
      <c r="A135" s="206">
        <v>200</v>
      </c>
      <c r="B135" s="190"/>
      <c r="C135" s="190" t="s">
        <v>526</v>
      </c>
      <c r="D135" s="273">
        <v>2539275.0135300001</v>
      </c>
      <c r="E135" s="124"/>
      <c r="F135" s="124">
        <v>2729215.9279899998</v>
      </c>
      <c r="G135" s="124"/>
    </row>
    <row r="136" spans="1:7" s="106" customFormat="1">
      <c r="A136" s="206">
        <v>201</v>
      </c>
      <c r="B136" s="190"/>
      <c r="C136" s="190" t="s">
        <v>527</v>
      </c>
      <c r="D136" s="273">
        <v>3405732.3186999997</v>
      </c>
      <c r="E136" s="124"/>
      <c r="F136" s="124">
        <v>2934338.6126000001</v>
      </c>
      <c r="G136" s="124"/>
    </row>
    <row r="137" spans="1:7" s="106" customFormat="1">
      <c r="A137" s="207" t="s">
        <v>528</v>
      </c>
      <c r="B137" s="208"/>
      <c r="C137" s="208" t="s">
        <v>529</v>
      </c>
      <c r="D137" s="429"/>
      <c r="E137" s="209"/>
      <c r="F137" s="209"/>
      <c r="G137" s="209"/>
    </row>
    <row r="138" spans="1:7" s="106" customFormat="1">
      <c r="A138" s="206">
        <v>204</v>
      </c>
      <c r="B138" s="190"/>
      <c r="C138" s="190" t="s">
        <v>530</v>
      </c>
      <c r="D138" s="273">
        <v>281868.08510000003</v>
      </c>
      <c r="E138" s="196"/>
      <c r="F138" s="124">
        <v>286183.08541</v>
      </c>
      <c r="G138" s="196"/>
    </row>
    <row r="139" spans="1:7" s="106" customFormat="1">
      <c r="A139" s="206">
        <v>205</v>
      </c>
      <c r="B139" s="190"/>
      <c r="C139" s="190" t="s">
        <v>531</v>
      </c>
      <c r="D139" s="273">
        <v>90767.344799999992</v>
      </c>
      <c r="E139" s="196"/>
      <c r="F139" s="124">
        <v>144296.20547999998</v>
      </c>
      <c r="G139" s="196"/>
    </row>
    <row r="140" spans="1:7" s="106" customFormat="1">
      <c r="A140" s="205" t="s">
        <v>309</v>
      </c>
      <c r="B140" s="188"/>
      <c r="C140" s="188" t="s">
        <v>532</v>
      </c>
      <c r="D140" s="185">
        <f t="shared" ref="D140:G140" si="20">D141+D143+D144</f>
        <v>11220935.55731</v>
      </c>
      <c r="E140" s="186">
        <f t="shared" si="20"/>
        <v>0</v>
      </c>
      <c r="F140" s="186">
        <f t="shared" si="20"/>
        <v>11168709.75924</v>
      </c>
      <c r="G140" s="186">
        <f t="shared" si="20"/>
        <v>0</v>
      </c>
    </row>
    <row r="141" spans="1:7" s="106" customFormat="1">
      <c r="A141" s="206">
        <v>206</v>
      </c>
      <c r="B141" s="190"/>
      <c r="C141" s="190" t="s">
        <v>533</v>
      </c>
      <c r="D141" s="273">
        <v>10840322.441639999</v>
      </c>
      <c r="E141" s="196"/>
      <c r="F141" s="124">
        <v>10595425.515520001</v>
      </c>
      <c r="G141" s="196"/>
    </row>
    <row r="142" spans="1:7" s="106" customFormat="1">
      <c r="A142" s="207" t="s">
        <v>534</v>
      </c>
      <c r="B142" s="208"/>
      <c r="C142" s="208" t="s">
        <v>535</v>
      </c>
      <c r="D142" s="274">
        <v>647042.09949000005</v>
      </c>
      <c r="E142" s="209"/>
      <c r="F142" s="132">
        <v>657897.54729999998</v>
      </c>
      <c r="G142" s="209"/>
    </row>
    <row r="143" spans="1:7" s="106" customFormat="1">
      <c r="A143" s="206">
        <v>208</v>
      </c>
      <c r="B143" s="190"/>
      <c r="C143" s="190" t="s">
        <v>536</v>
      </c>
      <c r="D143" s="273">
        <v>360124.424</v>
      </c>
      <c r="E143" s="196"/>
      <c r="F143" s="124">
        <v>553405.10024000006</v>
      </c>
      <c r="G143" s="196"/>
    </row>
    <row r="144" spans="1:7" s="111" customFormat="1" ht="28">
      <c r="A144" s="191">
        <v>209</v>
      </c>
      <c r="B144" s="193"/>
      <c r="C144" s="193" t="s">
        <v>537</v>
      </c>
      <c r="D144" s="426">
        <v>20488.69167</v>
      </c>
      <c r="E144" s="197"/>
      <c r="F144" s="194">
        <v>19879.143479999999</v>
      </c>
      <c r="G144" s="197"/>
    </row>
    <row r="145" spans="1:7" s="91" customFormat="1">
      <c r="A145" s="205">
        <v>29</v>
      </c>
      <c r="B145" s="188"/>
      <c r="C145" s="188" t="s">
        <v>538</v>
      </c>
      <c r="D145" s="430">
        <v>2621042.8739999998</v>
      </c>
      <c r="E145" s="196"/>
      <c r="F145" s="196">
        <v>2675551.3709999998</v>
      </c>
      <c r="G145" s="196"/>
    </row>
    <row r="146" spans="1:7" s="91" customFormat="1">
      <c r="A146" s="211" t="s">
        <v>539</v>
      </c>
      <c r="B146" s="212"/>
      <c r="C146" s="212" t="s">
        <v>540</v>
      </c>
      <c r="D146" s="431">
        <v>1373463.672</v>
      </c>
      <c r="E146" s="139"/>
      <c r="F146" s="139">
        <v>1696717.1310000001</v>
      </c>
      <c r="G146" s="139"/>
    </row>
    <row r="147" spans="1:7">
      <c r="A147" s="421">
        <v>2</v>
      </c>
      <c r="B147" s="202"/>
      <c r="C147" s="201" t="s">
        <v>541</v>
      </c>
      <c r="D147" s="203">
        <f t="shared" ref="D147:G147" si="21">D133+D145</f>
        <v>20159621.193439998</v>
      </c>
      <c r="E147" s="203">
        <f t="shared" si="21"/>
        <v>0</v>
      </c>
      <c r="F147" s="203">
        <f t="shared" si="21"/>
        <v>19938294.961719997</v>
      </c>
      <c r="G147" s="203">
        <f t="shared" si="21"/>
        <v>0</v>
      </c>
    </row>
    <row r="148" spans="1:7" ht="7.5" customHeight="1"/>
    <row r="149" spans="1:7" ht="13.5" customHeight="1">
      <c r="A149" s="422" t="s">
        <v>542</v>
      </c>
      <c r="B149" s="214"/>
      <c r="C149" s="215"/>
      <c r="D149" s="214"/>
      <c r="E149" s="214"/>
      <c r="F149" s="214"/>
      <c r="G149" s="214"/>
    </row>
    <row r="150" spans="1:7">
      <c r="A150" s="217" t="s">
        <v>543</v>
      </c>
      <c r="B150" s="217"/>
      <c r="C150" s="217" t="s">
        <v>137</v>
      </c>
      <c r="D150" s="218">
        <f t="shared" ref="D150:G150" si="22">D77+SUM(D8:D12)-D30-D31+D16-D33+D59+D63-D73+D64-D74-D54+D20-D35</f>
        <v>452887.30324999837</v>
      </c>
      <c r="E150" s="218">
        <f t="shared" si="22"/>
        <v>450756.99899999826</v>
      </c>
      <c r="F150" s="218">
        <f t="shared" si="22"/>
        <v>440898.2398999994</v>
      </c>
      <c r="G150" s="218">
        <f t="shared" si="22"/>
        <v>450929.87100000039</v>
      </c>
    </row>
    <row r="151" spans="1:7">
      <c r="A151" s="220" t="s">
        <v>544</v>
      </c>
      <c r="B151" s="220"/>
      <c r="C151" s="220" t="s">
        <v>545</v>
      </c>
      <c r="D151" s="221">
        <f t="shared" ref="D151:G151" si="23">IF(D177=0,0,D150/D177)</f>
        <v>5.6986883278007411E-2</v>
      </c>
      <c r="E151" s="221">
        <f t="shared" si="23"/>
        <v>5.7544412658092209E-2</v>
      </c>
      <c r="F151" s="221">
        <f t="shared" si="23"/>
        <v>5.4603153943833166E-2</v>
      </c>
      <c r="G151" s="221">
        <f t="shared" si="23"/>
        <v>5.6926888605620028E-2</v>
      </c>
    </row>
    <row r="152" spans="1:7" s="296" customFormat="1" ht="28">
      <c r="A152" s="223" t="s">
        <v>546</v>
      </c>
      <c r="B152" s="223"/>
      <c r="C152" s="223" t="s">
        <v>547</v>
      </c>
      <c r="D152" s="241">
        <f t="shared" ref="D152:G152" si="24">IF(D107=0,0,D150/D107)</f>
        <v>0.81454616559160975</v>
      </c>
      <c r="E152" s="241">
        <f t="shared" si="24"/>
        <v>0.61268618635834582</v>
      </c>
      <c r="F152" s="241">
        <f t="shared" si="24"/>
        <v>0.89356557905327061</v>
      </c>
      <c r="G152" s="241">
        <f t="shared" si="24"/>
        <v>0.58488502721724045</v>
      </c>
    </row>
    <row r="153" spans="1:7" s="296" customFormat="1" ht="28">
      <c r="A153" s="227" t="s">
        <v>546</v>
      </c>
      <c r="B153" s="227"/>
      <c r="C153" s="227" t="s">
        <v>548</v>
      </c>
      <c r="D153" s="423">
        <f t="shared" ref="D153:G153" si="25">IF(0=D108,0,D150/D108)</f>
        <v>1.1350395387638406</v>
      </c>
      <c r="E153" s="423">
        <f t="shared" si="25"/>
        <v>0.83493903833809047</v>
      </c>
      <c r="F153" s="423">
        <f t="shared" si="25"/>
        <v>1.2893394998632102</v>
      </c>
      <c r="G153" s="423">
        <f t="shared" si="25"/>
        <v>0.80430849740425203</v>
      </c>
    </row>
    <row r="154" spans="1:7" s="296" customFormat="1" ht="28">
      <c r="A154" s="230" t="s">
        <v>549</v>
      </c>
      <c r="B154" s="230"/>
      <c r="C154" s="230" t="s">
        <v>550</v>
      </c>
      <c r="D154" s="231">
        <f t="shared" ref="D154:G154" si="26">D150-D107</f>
        <v>-103112.24887000164</v>
      </c>
      <c r="E154" s="231">
        <f t="shared" si="26"/>
        <v>-284949.15700000181</v>
      </c>
      <c r="F154" s="231">
        <f t="shared" si="26"/>
        <v>-52516.289750000578</v>
      </c>
      <c r="G154" s="231">
        <f t="shared" si="26"/>
        <v>-320041.94399999978</v>
      </c>
    </row>
    <row r="155" spans="1:7" ht="27.5" customHeight="1">
      <c r="A155" s="233" t="s">
        <v>551</v>
      </c>
      <c r="B155" s="233"/>
      <c r="C155" s="233" t="s">
        <v>552</v>
      </c>
      <c r="D155" s="234">
        <f t="shared" ref="D155:G155" si="27">D150-D108</f>
        <v>53881.552539998374</v>
      </c>
      <c r="E155" s="234">
        <f t="shared" si="27"/>
        <v>-89111.157000001811</v>
      </c>
      <c r="F155" s="234">
        <f t="shared" si="27"/>
        <v>98941.571429999371</v>
      </c>
      <c r="G155" s="234">
        <f t="shared" si="27"/>
        <v>-109713.0569999998</v>
      </c>
    </row>
    <row r="156" spans="1:7">
      <c r="A156" s="217" t="s">
        <v>553</v>
      </c>
      <c r="B156" s="217"/>
      <c r="C156" s="217" t="s">
        <v>554</v>
      </c>
      <c r="D156" s="235">
        <f t="shared" ref="D156:G156" si="28">D135+D136-D137+D141-D142</f>
        <v>16138287.674379999</v>
      </c>
      <c r="E156" s="235">
        <f t="shared" si="28"/>
        <v>0</v>
      </c>
      <c r="F156" s="235">
        <f t="shared" si="28"/>
        <v>15601082.50881</v>
      </c>
      <c r="G156" s="235">
        <f t="shared" si="28"/>
        <v>0</v>
      </c>
    </row>
    <row r="157" spans="1:7">
      <c r="A157" s="237" t="s">
        <v>555</v>
      </c>
      <c r="B157" s="237"/>
      <c r="C157" s="237" t="s">
        <v>556</v>
      </c>
      <c r="D157" s="238">
        <f t="shared" ref="D157:G157" si="29">IF(D177=0,0,D156/D177)</f>
        <v>2.0306833717948836</v>
      </c>
      <c r="E157" s="238">
        <f t="shared" si="29"/>
        <v>0</v>
      </c>
      <c r="F157" s="238">
        <f t="shared" si="29"/>
        <v>1.9321200059955073</v>
      </c>
      <c r="G157" s="238">
        <f t="shared" si="29"/>
        <v>0</v>
      </c>
    </row>
    <row r="158" spans="1:7">
      <c r="A158" s="217" t="s">
        <v>557</v>
      </c>
      <c r="B158" s="217"/>
      <c r="C158" s="217" t="s">
        <v>558</v>
      </c>
      <c r="D158" s="235">
        <f t="shared" ref="D158:G158" si="30">D133-D142-D111</f>
        <v>11995231.191310007</v>
      </c>
      <c r="E158" s="235">
        <f t="shared" si="30"/>
        <v>0</v>
      </c>
      <c r="F158" s="235">
        <f t="shared" si="30"/>
        <v>12017282.490949998</v>
      </c>
      <c r="G158" s="235">
        <f t="shared" si="30"/>
        <v>0</v>
      </c>
    </row>
    <row r="159" spans="1:7">
      <c r="A159" s="220" t="s">
        <v>559</v>
      </c>
      <c r="B159" s="220"/>
      <c r="C159" s="220" t="s">
        <v>560</v>
      </c>
      <c r="D159" s="239">
        <f t="shared" ref="D159:G159" si="31">D121-D123-D124-D142-D145</f>
        <v>10687458.575830001</v>
      </c>
      <c r="E159" s="239">
        <f t="shared" si="31"/>
        <v>0</v>
      </c>
      <c r="F159" s="239">
        <f t="shared" si="31"/>
        <v>10523419.317300001</v>
      </c>
      <c r="G159" s="239">
        <f t="shared" si="31"/>
        <v>0</v>
      </c>
    </row>
    <row r="160" spans="1:7">
      <c r="A160" s="220" t="s">
        <v>561</v>
      </c>
      <c r="B160" s="220"/>
      <c r="C160" s="220" t="s">
        <v>562</v>
      </c>
      <c r="D160" s="240">
        <f t="shared" ref="D160:G160" si="32">IF(D175=0,"-",1000*D158/D175)</f>
        <v>24858.264392564437</v>
      </c>
      <c r="E160" s="240">
        <f t="shared" si="32"/>
        <v>0</v>
      </c>
      <c r="F160" s="240">
        <f t="shared" si="32"/>
        <v>24496.170824924877</v>
      </c>
      <c r="G160" s="240">
        <f t="shared" si="32"/>
        <v>0</v>
      </c>
    </row>
    <row r="161" spans="1:7">
      <c r="A161" s="220" t="s">
        <v>561</v>
      </c>
      <c r="B161" s="220"/>
      <c r="C161" s="220" t="s">
        <v>563</v>
      </c>
      <c r="D161" s="239">
        <f t="shared" ref="D161:G161" si="33">IF(D175=0,0,1000*(D159/D175))</f>
        <v>22148.107587541061</v>
      </c>
      <c r="E161" s="239">
        <f t="shared" si="33"/>
        <v>0</v>
      </c>
      <c r="F161" s="239">
        <f t="shared" si="33"/>
        <v>21451.062455511663</v>
      </c>
      <c r="G161" s="239">
        <f t="shared" si="33"/>
        <v>0</v>
      </c>
    </row>
    <row r="162" spans="1:7">
      <c r="A162" s="237" t="s">
        <v>564</v>
      </c>
      <c r="B162" s="237"/>
      <c r="C162" s="237" t="s">
        <v>565</v>
      </c>
      <c r="D162" s="238">
        <f t="shared" ref="D162:G162" si="34">IF((D22+D23+D65+D66)=0,0,D158/(D22+D23+D65+D66))</f>
        <v>1.9521722464238573</v>
      </c>
      <c r="E162" s="238">
        <f t="shared" si="34"/>
        <v>0</v>
      </c>
      <c r="F162" s="238">
        <f t="shared" si="34"/>
        <v>1.9876433331803793</v>
      </c>
      <c r="G162" s="238">
        <f t="shared" si="34"/>
        <v>0</v>
      </c>
    </row>
    <row r="163" spans="1:7">
      <c r="A163" s="220" t="s">
        <v>566</v>
      </c>
      <c r="B163" s="220"/>
      <c r="C163" s="220" t="s">
        <v>567</v>
      </c>
      <c r="D163" s="218">
        <f t="shared" ref="D163:G163" si="35">D145</f>
        <v>2621042.8739999998</v>
      </c>
      <c r="E163" s="218">
        <f t="shared" si="35"/>
        <v>0</v>
      </c>
      <c r="F163" s="218">
        <f t="shared" si="35"/>
        <v>2675551.3709999998</v>
      </c>
      <c r="G163" s="218">
        <f t="shared" si="35"/>
        <v>0</v>
      </c>
    </row>
    <row r="164" spans="1:7" ht="28">
      <c r="A164" s="223" t="s">
        <v>568</v>
      </c>
      <c r="B164" s="237"/>
      <c r="C164" s="237" t="s">
        <v>569</v>
      </c>
      <c r="D164" s="241">
        <f t="shared" ref="D164:G164" si="36">IF(D178=0,0,D146/D178)</f>
        <v>0.17293468899300712</v>
      </c>
      <c r="E164" s="241">
        <f t="shared" si="36"/>
        <v>0</v>
      </c>
      <c r="F164" s="241">
        <f t="shared" si="36"/>
        <v>0.20958983527045996</v>
      </c>
      <c r="G164" s="241">
        <f t="shared" si="36"/>
        <v>0</v>
      </c>
    </row>
    <row r="165" spans="1:7">
      <c r="A165" s="243" t="s">
        <v>570</v>
      </c>
      <c r="B165" s="243"/>
      <c r="C165" s="243" t="s">
        <v>571</v>
      </c>
      <c r="D165" s="244">
        <f t="shared" ref="D165:G165" si="37">IF(D177=0,0,D180/D177)</f>
        <v>7.4998594435678981E-2</v>
      </c>
      <c r="E165" s="244">
        <f t="shared" si="37"/>
        <v>7.2781809761915159E-2</v>
      </c>
      <c r="F165" s="244">
        <f t="shared" si="37"/>
        <v>7.1873736386889375E-2</v>
      </c>
      <c r="G165" s="244">
        <f t="shared" si="37"/>
        <v>7.1438026540013341E-2</v>
      </c>
    </row>
    <row r="166" spans="1:7">
      <c r="A166" s="220" t="s">
        <v>572</v>
      </c>
      <c r="B166" s="220"/>
      <c r="C166" s="220" t="s">
        <v>573</v>
      </c>
      <c r="D166" s="218">
        <f t="shared" ref="D166:G166" si="38">D55</f>
        <v>-10474.715499999991</v>
      </c>
      <c r="E166" s="218">
        <f t="shared" si="38"/>
        <v>-821.72200000003795</v>
      </c>
      <c r="F166" s="218">
        <f t="shared" si="38"/>
        <v>20631.5239</v>
      </c>
      <c r="G166" s="218">
        <f t="shared" si="38"/>
        <v>22764.255999999994</v>
      </c>
    </row>
    <row r="167" spans="1:7" s="296" customFormat="1" ht="28">
      <c r="A167" s="223" t="s">
        <v>574</v>
      </c>
      <c r="B167" s="237"/>
      <c r="C167" s="237" t="s">
        <v>575</v>
      </c>
      <c r="D167" s="241">
        <f t="shared" ref="D167:G167" si="39">IF(0=D111,0,(D44+D45+D46+D47+D48)/D111)</f>
        <v>2.2628404517676639E-2</v>
      </c>
      <c r="E167" s="241">
        <f t="shared" si="39"/>
        <v>0</v>
      </c>
      <c r="F167" s="241">
        <f t="shared" si="39"/>
        <v>2.8678208387797659E-2</v>
      </c>
      <c r="G167" s="241">
        <f t="shared" si="39"/>
        <v>0</v>
      </c>
    </row>
    <row r="168" spans="1:7">
      <c r="A168" s="220" t="s">
        <v>576</v>
      </c>
      <c r="B168" s="217"/>
      <c r="C168" s="217" t="s">
        <v>577</v>
      </c>
      <c r="D168" s="218">
        <f t="shared" ref="D168:G168" si="40">D38-D44</f>
        <v>145926.14490000001</v>
      </c>
      <c r="E168" s="218">
        <f t="shared" si="40"/>
        <v>129620.376</v>
      </c>
      <c r="F168" s="218">
        <f t="shared" si="40"/>
        <v>115902.03176000001</v>
      </c>
      <c r="G168" s="218">
        <f t="shared" si="40"/>
        <v>121201.007</v>
      </c>
    </row>
    <row r="169" spans="1:7">
      <c r="A169" s="237" t="s">
        <v>578</v>
      </c>
      <c r="B169" s="237"/>
      <c r="C169" s="237" t="s">
        <v>579</v>
      </c>
      <c r="D169" s="221">
        <f t="shared" ref="D169:G169" si="41">IF(D177=0,0,D168/D177)</f>
        <v>1.8361910627544022E-2</v>
      </c>
      <c r="E169" s="221">
        <f t="shared" si="41"/>
        <v>1.6547559820454614E-2</v>
      </c>
      <c r="F169" s="221">
        <f t="shared" si="41"/>
        <v>1.4353916413977343E-2</v>
      </c>
      <c r="G169" s="221">
        <f t="shared" si="41"/>
        <v>1.5300818748328091E-2</v>
      </c>
    </row>
    <row r="170" spans="1:7">
      <c r="A170" s="220" t="s">
        <v>580</v>
      </c>
      <c r="B170" s="220"/>
      <c r="C170" s="220" t="s">
        <v>581</v>
      </c>
      <c r="D170" s="218">
        <f t="shared" ref="D170:G170" si="42">SUM(D82:D87)+SUM(D89:D94)</f>
        <v>635453.44255000004</v>
      </c>
      <c r="E170" s="218">
        <f t="shared" si="42"/>
        <v>802252.15600000008</v>
      </c>
      <c r="F170" s="218">
        <f t="shared" si="42"/>
        <v>638684.34976999997</v>
      </c>
      <c r="G170" s="218">
        <f t="shared" si="42"/>
        <v>794662.43000000017</v>
      </c>
    </row>
    <row r="171" spans="1:7">
      <c r="A171" s="220" t="s">
        <v>582</v>
      </c>
      <c r="B171" s="220"/>
      <c r="C171" s="220" t="s">
        <v>583</v>
      </c>
      <c r="D171" s="239">
        <f t="shared" ref="D171:G171" si="43">SUM(D96:D102)+SUM(D104:D105)</f>
        <v>79453.890429999999</v>
      </c>
      <c r="E171" s="239">
        <f t="shared" si="43"/>
        <v>66546</v>
      </c>
      <c r="F171" s="239">
        <f t="shared" si="43"/>
        <v>145269.82011999999</v>
      </c>
      <c r="G171" s="239">
        <f t="shared" si="43"/>
        <v>23690.614999999998</v>
      </c>
    </row>
    <row r="172" spans="1:7">
      <c r="A172" s="243" t="s">
        <v>584</v>
      </c>
      <c r="B172" s="243"/>
      <c r="C172" s="243" t="s">
        <v>585</v>
      </c>
      <c r="D172" s="244">
        <f t="shared" ref="D172:G172" si="44">IF(D184=0,0,D170/D184)</f>
        <v>7.8526916048282186E-2</v>
      </c>
      <c r="E172" s="244">
        <f t="shared" si="44"/>
        <v>9.8654039265919022E-2</v>
      </c>
      <c r="F172" s="244">
        <f t="shared" si="44"/>
        <v>7.7668647793361065E-2</v>
      </c>
      <c r="G172" s="244">
        <f t="shared" si="44"/>
        <v>9.660967177425879E-2</v>
      </c>
    </row>
    <row r="174" spans="1:7">
      <c r="A174" s="432" t="s">
        <v>586</v>
      </c>
      <c r="C174" s="135"/>
      <c r="D174" s="433"/>
      <c r="E174" s="433"/>
      <c r="F174" s="433"/>
      <c r="G174" s="433"/>
    </row>
    <row r="175" spans="1:7" s="91" customFormat="1">
      <c r="A175" s="389" t="s">
        <v>587</v>
      </c>
      <c r="B175" s="84"/>
      <c r="C175" s="84" t="s">
        <v>588</v>
      </c>
      <c r="D175" s="433">
        <v>482545</v>
      </c>
      <c r="E175" s="433">
        <v>490578</v>
      </c>
      <c r="F175" s="245">
        <v>490578</v>
      </c>
      <c r="G175" s="245">
        <v>490578</v>
      </c>
    </row>
    <row r="176" spans="1:7">
      <c r="A176" s="310" t="s">
        <v>589</v>
      </c>
      <c r="B176" s="248"/>
      <c r="C176" s="248"/>
      <c r="D176" s="248"/>
      <c r="E176" s="248"/>
      <c r="F176" s="248"/>
      <c r="G176" s="248"/>
    </row>
    <row r="177" spans="1:7">
      <c r="A177" s="312" t="s">
        <v>590</v>
      </c>
      <c r="B177" s="248"/>
      <c r="C177" s="248" t="s">
        <v>591</v>
      </c>
      <c r="D177" s="249">
        <f t="shared" ref="D177:G177" si="45">SUM(D22:D32)+SUM(D44:D53)+SUM(D65:D72)+D75</f>
        <v>7947220.082919999</v>
      </c>
      <c r="E177" s="249">
        <f t="shared" si="45"/>
        <v>7833201.8379999986</v>
      </c>
      <c r="F177" s="249">
        <f t="shared" si="45"/>
        <v>8074592.9136899989</v>
      </c>
      <c r="G177" s="249">
        <f t="shared" si="45"/>
        <v>7921210.557</v>
      </c>
    </row>
    <row r="178" spans="1:7">
      <c r="A178" s="312" t="s">
        <v>592</v>
      </c>
      <c r="B178" s="248"/>
      <c r="C178" s="248" t="s">
        <v>593</v>
      </c>
      <c r="D178" s="249">
        <f t="shared" ref="D178:G178" si="46">D78-D17-D20-D59-D63-D64</f>
        <v>7942094.6716800006</v>
      </c>
      <c r="E178" s="249">
        <f t="shared" si="46"/>
        <v>7819442.3090000004</v>
      </c>
      <c r="F178" s="249">
        <f t="shared" si="46"/>
        <v>8095417.0740699992</v>
      </c>
      <c r="G178" s="249">
        <f t="shared" si="46"/>
        <v>7911778.2019999996</v>
      </c>
    </row>
    <row r="179" spans="1:7">
      <c r="A179" s="312"/>
      <c r="B179" s="248"/>
      <c r="C179" s="248" t="s">
        <v>594</v>
      </c>
      <c r="D179" s="249">
        <f t="shared" ref="D179:G179" si="47">D178+D170</f>
        <v>8577548.1142300013</v>
      </c>
      <c r="E179" s="249">
        <f t="shared" si="47"/>
        <v>8621694.4649999999</v>
      </c>
      <c r="F179" s="249">
        <f t="shared" si="47"/>
        <v>8734101.4238399994</v>
      </c>
      <c r="G179" s="249">
        <f t="shared" si="47"/>
        <v>8706440.6319999993</v>
      </c>
    </row>
    <row r="180" spans="1:7">
      <c r="A180" s="248" t="s">
        <v>595</v>
      </c>
      <c r="B180" s="248"/>
      <c r="C180" s="248" t="s">
        <v>596</v>
      </c>
      <c r="D180" s="249">
        <f t="shared" ref="D180:G180" si="48">D38-D44+D8+D9+D10+D16-D33</f>
        <v>596030.3358900001</v>
      </c>
      <c r="E180" s="249">
        <f t="shared" si="48"/>
        <v>570114.60600000003</v>
      </c>
      <c r="F180" s="249">
        <f t="shared" si="48"/>
        <v>580351.16250999994</v>
      </c>
      <c r="G180" s="249">
        <f t="shared" si="48"/>
        <v>565875.64999999991</v>
      </c>
    </row>
    <row r="181" spans="1:7" ht="27.5" customHeight="1">
      <c r="A181" s="315" t="s">
        <v>597</v>
      </c>
      <c r="B181" s="251"/>
      <c r="C181" s="251" t="s">
        <v>598</v>
      </c>
      <c r="D181" s="252">
        <f t="shared" ref="D181:G181" si="49">D22+D23+D24+D25+D26+D29+SUM(D44:D47)+SUM(D49:D53)-D54+D32-D33+SUM(D65:D70)+D72</f>
        <v>7908143.4502399992</v>
      </c>
      <c r="E181" s="252">
        <f t="shared" si="49"/>
        <v>7787213.7739999993</v>
      </c>
      <c r="F181" s="252">
        <f t="shared" si="49"/>
        <v>8038997.8294399995</v>
      </c>
      <c r="G181" s="252">
        <f t="shared" si="49"/>
        <v>7879363.1070000008</v>
      </c>
    </row>
    <row r="182" spans="1:7">
      <c r="A182" s="317" t="s">
        <v>599</v>
      </c>
      <c r="B182" s="251"/>
      <c r="C182" s="251" t="s">
        <v>600</v>
      </c>
      <c r="D182" s="252">
        <f t="shared" ref="D182:G182" si="50">D181+D171</f>
        <v>7987597.3406699989</v>
      </c>
      <c r="E182" s="252">
        <f t="shared" si="50"/>
        <v>7853759.7739999993</v>
      </c>
      <c r="F182" s="252">
        <f t="shared" si="50"/>
        <v>8184267.6495599998</v>
      </c>
      <c r="G182" s="252">
        <f t="shared" si="50"/>
        <v>7903053.722000001</v>
      </c>
    </row>
    <row r="183" spans="1:7">
      <c r="A183" s="317" t="s">
        <v>601</v>
      </c>
      <c r="B183" s="251"/>
      <c r="C183" s="251" t="s">
        <v>602</v>
      </c>
      <c r="D183" s="252">
        <f t="shared" ref="D183" si="51">D4+D5-D7+D38+D39+D40+D41+D43+D13-D16+D57+D58+D60+D62</f>
        <v>7456720.2289500013</v>
      </c>
      <c r="E183" s="252">
        <f>E4+E5-E7+E38+E39+E40+E41+E43+E13-E16+E57+E58+E60+E62</f>
        <v>7329722.5910000009</v>
      </c>
      <c r="F183" s="252">
        <f>F4+F5-F7+F38+F39+F40+F41+F43+F13-F16+F57+F58+F60+F62</f>
        <v>7584509.537539999</v>
      </c>
      <c r="G183" s="252">
        <f>G4+G5-G7+G38+G39+G40+G41+G43+G13-G16+G57+G58+G60+G62</f>
        <v>7430833.1689999998</v>
      </c>
    </row>
    <row r="184" spans="1:7">
      <c r="A184" s="317" t="s">
        <v>603</v>
      </c>
      <c r="B184" s="251"/>
      <c r="C184" s="251" t="s">
        <v>604</v>
      </c>
      <c r="D184" s="252">
        <f t="shared" ref="D184:G184" si="52">D183+D170</f>
        <v>8092173.6715000011</v>
      </c>
      <c r="E184" s="252">
        <f t="shared" si="52"/>
        <v>8131974.7470000014</v>
      </c>
      <c r="F184" s="252">
        <f t="shared" si="52"/>
        <v>8223193.8873099992</v>
      </c>
      <c r="G184" s="252">
        <f t="shared" si="52"/>
        <v>8225495.5989999995</v>
      </c>
    </row>
    <row r="185" spans="1:7">
      <c r="A185" s="317"/>
      <c r="B185" s="251"/>
      <c r="C185" s="251" t="s">
        <v>605</v>
      </c>
      <c r="D185" s="252">
        <f t="shared" ref="D185:G186" si="53">D181-D183</f>
        <v>451423.22128999792</v>
      </c>
      <c r="E185" s="252">
        <f t="shared" si="53"/>
        <v>457491.18299999833</v>
      </c>
      <c r="F185" s="252">
        <f t="shared" si="53"/>
        <v>454488.29190000053</v>
      </c>
      <c r="G185" s="252">
        <f t="shared" si="53"/>
        <v>448529.93800000101</v>
      </c>
    </row>
    <row r="186" spans="1:7">
      <c r="A186" s="317"/>
      <c r="B186" s="251"/>
      <c r="C186" s="251" t="s">
        <v>606</v>
      </c>
      <c r="D186" s="252">
        <f t="shared" si="53"/>
        <v>-104576.3308300022</v>
      </c>
      <c r="E186" s="252">
        <f t="shared" si="53"/>
        <v>-278214.97300000209</v>
      </c>
      <c r="F186" s="252">
        <f t="shared" si="53"/>
        <v>-38926.237749999389</v>
      </c>
      <c r="G186" s="252">
        <f t="shared" si="53"/>
        <v>-322441.87699999847</v>
      </c>
    </row>
  </sheetData>
  <sheetProtection selectLockedCells="1" sort="0" autoFilter="0" pivotTables="0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12" man="1"/>
    <brk id="148" max="12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B050"/>
  </sheetPr>
  <dimension ref="A1:AO186"/>
  <sheetViews>
    <sheetView tabSelected="1" zoomScale="115" zoomScaleNormal="115" workbookViewId="0">
      <pane xSplit="3" ySplit="2" topLeftCell="D3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11.5" defaultRowHeight="13"/>
  <cols>
    <col min="1" max="1" width="20.33203125" style="84" customWidth="1"/>
    <col min="2" max="2" width="3.6640625" style="84" customWidth="1"/>
    <col min="3" max="3" width="44.6640625" style="84" customWidth="1"/>
    <col min="4" max="5" width="11.5" style="84"/>
    <col min="6" max="7" width="11.5" style="84" customWidth="1"/>
    <col min="8" max="16384" width="11.5" style="84"/>
  </cols>
  <sheetData>
    <row r="1" spans="1:41" s="77" customFormat="1" ht="18" customHeight="1">
      <c r="A1" s="319" t="s">
        <v>156</v>
      </c>
      <c r="B1" s="437" t="s">
        <v>614</v>
      </c>
      <c r="C1" s="437" t="s">
        <v>152</v>
      </c>
      <c r="D1" s="74" t="s">
        <v>96</v>
      </c>
      <c r="E1" s="75" t="s">
        <v>9</v>
      </c>
      <c r="F1" s="74" t="s">
        <v>96</v>
      </c>
      <c r="G1" s="75" t="s">
        <v>9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</row>
    <row r="2" spans="1:41" s="83" customFormat="1" ht="15" customHeight="1">
      <c r="A2" s="78"/>
      <c r="B2" s="79"/>
      <c r="C2" s="80" t="s">
        <v>615</v>
      </c>
      <c r="D2" s="81">
        <v>2014</v>
      </c>
      <c r="E2" s="82">
        <v>2015</v>
      </c>
      <c r="F2" s="81">
        <v>2015</v>
      </c>
      <c r="G2" s="82">
        <v>2016</v>
      </c>
    </row>
    <row r="3" spans="1:41" ht="15" customHeight="1">
      <c r="A3" s="678" t="s">
        <v>398</v>
      </c>
      <c r="B3" s="679"/>
      <c r="C3" s="679"/>
      <c r="E3" s="85"/>
      <c r="F3" s="85"/>
      <c r="G3" s="85"/>
    </row>
    <row r="4" spans="1:41" s="91" customFormat="1" ht="12.75" customHeight="1">
      <c r="A4" s="86">
        <v>30</v>
      </c>
      <c r="B4" s="87"/>
      <c r="C4" s="88" t="s">
        <v>98</v>
      </c>
      <c r="D4" s="89">
        <v>259259.10959000001</v>
      </c>
      <c r="E4" s="90">
        <v>263646.8</v>
      </c>
      <c r="F4" s="90">
        <v>258439.22347999999</v>
      </c>
      <c r="G4" s="90">
        <v>258310.9</v>
      </c>
    </row>
    <row r="5" spans="1:41" s="91" customFormat="1" ht="12.75" customHeight="1">
      <c r="A5" s="92">
        <v>31</v>
      </c>
      <c r="B5" s="93"/>
      <c r="C5" s="94" t="s">
        <v>399</v>
      </c>
      <c r="D5" s="95">
        <v>71302.875469999999</v>
      </c>
      <c r="E5" s="96">
        <v>75598.100000000006</v>
      </c>
      <c r="F5" s="96">
        <v>75114.123619999998</v>
      </c>
      <c r="G5" s="96">
        <v>76405.3</v>
      </c>
    </row>
    <row r="6" spans="1:41" s="91" customFormat="1" ht="12.75" customHeight="1">
      <c r="A6" s="97" t="s">
        <v>100</v>
      </c>
      <c r="B6" s="98"/>
      <c r="C6" s="99" t="s">
        <v>400</v>
      </c>
      <c r="D6" s="100">
        <v>9313.2281999999996</v>
      </c>
      <c r="E6" s="96">
        <v>10158.200000000001</v>
      </c>
      <c r="F6" s="96">
        <v>9510.6165700000001</v>
      </c>
      <c r="G6" s="96">
        <v>9608.7000000000007</v>
      </c>
    </row>
    <row r="7" spans="1:41" s="91" customFormat="1" ht="12.75" customHeight="1">
      <c r="A7" s="97" t="s">
        <v>401</v>
      </c>
      <c r="B7" s="98"/>
      <c r="C7" s="99" t="s">
        <v>402</v>
      </c>
      <c r="D7" s="100">
        <v>0</v>
      </c>
      <c r="E7" s="96">
        <v>0</v>
      </c>
      <c r="F7" s="96">
        <v>0</v>
      </c>
      <c r="G7" s="96">
        <v>0</v>
      </c>
    </row>
    <row r="8" spans="1:41" s="91" customFormat="1" ht="12.75" customHeight="1">
      <c r="A8" s="101">
        <v>330</v>
      </c>
      <c r="B8" s="93"/>
      <c r="C8" s="94" t="s">
        <v>403</v>
      </c>
      <c r="D8" s="95">
        <v>16782.385999999999</v>
      </c>
      <c r="E8" s="96">
        <v>17095</v>
      </c>
      <c r="F8" s="96">
        <v>16981.652999999998</v>
      </c>
      <c r="G8" s="96">
        <v>17308.7</v>
      </c>
    </row>
    <row r="9" spans="1:41" s="91" customFormat="1" ht="12.75" customHeight="1">
      <c r="A9" s="101">
        <v>332</v>
      </c>
      <c r="B9" s="93"/>
      <c r="C9" s="94" t="s">
        <v>404</v>
      </c>
      <c r="D9" s="95">
        <v>0</v>
      </c>
      <c r="E9" s="96">
        <v>0</v>
      </c>
      <c r="F9" s="96">
        <v>0</v>
      </c>
      <c r="G9" s="96">
        <v>0</v>
      </c>
    </row>
    <row r="10" spans="1:41" s="91" customFormat="1" ht="12.75" customHeight="1">
      <c r="A10" s="101">
        <v>339</v>
      </c>
      <c r="B10" s="93"/>
      <c r="C10" s="94" t="s">
        <v>405</v>
      </c>
      <c r="D10" s="95">
        <v>0</v>
      </c>
      <c r="E10" s="96">
        <v>0</v>
      </c>
      <c r="F10" s="96">
        <v>0</v>
      </c>
      <c r="G10" s="96">
        <v>0</v>
      </c>
    </row>
    <row r="11" spans="1:41" s="195" customFormat="1" ht="28.25" customHeight="1">
      <c r="A11" s="438">
        <v>350</v>
      </c>
      <c r="B11" s="402"/>
      <c r="C11" s="104" t="s">
        <v>406</v>
      </c>
      <c r="D11" s="131">
        <v>62.4</v>
      </c>
      <c r="E11" s="96">
        <v>82</v>
      </c>
      <c r="F11" s="96">
        <v>32.4</v>
      </c>
      <c r="G11" s="96">
        <v>34</v>
      </c>
    </row>
    <row r="12" spans="1:41" s="106" customFormat="1" ht="28">
      <c r="A12" s="102">
        <v>351</v>
      </c>
      <c r="B12" s="103"/>
      <c r="C12" s="104" t="s">
        <v>407</v>
      </c>
      <c r="D12" s="105">
        <v>11003.264999999999</v>
      </c>
      <c r="E12" s="96">
        <v>10254.4</v>
      </c>
      <c r="F12" s="96">
        <v>11343.714089999999</v>
      </c>
      <c r="G12" s="96">
        <v>10660.8</v>
      </c>
    </row>
    <row r="13" spans="1:41" s="91" customFormat="1" ht="12.75" customHeight="1">
      <c r="A13" s="92">
        <v>36</v>
      </c>
      <c r="B13" s="93"/>
      <c r="C13" s="94" t="s">
        <v>408</v>
      </c>
      <c r="D13" s="130">
        <v>410933.58814000001</v>
      </c>
      <c r="E13" s="96">
        <v>427382.7</v>
      </c>
      <c r="F13" s="96">
        <v>415915.39730999997</v>
      </c>
      <c r="G13" s="96">
        <v>431857.3</v>
      </c>
    </row>
    <row r="14" spans="1:41" s="91" customFormat="1" ht="12.75" customHeight="1">
      <c r="A14" s="107" t="s">
        <v>409</v>
      </c>
      <c r="B14" s="93"/>
      <c r="C14" s="108" t="s">
        <v>410</v>
      </c>
      <c r="D14" s="130">
        <v>87099.438099999999</v>
      </c>
      <c r="E14" s="130">
        <v>89004.7</v>
      </c>
      <c r="F14" s="96">
        <v>87915.119340000005</v>
      </c>
      <c r="G14" s="96">
        <v>89806.9</v>
      </c>
    </row>
    <row r="15" spans="1:41" s="91" customFormat="1" ht="12.75" customHeight="1">
      <c r="A15" s="107" t="s">
        <v>411</v>
      </c>
      <c r="B15" s="93"/>
      <c r="C15" s="108" t="s">
        <v>412</v>
      </c>
      <c r="D15" s="130">
        <v>11692.41685</v>
      </c>
      <c r="E15" s="96">
        <v>23525.9</v>
      </c>
      <c r="F15" s="96">
        <v>11532.88766</v>
      </c>
      <c r="G15" s="96">
        <v>11826.5</v>
      </c>
    </row>
    <row r="16" spans="1:41" s="111" customFormat="1" ht="26.25" customHeight="1">
      <c r="A16" s="107" t="s">
        <v>413</v>
      </c>
      <c r="B16" s="109"/>
      <c r="C16" s="108" t="s">
        <v>414</v>
      </c>
      <c r="D16" s="395">
        <v>19925.343000000001</v>
      </c>
      <c r="E16" s="96">
        <v>18884</v>
      </c>
      <c r="F16" s="96">
        <v>18864.995999999999</v>
      </c>
      <c r="G16" s="96">
        <v>17897.3</v>
      </c>
    </row>
    <row r="17" spans="1:7" s="113" customFormat="1">
      <c r="A17" s="92">
        <v>37</v>
      </c>
      <c r="B17" s="93"/>
      <c r="C17" s="94" t="s">
        <v>415</v>
      </c>
      <c r="D17" s="130">
        <v>110912.99159999999</v>
      </c>
      <c r="E17" s="96">
        <v>99064.6</v>
      </c>
      <c r="F17" s="96">
        <v>110572.58166</v>
      </c>
      <c r="G17" s="96">
        <v>111317.9</v>
      </c>
    </row>
    <row r="18" spans="1:7" s="113" customFormat="1">
      <c r="A18" s="101" t="s">
        <v>416</v>
      </c>
      <c r="B18" s="93"/>
      <c r="C18" s="94" t="s">
        <v>417</v>
      </c>
      <c r="D18" s="130">
        <v>0</v>
      </c>
      <c r="E18" s="96">
        <v>0</v>
      </c>
      <c r="F18" s="96">
        <v>0</v>
      </c>
      <c r="G18" s="96">
        <v>0</v>
      </c>
    </row>
    <row r="19" spans="1:7" s="113" customFormat="1">
      <c r="A19" s="101" t="s">
        <v>418</v>
      </c>
      <c r="B19" s="93"/>
      <c r="C19" s="94" t="s">
        <v>419</v>
      </c>
      <c r="D19" s="130">
        <v>107737.181</v>
      </c>
      <c r="E19" s="96">
        <v>95521.5</v>
      </c>
      <c r="F19" s="96">
        <v>106477.4855</v>
      </c>
      <c r="G19" s="96">
        <v>107131.3</v>
      </c>
    </row>
    <row r="20" spans="1:7" s="91" customFormat="1" ht="12.75" customHeight="1">
      <c r="A20" s="116">
        <v>39</v>
      </c>
      <c r="B20" s="117"/>
      <c r="C20" s="118" t="s">
        <v>120</v>
      </c>
      <c r="D20" s="177">
        <v>297</v>
      </c>
      <c r="E20" s="120">
        <v>334.5</v>
      </c>
      <c r="F20" s="120">
        <v>334.5</v>
      </c>
      <c r="G20" s="120">
        <v>334.5</v>
      </c>
    </row>
    <row r="21" spans="1:7" ht="12.75" customHeight="1">
      <c r="A21" s="121"/>
      <c r="B21" s="121"/>
      <c r="C21" s="122" t="s">
        <v>420</v>
      </c>
      <c r="D21" s="123">
        <f t="shared" ref="D21:G21" si="0">D4+D5+SUM(D8:D13)+D17</f>
        <v>880256.61579999991</v>
      </c>
      <c r="E21" s="123">
        <f t="shared" si="0"/>
        <v>893123.6</v>
      </c>
      <c r="F21" s="123">
        <f t="shared" si="0"/>
        <v>888399.09316000005</v>
      </c>
      <c r="G21" s="123">
        <f t="shared" si="0"/>
        <v>905894.9</v>
      </c>
    </row>
    <row r="22" spans="1:7" s="91" customFormat="1" ht="12.75" customHeight="1">
      <c r="A22" s="101" t="s">
        <v>183</v>
      </c>
      <c r="B22" s="93"/>
      <c r="C22" s="94" t="s">
        <v>421</v>
      </c>
      <c r="D22" s="95">
        <v>283976.29729999998</v>
      </c>
      <c r="E22" s="124">
        <v>279215</v>
      </c>
      <c r="F22" s="439">
        <v>289124.03454999998</v>
      </c>
      <c r="G22" s="440">
        <v>278750</v>
      </c>
    </row>
    <row r="23" spans="1:7" s="91" customFormat="1" ht="12.75" customHeight="1">
      <c r="A23" s="101" t="s">
        <v>185</v>
      </c>
      <c r="B23" s="93"/>
      <c r="C23" s="94" t="s">
        <v>422</v>
      </c>
      <c r="D23" s="95">
        <v>50471.907350000001</v>
      </c>
      <c r="E23" s="124">
        <v>51255</v>
      </c>
      <c r="F23" s="124">
        <v>51968.855250000001</v>
      </c>
      <c r="G23" s="440">
        <v>52354</v>
      </c>
    </row>
    <row r="24" spans="1:7" s="125" customFormat="1" ht="12.75" customHeight="1">
      <c r="A24" s="92">
        <v>41</v>
      </c>
      <c r="B24" s="93"/>
      <c r="C24" s="94" t="s">
        <v>423</v>
      </c>
      <c r="D24" s="95">
        <v>2288.7099199999998</v>
      </c>
      <c r="E24" s="124">
        <v>4604.2</v>
      </c>
      <c r="F24" s="124">
        <v>13891.184090000001</v>
      </c>
      <c r="G24" s="441">
        <v>2083.6</v>
      </c>
    </row>
    <row r="25" spans="1:7" s="91" customFormat="1" ht="12.75" customHeight="1">
      <c r="A25" s="126">
        <v>42</v>
      </c>
      <c r="B25" s="127"/>
      <c r="C25" s="94" t="s">
        <v>424</v>
      </c>
      <c r="D25" s="95">
        <v>38856.352319999998</v>
      </c>
      <c r="E25" s="124">
        <v>39552.6</v>
      </c>
      <c r="F25" s="124">
        <v>42717.77216</v>
      </c>
      <c r="G25" s="440">
        <v>41412.400000000001</v>
      </c>
    </row>
    <row r="26" spans="1:7" s="129" customFormat="1" ht="12.75" customHeight="1">
      <c r="A26" s="102">
        <v>430</v>
      </c>
      <c r="B26" s="93"/>
      <c r="C26" s="94" t="s">
        <v>616</v>
      </c>
      <c r="D26" s="112">
        <v>112.84601000000001</v>
      </c>
      <c r="E26" s="128">
        <v>128.80000000000001</v>
      </c>
      <c r="F26" s="128">
        <v>106.78135</v>
      </c>
      <c r="G26" s="441">
        <v>118.5</v>
      </c>
    </row>
    <row r="27" spans="1:7" s="129" customFormat="1" ht="12.75" customHeight="1">
      <c r="A27" s="102">
        <v>431</v>
      </c>
      <c r="B27" s="93"/>
      <c r="C27" s="94" t="s">
        <v>426</v>
      </c>
      <c r="D27" s="112">
        <v>16.172599999999999</v>
      </c>
      <c r="E27" s="128">
        <v>20</v>
      </c>
      <c r="F27" s="128">
        <v>28.569800000000001</v>
      </c>
      <c r="G27" s="442">
        <v>20</v>
      </c>
    </row>
    <row r="28" spans="1:7" s="129" customFormat="1" ht="12.75" customHeight="1">
      <c r="A28" s="102">
        <v>432</v>
      </c>
      <c r="B28" s="93"/>
      <c r="C28" s="94" t="s">
        <v>427</v>
      </c>
      <c r="D28" s="112">
        <v>0</v>
      </c>
      <c r="E28" s="128">
        <v>0</v>
      </c>
      <c r="F28" s="128">
        <v>0</v>
      </c>
      <c r="G28" s="443">
        <v>0</v>
      </c>
    </row>
    <row r="29" spans="1:7" s="129" customFormat="1" ht="12.75" customHeight="1">
      <c r="A29" s="102">
        <v>439</v>
      </c>
      <c r="B29" s="93"/>
      <c r="C29" s="94" t="s">
        <v>428</v>
      </c>
      <c r="D29" s="112">
        <v>3.3584000000000001</v>
      </c>
      <c r="E29" s="128">
        <v>3</v>
      </c>
      <c r="F29" s="128">
        <v>3</v>
      </c>
      <c r="G29" s="443">
        <v>3</v>
      </c>
    </row>
    <row r="30" spans="1:7" s="91" customFormat="1" ht="28">
      <c r="A30" s="102">
        <v>450</v>
      </c>
      <c r="B30" s="103"/>
      <c r="C30" s="104" t="s">
        <v>429</v>
      </c>
      <c r="D30" s="130">
        <v>105.23633</v>
      </c>
      <c r="E30" s="96">
        <v>0</v>
      </c>
      <c r="F30" s="96">
        <v>155.54074</v>
      </c>
      <c r="G30" s="443">
        <v>0</v>
      </c>
    </row>
    <row r="31" spans="1:7" s="106" customFormat="1" ht="28">
      <c r="A31" s="102">
        <v>451</v>
      </c>
      <c r="B31" s="103"/>
      <c r="C31" s="104" t="s">
        <v>430</v>
      </c>
      <c r="D31" s="444">
        <v>10353.33446</v>
      </c>
      <c r="E31" s="445">
        <v>10697.4</v>
      </c>
      <c r="F31" s="445">
        <v>10078.0155</v>
      </c>
      <c r="G31" s="443">
        <v>11217.9</v>
      </c>
    </row>
    <row r="32" spans="1:7" s="91" customFormat="1" ht="12.75" customHeight="1">
      <c r="A32" s="92">
        <v>46</v>
      </c>
      <c r="B32" s="93"/>
      <c r="C32" s="94" t="s">
        <v>431</v>
      </c>
      <c r="D32" s="95">
        <v>381870.598</v>
      </c>
      <c r="E32" s="124">
        <v>400890.45</v>
      </c>
      <c r="F32" s="124">
        <v>384025.98340999999</v>
      </c>
      <c r="G32" s="443">
        <v>388125.7</v>
      </c>
    </row>
    <row r="33" spans="1:7" s="106" customFormat="1" ht="12.75" customHeight="1">
      <c r="A33" s="114" t="s">
        <v>432</v>
      </c>
      <c r="B33" s="98"/>
      <c r="C33" s="99" t="s">
        <v>433</v>
      </c>
      <c r="D33" s="100">
        <v>0</v>
      </c>
      <c r="E33" s="132">
        <v>0</v>
      </c>
      <c r="F33" s="132">
        <v>0</v>
      </c>
      <c r="G33" s="443">
        <v>0</v>
      </c>
    </row>
    <row r="34" spans="1:7" s="91" customFormat="1" ht="15" customHeight="1">
      <c r="A34" s="92">
        <v>47</v>
      </c>
      <c r="B34" s="93"/>
      <c r="C34" s="94" t="s">
        <v>415</v>
      </c>
      <c r="D34" s="95">
        <v>110912.99159999999</v>
      </c>
      <c r="E34" s="124">
        <v>99064.6</v>
      </c>
      <c r="F34" s="124">
        <v>110572.58166</v>
      </c>
      <c r="G34" s="443">
        <v>111317.9</v>
      </c>
    </row>
    <row r="35" spans="1:7" s="91" customFormat="1" ht="15" customHeight="1">
      <c r="A35" s="116">
        <v>49</v>
      </c>
      <c r="B35" s="117"/>
      <c r="C35" s="118" t="s">
        <v>120</v>
      </c>
      <c r="D35" s="177">
        <v>297</v>
      </c>
      <c r="E35" s="133">
        <v>334.5</v>
      </c>
      <c r="F35" s="133">
        <v>334.5</v>
      </c>
      <c r="G35" s="440">
        <v>334.5</v>
      </c>
    </row>
    <row r="36" spans="1:7" ht="13.5" customHeight="1">
      <c r="A36" s="121"/>
      <c r="B36" s="134"/>
      <c r="C36" s="122" t="s">
        <v>434</v>
      </c>
      <c r="D36" s="123">
        <f t="shared" ref="D36:G36" si="1">D22+D23+D24+D25+D26+D27+D28+D29+D30+D31+D32+D34</f>
        <v>878967.80428999988</v>
      </c>
      <c r="E36" s="123">
        <f t="shared" si="1"/>
        <v>885431.04999999993</v>
      </c>
      <c r="F36" s="123">
        <f t="shared" si="1"/>
        <v>902672.31851000001</v>
      </c>
      <c r="G36" s="123">
        <f t="shared" si="1"/>
        <v>885403.00000000012</v>
      </c>
    </row>
    <row r="37" spans="1:7" s="135" customFormat="1" ht="15" customHeight="1">
      <c r="A37" s="121"/>
      <c r="B37" s="134"/>
      <c r="C37" s="122" t="s">
        <v>435</v>
      </c>
      <c r="D37" s="123">
        <f t="shared" ref="D37:G37" si="2">D36-D21</f>
        <v>-1288.8115100000286</v>
      </c>
      <c r="E37" s="123">
        <f t="shared" si="2"/>
        <v>-7692.5500000000466</v>
      </c>
      <c r="F37" s="123">
        <f t="shared" si="2"/>
        <v>14273.225349999964</v>
      </c>
      <c r="G37" s="123">
        <f t="shared" si="2"/>
        <v>-20491.899999999907</v>
      </c>
    </row>
    <row r="38" spans="1:7" s="106" customFormat="1" ht="15" customHeight="1">
      <c r="A38" s="101">
        <v>340</v>
      </c>
      <c r="B38" s="93"/>
      <c r="C38" s="94" t="s">
        <v>436</v>
      </c>
      <c r="D38" s="130">
        <v>6497.3795099999998</v>
      </c>
      <c r="E38" s="124">
        <v>7235.3</v>
      </c>
      <c r="F38" s="124">
        <v>6541.1030899999996</v>
      </c>
      <c r="G38" s="440">
        <v>6977.6</v>
      </c>
    </row>
    <row r="39" spans="1:7" s="106" customFormat="1" ht="15" customHeight="1">
      <c r="A39" s="101">
        <v>341</v>
      </c>
      <c r="B39" s="93"/>
      <c r="C39" s="94" t="s">
        <v>437</v>
      </c>
      <c r="D39" s="95">
        <v>0</v>
      </c>
      <c r="E39" s="124">
        <v>0</v>
      </c>
      <c r="F39" s="124">
        <v>0</v>
      </c>
      <c r="G39" s="440">
        <v>0</v>
      </c>
    </row>
    <row r="40" spans="1:7" s="106" customFormat="1" ht="15" customHeight="1">
      <c r="A40" s="101">
        <v>342</v>
      </c>
      <c r="B40" s="93"/>
      <c r="C40" s="94" t="s">
        <v>438</v>
      </c>
      <c r="D40" s="95">
        <v>53.192500000000003</v>
      </c>
      <c r="E40" s="124">
        <v>3.2</v>
      </c>
      <c r="F40" s="124">
        <v>2.8104499999999999</v>
      </c>
      <c r="G40" s="440">
        <v>3.2</v>
      </c>
    </row>
    <row r="41" spans="1:7" s="106" customFormat="1" ht="15" customHeight="1">
      <c r="A41" s="101">
        <v>343</v>
      </c>
      <c r="B41" s="93"/>
      <c r="C41" s="94" t="s">
        <v>617</v>
      </c>
      <c r="D41" s="95">
        <v>45.843449999999997</v>
      </c>
      <c r="E41" s="124">
        <v>56.2</v>
      </c>
      <c r="F41" s="124">
        <v>47.504100000000001</v>
      </c>
      <c r="G41" s="441">
        <v>62</v>
      </c>
    </row>
    <row r="42" spans="1:7" s="106" customFormat="1" ht="15" customHeight="1">
      <c r="A42" s="101">
        <v>344</v>
      </c>
      <c r="B42" s="93"/>
      <c r="C42" s="94" t="s">
        <v>440</v>
      </c>
      <c r="D42" s="95">
        <v>0</v>
      </c>
      <c r="E42" s="124">
        <v>0</v>
      </c>
      <c r="F42" s="124">
        <v>0</v>
      </c>
      <c r="G42" s="446">
        <v>0</v>
      </c>
    </row>
    <row r="43" spans="1:7" s="106" customFormat="1" ht="15" customHeight="1">
      <c r="A43" s="101">
        <v>349</v>
      </c>
      <c r="B43" s="93"/>
      <c r="C43" s="94" t="s">
        <v>441</v>
      </c>
      <c r="D43" s="95">
        <v>0.79390000000000005</v>
      </c>
      <c r="E43" s="124">
        <v>0</v>
      </c>
      <c r="F43" s="124">
        <v>360.92388</v>
      </c>
      <c r="G43" s="446">
        <v>0</v>
      </c>
    </row>
    <row r="44" spans="1:7" s="91" customFormat="1" ht="15" customHeight="1">
      <c r="A44" s="92">
        <v>440</v>
      </c>
      <c r="B44" s="93"/>
      <c r="C44" s="94" t="s">
        <v>442</v>
      </c>
      <c r="D44" s="130">
        <v>3082.87221</v>
      </c>
      <c r="E44" s="124">
        <v>2974</v>
      </c>
      <c r="F44" s="124">
        <v>2676.0365000000002</v>
      </c>
      <c r="G44" s="440">
        <v>3020.9</v>
      </c>
    </row>
    <row r="45" spans="1:7" s="91" customFormat="1" ht="15" customHeight="1">
      <c r="A45" s="92">
        <v>441</v>
      </c>
      <c r="B45" s="93"/>
      <c r="C45" s="94" t="s">
        <v>443</v>
      </c>
      <c r="D45" s="130">
        <v>203.02799999999999</v>
      </c>
      <c r="E45" s="124">
        <v>50</v>
      </c>
      <c r="F45" s="124">
        <v>1.2</v>
      </c>
      <c r="G45" s="440">
        <v>50</v>
      </c>
    </row>
    <row r="46" spans="1:7" s="91" customFormat="1" ht="15" customHeight="1">
      <c r="A46" s="92">
        <v>442</v>
      </c>
      <c r="B46" s="93"/>
      <c r="C46" s="94" t="s">
        <v>444</v>
      </c>
      <c r="D46" s="130">
        <v>277.41199999999998</v>
      </c>
      <c r="E46" s="124">
        <v>278.8</v>
      </c>
      <c r="F46" s="124">
        <v>269.80200000000002</v>
      </c>
      <c r="G46" s="440">
        <v>277.39999999999998</v>
      </c>
    </row>
    <row r="47" spans="1:7" s="91" customFormat="1" ht="15" customHeight="1">
      <c r="A47" s="92">
        <v>443</v>
      </c>
      <c r="B47" s="93"/>
      <c r="C47" s="94" t="s">
        <v>445</v>
      </c>
      <c r="D47" s="130">
        <v>22.785450000000001</v>
      </c>
      <c r="E47" s="124">
        <v>22</v>
      </c>
      <c r="F47" s="124">
        <v>25.135549999999999</v>
      </c>
      <c r="G47" s="440">
        <v>91.2</v>
      </c>
    </row>
    <row r="48" spans="1:7" s="91" customFormat="1" ht="15" customHeight="1">
      <c r="A48" s="92">
        <v>444</v>
      </c>
      <c r="B48" s="93"/>
      <c r="C48" s="94" t="s">
        <v>446</v>
      </c>
      <c r="D48" s="130">
        <v>0</v>
      </c>
      <c r="E48" s="124">
        <v>0</v>
      </c>
      <c r="F48" s="124">
        <v>0</v>
      </c>
      <c r="G48" s="440">
        <v>0</v>
      </c>
    </row>
    <row r="49" spans="1:7" s="91" customFormat="1" ht="15" customHeight="1">
      <c r="A49" s="92">
        <v>445</v>
      </c>
      <c r="B49" s="93"/>
      <c r="C49" s="94" t="s">
        <v>447</v>
      </c>
      <c r="D49" s="130">
        <v>2887.04</v>
      </c>
      <c r="E49" s="124">
        <v>2861</v>
      </c>
      <c r="F49" s="124">
        <v>2802.67</v>
      </c>
      <c r="G49" s="440">
        <v>2887</v>
      </c>
    </row>
    <row r="50" spans="1:7" s="91" customFormat="1" ht="15" customHeight="1">
      <c r="A50" s="92">
        <v>446</v>
      </c>
      <c r="B50" s="93"/>
      <c r="C50" s="94" t="s">
        <v>448</v>
      </c>
      <c r="D50" s="130">
        <v>987.5</v>
      </c>
      <c r="E50" s="124">
        <v>1187.3</v>
      </c>
      <c r="F50" s="124">
        <v>1067.26</v>
      </c>
      <c r="G50" s="440">
        <v>1290</v>
      </c>
    </row>
    <row r="51" spans="1:7" s="91" customFormat="1" ht="15" customHeight="1">
      <c r="A51" s="92">
        <v>447</v>
      </c>
      <c r="B51" s="93"/>
      <c r="C51" s="94" t="s">
        <v>449</v>
      </c>
      <c r="D51" s="130">
        <v>2313.3676</v>
      </c>
      <c r="E51" s="124">
        <v>2480.8000000000002</v>
      </c>
      <c r="F51" s="439">
        <v>2585.8361500000001</v>
      </c>
      <c r="G51" s="440">
        <v>2337.8000000000002</v>
      </c>
    </row>
    <row r="52" spans="1:7" s="91" customFormat="1" ht="15" customHeight="1">
      <c r="A52" s="92">
        <v>448</v>
      </c>
      <c r="B52" s="93"/>
      <c r="C52" s="94" t="s">
        <v>450</v>
      </c>
      <c r="D52" s="130">
        <v>0</v>
      </c>
      <c r="E52" s="124">
        <v>0</v>
      </c>
      <c r="F52" s="124">
        <v>0</v>
      </c>
      <c r="G52" s="440">
        <v>0</v>
      </c>
    </row>
    <row r="53" spans="1:7" s="91" customFormat="1" ht="15" customHeight="1">
      <c r="A53" s="92">
        <v>449</v>
      </c>
      <c r="B53" s="93"/>
      <c r="C53" s="94" t="s">
        <v>451</v>
      </c>
      <c r="D53" s="130">
        <v>0</v>
      </c>
      <c r="E53" s="124">
        <v>0</v>
      </c>
      <c r="F53" s="124">
        <v>167.66669999999999</v>
      </c>
      <c r="G53" s="440">
        <v>0</v>
      </c>
    </row>
    <row r="54" spans="1:7" s="106" customFormat="1" ht="13.5" customHeight="1">
      <c r="A54" s="136" t="s">
        <v>452</v>
      </c>
      <c r="B54" s="137"/>
      <c r="C54" s="137" t="s">
        <v>453</v>
      </c>
      <c r="D54" s="264">
        <v>0</v>
      </c>
      <c r="E54" s="139">
        <v>0</v>
      </c>
      <c r="F54" s="139">
        <v>0</v>
      </c>
      <c r="G54" s="446">
        <v>0</v>
      </c>
    </row>
    <row r="55" spans="1:7" ht="15" customHeight="1">
      <c r="A55" s="134"/>
      <c r="B55" s="134"/>
      <c r="C55" s="122" t="s">
        <v>454</v>
      </c>
      <c r="D55" s="123">
        <f t="shared" ref="D55:G55" si="3">SUM(D44:D53)-SUM(D38:D43)</f>
        <v>3176.7959000000001</v>
      </c>
      <c r="E55" s="123">
        <f t="shared" si="3"/>
        <v>2559.2000000000016</v>
      </c>
      <c r="F55" s="123">
        <f t="shared" si="3"/>
        <v>2643.2653800000007</v>
      </c>
      <c r="G55" s="123">
        <f t="shared" si="3"/>
        <v>2911.4999999999991</v>
      </c>
    </row>
    <row r="56" spans="1:7" ht="14.25" customHeight="1">
      <c r="A56" s="134"/>
      <c r="B56" s="134"/>
      <c r="C56" s="122" t="s">
        <v>455</v>
      </c>
      <c r="D56" s="123">
        <f t="shared" ref="D56:G56" si="4">D55+D37</f>
        <v>1887.9843899999714</v>
      </c>
      <c r="E56" s="123">
        <f t="shared" si="4"/>
        <v>-5133.3500000000449</v>
      </c>
      <c r="F56" s="123">
        <f t="shared" si="4"/>
        <v>16916.490729999965</v>
      </c>
      <c r="G56" s="123">
        <f t="shared" si="4"/>
        <v>-17580.399999999907</v>
      </c>
    </row>
    <row r="57" spans="1:7" s="91" customFormat="1" ht="15.75" customHeight="1">
      <c r="A57" s="140">
        <v>380</v>
      </c>
      <c r="B57" s="141"/>
      <c r="C57" s="142" t="s">
        <v>456</v>
      </c>
      <c r="D57" s="265">
        <v>0</v>
      </c>
      <c r="E57" s="266">
        <v>0</v>
      </c>
      <c r="F57" s="266">
        <v>0</v>
      </c>
      <c r="G57" s="266">
        <v>0</v>
      </c>
    </row>
    <row r="58" spans="1:7" s="91" customFormat="1" ht="15.75" customHeight="1">
      <c r="A58" s="140">
        <v>381</v>
      </c>
      <c r="B58" s="141"/>
      <c r="C58" s="142" t="s">
        <v>457</v>
      </c>
      <c r="D58" s="265">
        <v>0</v>
      </c>
      <c r="E58" s="266">
        <v>0</v>
      </c>
      <c r="F58" s="266">
        <v>0</v>
      </c>
      <c r="G58" s="266">
        <v>0</v>
      </c>
    </row>
    <row r="59" spans="1:7" s="106" customFormat="1" ht="28">
      <c r="A59" s="102">
        <v>383</v>
      </c>
      <c r="B59" s="103"/>
      <c r="C59" s="104" t="s">
        <v>458</v>
      </c>
      <c r="D59" s="267">
        <v>0</v>
      </c>
      <c r="E59" s="144">
        <v>0</v>
      </c>
      <c r="F59" s="144">
        <v>0</v>
      </c>
      <c r="G59" s="144">
        <v>0</v>
      </c>
    </row>
    <row r="60" spans="1:7" s="106" customFormat="1" ht="14">
      <c r="A60" s="102">
        <v>3840</v>
      </c>
      <c r="B60" s="103"/>
      <c r="C60" s="104" t="s">
        <v>459</v>
      </c>
      <c r="D60" s="145">
        <v>0</v>
      </c>
      <c r="E60" s="146">
        <v>0</v>
      </c>
      <c r="F60" s="146">
        <v>0</v>
      </c>
      <c r="G60" s="146">
        <v>0</v>
      </c>
    </row>
    <row r="61" spans="1:7" s="106" customFormat="1" ht="28">
      <c r="A61" s="102">
        <v>3841</v>
      </c>
      <c r="B61" s="103"/>
      <c r="C61" s="104" t="s">
        <v>460</v>
      </c>
      <c r="D61" s="145">
        <v>0</v>
      </c>
      <c r="E61" s="146">
        <v>0</v>
      </c>
      <c r="F61" s="146">
        <v>0</v>
      </c>
      <c r="G61" s="146">
        <v>0</v>
      </c>
    </row>
    <row r="62" spans="1:7" s="106" customFormat="1" ht="14">
      <c r="A62" s="147">
        <v>386</v>
      </c>
      <c r="B62" s="148"/>
      <c r="C62" s="149" t="s">
        <v>461</v>
      </c>
      <c r="D62" s="145">
        <v>0</v>
      </c>
      <c r="E62" s="146">
        <v>0</v>
      </c>
      <c r="F62" s="146">
        <v>0</v>
      </c>
      <c r="G62" s="146">
        <v>0</v>
      </c>
    </row>
    <row r="63" spans="1:7" s="106" customFormat="1" ht="28">
      <c r="A63" s="102">
        <v>387</v>
      </c>
      <c r="B63" s="103"/>
      <c r="C63" s="104" t="s">
        <v>462</v>
      </c>
      <c r="D63" s="145">
        <v>0</v>
      </c>
      <c r="E63" s="146">
        <v>0</v>
      </c>
      <c r="F63" s="146">
        <v>0</v>
      </c>
      <c r="G63" s="146">
        <v>0</v>
      </c>
    </row>
    <row r="64" spans="1:7" s="106" customFormat="1">
      <c r="A64" s="101">
        <v>389</v>
      </c>
      <c r="B64" s="150"/>
      <c r="C64" s="94" t="s">
        <v>119</v>
      </c>
      <c r="D64" s="95">
        <v>2500</v>
      </c>
      <c r="E64" s="146">
        <v>0</v>
      </c>
      <c r="F64" s="146">
        <v>17000</v>
      </c>
      <c r="G64" s="146">
        <v>0</v>
      </c>
    </row>
    <row r="65" spans="1:7" s="91" customFormat="1" ht="14">
      <c r="A65" s="447" t="s">
        <v>227</v>
      </c>
      <c r="B65" s="93"/>
      <c r="C65" s="94" t="s">
        <v>463</v>
      </c>
      <c r="D65" s="95">
        <v>1111.68965</v>
      </c>
      <c r="E65" s="146">
        <v>1060</v>
      </c>
      <c r="F65" s="146">
        <v>1078.40625</v>
      </c>
      <c r="G65" s="440">
        <v>1150</v>
      </c>
    </row>
    <row r="66" spans="1:7" s="153" customFormat="1" ht="28">
      <c r="A66" s="102" t="s">
        <v>229</v>
      </c>
      <c r="B66" s="152"/>
      <c r="C66" s="104" t="s">
        <v>464</v>
      </c>
      <c r="D66" s="143">
        <v>7.3640999999999996</v>
      </c>
      <c r="E66" s="146">
        <v>1</v>
      </c>
      <c r="F66" s="146">
        <v>8.0721000000000007</v>
      </c>
      <c r="G66" s="440">
        <v>1</v>
      </c>
    </row>
    <row r="67" spans="1:7" s="91" customFormat="1">
      <c r="A67" s="438">
        <v>481</v>
      </c>
      <c r="B67" s="93"/>
      <c r="C67" s="94" t="s">
        <v>465</v>
      </c>
      <c r="D67" s="95">
        <v>0</v>
      </c>
      <c r="E67" s="146">
        <v>0</v>
      </c>
      <c r="F67" s="146">
        <v>0</v>
      </c>
      <c r="G67" s="146">
        <v>0</v>
      </c>
    </row>
    <row r="68" spans="1:7" s="91" customFormat="1">
      <c r="A68" s="438">
        <v>482</v>
      </c>
      <c r="B68" s="93"/>
      <c r="C68" s="94" t="s">
        <v>466</v>
      </c>
      <c r="D68" s="95">
        <v>0</v>
      </c>
      <c r="E68" s="146">
        <v>0</v>
      </c>
      <c r="F68" s="146">
        <v>0</v>
      </c>
      <c r="G68" s="146">
        <v>0</v>
      </c>
    </row>
    <row r="69" spans="1:7" s="91" customFormat="1">
      <c r="A69" s="438">
        <v>483</v>
      </c>
      <c r="B69" s="93"/>
      <c r="C69" s="94" t="s">
        <v>467</v>
      </c>
      <c r="D69" s="95">
        <v>0</v>
      </c>
      <c r="E69" s="146">
        <v>0</v>
      </c>
      <c r="F69" s="146">
        <v>0</v>
      </c>
      <c r="G69" s="440">
        <v>130</v>
      </c>
    </row>
    <row r="70" spans="1:7" s="91" customFormat="1">
      <c r="A70" s="438">
        <v>484</v>
      </c>
      <c r="B70" s="93"/>
      <c r="C70" s="94" t="s">
        <v>468</v>
      </c>
      <c r="D70" s="95">
        <v>0</v>
      </c>
      <c r="E70" s="146">
        <v>0</v>
      </c>
      <c r="F70" s="146">
        <v>0</v>
      </c>
      <c r="G70" s="146">
        <v>0</v>
      </c>
    </row>
    <row r="71" spans="1:7" s="91" customFormat="1">
      <c r="A71" s="438">
        <v>485</v>
      </c>
      <c r="B71" s="93"/>
      <c r="C71" s="94" t="s">
        <v>469</v>
      </c>
      <c r="D71" s="95">
        <v>0</v>
      </c>
      <c r="E71" s="146">
        <v>0</v>
      </c>
      <c r="F71" s="146">
        <v>0</v>
      </c>
      <c r="G71" s="146">
        <v>0</v>
      </c>
    </row>
    <row r="72" spans="1:7" s="91" customFormat="1">
      <c r="A72" s="438">
        <v>486</v>
      </c>
      <c r="B72" s="93"/>
      <c r="C72" s="94" t="s">
        <v>470</v>
      </c>
      <c r="D72" s="95">
        <v>0</v>
      </c>
      <c r="E72" s="146">
        <v>0</v>
      </c>
      <c r="F72" s="146">
        <v>0</v>
      </c>
      <c r="G72" s="146">
        <v>0</v>
      </c>
    </row>
    <row r="73" spans="1:7" s="106" customFormat="1" ht="28">
      <c r="A73" s="438">
        <v>487</v>
      </c>
      <c r="B73" s="448"/>
      <c r="C73" s="104" t="s">
        <v>471</v>
      </c>
      <c r="D73" s="267">
        <v>0</v>
      </c>
      <c r="E73" s="146">
        <v>0</v>
      </c>
      <c r="F73" s="146">
        <v>0</v>
      </c>
      <c r="G73" s="146">
        <v>0</v>
      </c>
    </row>
    <row r="74" spans="1:7" s="106" customFormat="1">
      <c r="A74" s="438">
        <v>489</v>
      </c>
      <c r="B74" s="155"/>
      <c r="C74" s="118" t="s">
        <v>149</v>
      </c>
      <c r="D74" s="267">
        <v>0</v>
      </c>
      <c r="E74" s="144">
        <v>0</v>
      </c>
      <c r="F74" s="144">
        <v>0</v>
      </c>
      <c r="G74" s="446">
        <v>9500</v>
      </c>
    </row>
    <row r="75" spans="1:7" s="106" customFormat="1">
      <c r="A75" s="156" t="s">
        <v>472</v>
      </c>
      <c r="B75" s="155"/>
      <c r="C75" s="118" t="s">
        <v>473</v>
      </c>
      <c r="D75" s="95">
        <v>0</v>
      </c>
      <c r="E75" s="124">
        <v>0</v>
      </c>
      <c r="F75" s="124">
        <v>0</v>
      </c>
      <c r="G75" s="124">
        <v>0</v>
      </c>
    </row>
    <row r="76" spans="1:7">
      <c r="A76" s="121"/>
      <c r="B76" s="121"/>
      <c r="C76" s="122" t="s">
        <v>474</v>
      </c>
      <c r="D76" s="123">
        <f t="shared" ref="D76:G76" si="5">SUM(D65:D74)-SUM(D57:D64)</f>
        <v>-1380.94625</v>
      </c>
      <c r="E76" s="123">
        <f t="shared" si="5"/>
        <v>1061</v>
      </c>
      <c r="F76" s="123">
        <f t="shared" si="5"/>
        <v>-15913.521650000001</v>
      </c>
      <c r="G76" s="123">
        <f t="shared" si="5"/>
        <v>10781</v>
      </c>
    </row>
    <row r="77" spans="1:7">
      <c r="A77" s="157"/>
      <c r="B77" s="157"/>
      <c r="C77" s="122" t="s">
        <v>475</v>
      </c>
      <c r="D77" s="123">
        <f t="shared" ref="D77:G77" si="6">D56+D76</f>
        <v>507.03813999997146</v>
      </c>
      <c r="E77" s="123">
        <f t="shared" si="6"/>
        <v>-4072.3500000000449</v>
      </c>
      <c r="F77" s="123">
        <f t="shared" si="6"/>
        <v>1002.9690799999644</v>
      </c>
      <c r="G77" s="123">
        <f t="shared" si="6"/>
        <v>-6799.3999999999069</v>
      </c>
    </row>
    <row r="78" spans="1:7">
      <c r="A78" s="158">
        <v>3</v>
      </c>
      <c r="B78" s="158"/>
      <c r="C78" s="159" t="s">
        <v>242</v>
      </c>
      <c r="D78" s="160">
        <f t="shared" ref="D78:G78" si="7">D20+D21+SUM(D38:D43)+SUM(D57:D64)</f>
        <v>889650.82515999989</v>
      </c>
      <c r="E78" s="160">
        <f t="shared" si="7"/>
        <v>900752.79999999993</v>
      </c>
      <c r="F78" s="160">
        <f t="shared" si="7"/>
        <v>912685.93468000006</v>
      </c>
      <c r="G78" s="160">
        <f t="shared" si="7"/>
        <v>913272.20000000007</v>
      </c>
    </row>
    <row r="79" spans="1:7">
      <c r="A79" s="158">
        <v>4</v>
      </c>
      <c r="B79" s="158"/>
      <c r="C79" s="159" t="s">
        <v>243</v>
      </c>
      <c r="D79" s="160">
        <f t="shared" ref="D79:G79" si="8">D35+D36+SUM(D44:D53)+SUM(D65:D74)</f>
        <v>890157.86329999985</v>
      </c>
      <c r="E79" s="160">
        <f t="shared" si="8"/>
        <v>896680.45</v>
      </c>
      <c r="F79" s="160">
        <f t="shared" si="8"/>
        <v>913688.90376000002</v>
      </c>
      <c r="G79" s="160">
        <f t="shared" si="8"/>
        <v>906472.80000000016</v>
      </c>
    </row>
    <row r="80" spans="1:7">
      <c r="C80" s="135"/>
      <c r="D80" s="161"/>
      <c r="E80" s="161"/>
      <c r="F80" s="161"/>
      <c r="G80" s="161"/>
    </row>
    <row r="81" spans="1:7">
      <c r="A81" s="680" t="s">
        <v>476</v>
      </c>
      <c r="B81" s="681"/>
      <c r="C81" s="681"/>
      <c r="D81" s="162"/>
      <c r="E81" s="163"/>
      <c r="F81" s="163"/>
      <c r="G81" s="163"/>
    </row>
    <row r="82" spans="1:7" s="91" customFormat="1">
      <c r="A82" s="164">
        <v>50</v>
      </c>
      <c r="B82" s="165"/>
      <c r="C82" s="165" t="s">
        <v>477</v>
      </c>
      <c r="D82" s="95">
        <v>29438.29523</v>
      </c>
      <c r="E82" s="124">
        <v>31750.5</v>
      </c>
      <c r="F82" s="124">
        <v>27171.710920000001</v>
      </c>
      <c r="G82" s="440">
        <v>25518.2</v>
      </c>
    </row>
    <row r="83" spans="1:7" s="91" customFormat="1">
      <c r="A83" s="164">
        <v>51</v>
      </c>
      <c r="B83" s="165"/>
      <c r="C83" s="165" t="s">
        <v>478</v>
      </c>
      <c r="D83" s="95">
        <v>0</v>
      </c>
      <c r="E83" s="124">
        <v>0</v>
      </c>
      <c r="F83" s="124">
        <v>0</v>
      </c>
      <c r="G83" s="440">
        <v>0</v>
      </c>
    </row>
    <row r="84" spans="1:7" s="91" customFormat="1">
      <c r="A84" s="164">
        <v>52</v>
      </c>
      <c r="B84" s="165"/>
      <c r="C84" s="165" t="s">
        <v>479</v>
      </c>
      <c r="D84" s="95">
        <v>0</v>
      </c>
      <c r="E84" s="124">
        <v>0</v>
      </c>
      <c r="F84" s="124">
        <v>0</v>
      </c>
      <c r="G84" s="440">
        <v>0</v>
      </c>
    </row>
    <row r="85" spans="1:7" s="91" customFormat="1">
      <c r="A85" s="166">
        <v>54</v>
      </c>
      <c r="B85" s="167"/>
      <c r="C85" s="167" t="s">
        <v>480</v>
      </c>
      <c r="D85" s="95">
        <v>928.02499999999998</v>
      </c>
      <c r="E85" s="124">
        <v>1396</v>
      </c>
      <c r="F85" s="124">
        <v>759.54499999999996</v>
      </c>
      <c r="G85" s="440">
        <v>1213</v>
      </c>
    </row>
    <row r="86" spans="1:7" s="91" customFormat="1">
      <c r="A86" s="166">
        <v>55</v>
      </c>
      <c r="B86" s="167"/>
      <c r="C86" s="167" t="s">
        <v>481</v>
      </c>
      <c r="D86" s="95">
        <v>200</v>
      </c>
      <c r="E86" s="124">
        <v>150</v>
      </c>
      <c r="F86" s="124">
        <v>0</v>
      </c>
      <c r="G86" s="440">
        <v>2500</v>
      </c>
    </row>
    <row r="87" spans="1:7" s="91" customFormat="1">
      <c r="A87" s="166">
        <v>56</v>
      </c>
      <c r="B87" s="167"/>
      <c r="C87" s="167" t="s">
        <v>482</v>
      </c>
      <c r="D87" s="95">
        <v>10992.667750000001</v>
      </c>
      <c r="E87" s="124">
        <v>10695</v>
      </c>
      <c r="F87" s="124">
        <v>10514.343849999999</v>
      </c>
      <c r="G87" s="440">
        <v>10567.5</v>
      </c>
    </row>
    <row r="88" spans="1:7" s="91" customFormat="1">
      <c r="A88" s="164">
        <v>57</v>
      </c>
      <c r="B88" s="165"/>
      <c r="C88" s="165" t="s">
        <v>483</v>
      </c>
      <c r="D88" s="95">
        <v>11948.96185</v>
      </c>
      <c r="E88" s="124">
        <v>7513.8</v>
      </c>
      <c r="F88" s="439">
        <v>7532.7955099999999</v>
      </c>
      <c r="G88" s="440">
        <v>10899.1</v>
      </c>
    </row>
    <row r="89" spans="1:7" s="91" customFormat="1">
      <c r="A89" s="164">
        <v>580</v>
      </c>
      <c r="B89" s="165"/>
      <c r="C89" s="165" t="s">
        <v>484</v>
      </c>
      <c r="D89" s="95">
        <v>0</v>
      </c>
      <c r="E89" s="124">
        <v>0</v>
      </c>
      <c r="F89" s="124">
        <v>0</v>
      </c>
      <c r="G89" s="124">
        <v>0</v>
      </c>
    </row>
    <row r="90" spans="1:7" s="91" customFormat="1">
      <c r="A90" s="164">
        <v>582</v>
      </c>
      <c r="B90" s="165"/>
      <c r="C90" s="165" t="s">
        <v>485</v>
      </c>
      <c r="D90" s="95">
        <v>0</v>
      </c>
      <c r="E90" s="124">
        <v>0</v>
      </c>
      <c r="F90" s="124">
        <v>0</v>
      </c>
      <c r="G90" s="124">
        <v>0</v>
      </c>
    </row>
    <row r="91" spans="1:7" s="91" customFormat="1">
      <c r="A91" s="164">
        <v>584</v>
      </c>
      <c r="B91" s="165"/>
      <c r="C91" s="165" t="s">
        <v>486</v>
      </c>
      <c r="D91" s="95">
        <v>0</v>
      </c>
      <c r="E91" s="124">
        <v>0</v>
      </c>
      <c r="F91" s="124">
        <v>0</v>
      </c>
      <c r="G91" s="124">
        <v>0</v>
      </c>
    </row>
    <row r="92" spans="1:7" s="91" customFormat="1">
      <c r="A92" s="164">
        <v>585</v>
      </c>
      <c r="B92" s="165"/>
      <c r="C92" s="165" t="s">
        <v>487</v>
      </c>
      <c r="D92" s="95">
        <v>0</v>
      </c>
      <c r="E92" s="124">
        <v>0</v>
      </c>
      <c r="F92" s="124">
        <v>0</v>
      </c>
      <c r="G92" s="124">
        <v>0</v>
      </c>
    </row>
    <row r="93" spans="1:7" s="91" customFormat="1">
      <c r="A93" s="164">
        <v>586</v>
      </c>
      <c r="B93" s="165"/>
      <c r="C93" s="165" t="s">
        <v>488</v>
      </c>
      <c r="D93" s="95">
        <v>64.543999999999997</v>
      </c>
      <c r="E93" s="124">
        <v>60</v>
      </c>
      <c r="F93" s="124"/>
      <c r="G93" s="124">
        <v>0</v>
      </c>
    </row>
    <row r="94" spans="1:7" s="91" customFormat="1">
      <c r="A94" s="168">
        <v>589</v>
      </c>
      <c r="B94" s="169"/>
      <c r="C94" s="169" t="s">
        <v>489</v>
      </c>
      <c r="D94" s="119">
        <v>0</v>
      </c>
      <c r="E94" s="133">
        <v>0</v>
      </c>
      <c r="F94" s="133">
        <v>0</v>
      </c>
      <c r="G94" s="133">
        <v>0</v>
      </c>
    </row>
    <row r="95" spans="1:7">
      <c r="A95" s="170">
        <v>5</v>
      </c>
      <c r="B95" s="171"/>
      <c r="C95" s="171" t="s">
        <v>490</v>
      </c>
      <c r="D95" s="172">
        <f t="shared" ref="D95:G95" si="9">SUM(D82:D94)</f>
        <v>53572.493830000007</v>
      </c>
      <c r="E95" s="172">
        <f t="shared" si="9"/>
        <v>51565.3</v>
      </c>
      <c r="F95" s="172">
        <f t="shared" si="9"/>
        <v>45978.395279999997</v>
      </c>
      <c r="G95" s="172">
        <f t="shared" si="9"/>
        <v>50697.799999999996</v>
      </c>
    </row>
    <row r="96" spans="1:7" s="91" customFormat="1">
      <c r="A96" s="164">
        <v>60</v>
      </c>
      <c r="B96" s="165"/>
      <c r="C96" s="165" t="s">
        <v>491</v>
      </c>
      <c r="D96" s="95">
        <v>16.0794</v>
      </c>
      <c r="E96" s="124">
        <v>0</v>
      </c>
      <c r="F96" s="124">
        <v>0</v>
      </c>
      <c r="G96" s="124">
        <v>0</v>
      </c>
    </row>
    <row r="97" spans="1:7" s="91" customFormat="1">
      <c r="A97" s="164">
        <v>61</v>
      </c>
      <c r="B97" s="165"/>
      <c r="C97" s="165" t="s">
        <v>492</v>
      </c>
      <c r="D97" s="95">
        <v>49.676000000000002</v>
      </c>
      <c r="E97" s="124">
        <v>0</v>
      </c>
      <c r="F97" s="124">
        <v>48</v>
      </c>
      <c r="G97" s="124">
        <v>0</v>
      </c>
    </row>
    <row r="98" spans="1:7" s="91" customFormat="1">
      <c r="A98" s="164">
        <v>62</v>
      </c>
      <c r="B98" s="165"/>
      <c r="C98" s="165" t="s">
        <v>493</v>
      </c>
      <c r="D98" s="95">
        <v>0</v>
      </c>
      <c r="E98" s="124">
        <v>0</v>
      </c>
      <c r="F98" s="124">
        <v>0</v>
      </c>
      <c r="G98" s="124">
        <v>0</v>
      </c>
    </row>
    <row r="99" spans="1:7" s="91" customFormat="1">
      <c r="A99" s="164">
        <v>63</v>
      </c>
      <c r="B99" s="165"/>
      <c r="C99" s="165" t="s">
        <v>494</v>
      </c>
      <c r="D99" s="95">
        <v>1840.1222</v>
      </c>
      <c r="E99" s="124">
        <v>2028.3</v>
      </c>
      <c r="F99" s="439">
        <v>1618.26801</v>
      </c>
      <c r="G99" s="440">
        <v>1591.9</v>
      </c>
    </row>
    <row r="100" spans="1:7" s="91" customFormat="1">
      <c r="A100" s="164">
        <v>64</v>
      </c>
      <c r="B100" s="165"/>
      <c r="C100" s="165" t="s">
        <v>495</v>
      </c>
      <c r="D100" s="95">
        <v>2428.1297500000001</v>
      </c>
      <c r="E100" s="124">
        <v>2374.5</v>
      </c>
      <c r="F100" s="439">
        <v>2366.1090399999998</v>
      </c>
      <c r="G100" s="440">
        <v>2247.5</v>
      </c>
    </row>
    <row r="101" spans="1:7" s="91" customFormat="1">
      <c r="A101" s="164">
        <v>65</v>
      </c>
      <c r="B101" s="165"/>
      <c r="C101" s="165" t="s">
        <v>496</v>
      </c>
      <c r="D101" s="95">
        <v>0</v>
      </c>
      <c r="E101" s="124">
        <v>0</v>
      </c>
      <c r="F101" s="124">
        <v>0</v>
      </c>
      <c r="G101" s="440">
        <v>0</v>
      </c>
    </row>
    <row r="102" spans="1:7" s="91" customFormat="1">
      <c r="A102" s="164">
        <v>66</v>
      </c>
      <c r="B102" s="165"/>
      <c r="C102" s="165" t="s">
        <v>497</v>
      </c>
      <c r="D102" s="95">
        <v>50.716999999999999</v>
      </c>
      <c r="E102" s="124">
        <v>40</v>
      </c>
      <c r="F102" s="439">
        <v>214.06100000000001</v>
      </c>
      <c r="G102" s="440">
        <v>40</v>
      </c>
    </row>
    <row r="103" spans="1:7" s="91" customFormat="1">
      <c r="A103" s="164">
        <v>67</v>
      </c>
      <c r="B103" s="165"/>
      <c r="C103" s="165" t="s">
        <v>483</v>
      </c>
      <c r="D103" s="130">
        <v>11948.96185</v>
      </c>
      <c r="E103" s="96">
        <v>7513.8</v>
      </c>
      <c r="F103" s="439">
        <v>7532.7955099999999</v>
      </c>
      <c r="G103" s="440">
        <v>10899.1</v>
      </c>
    </row>
    <row r="104" spans="1:7" s="91" customFormat="1" ht="42">
      <c r="A104" s="173" t="s">
        <v>266</v>
      </c>
      <c r="B104" s="165"/>
      <c r="C104" s="174" t="s">
        <v>498</v>
      </c>
      <c r="D104" s="130">
        <v>0</v>
      </c>
      <c r="E104" s="96">
        <v>0</v>
      </c>
      <c r="F104" s="449">
        <v>165</v>
      </c>
      <c r="G104" s="96">
        <v>0</v>
      </c>
    </row>
    <row r="105" spans="1:7" s="153" customFormat="1" ht="54" customHeight="1">
      <c r="A105" s="175" t="s">
        <v>499</v>
      </c>
      <c r="B105" s="356"/>
      <c r="C105" s="176" t="s">
        <v>500</v>
      </c>
      <c r="D105" s="278">
        <v>319.82</v>
      </c>
      <c r="E105" s="279">
        <v>120</v>
      </c>
      <c r="F105" s="449"/>
      <c r="G105" s="279">
        <v>0</v>
      </c>
    </row>
    <row r="106" spans="1:7">
      <c r="A106" s="170">
        <v>6</v>
      </c>
      <c r="B106" s="171"/>
      <c r="C106" s="171" t="s">
        <v>501</v>
      </c>
      <c r="D106" s="172">
        <f t="shared" ref="D106:G106" si="10">SUM(D96:D105)</f>
        <v>16653.5062</v>
      </c>
      <c r="E106" s="172">
        <f t="shared" si="10"/>
        <v>12076.6</v>
      </c>
      <c r="F106" s="172">
        <f t="shared" si="10"/>
        <v>11944.233560000001</v>
      </c>
      <c r="G106" s="172">
        <f t="shared" si="10"/>
        <v>14778.5</v>
      </c>
    </row>
    <row r="107" spans="1:7">
      <c r="A107" s="178" t="s">
        <v>271</v>
      </c>
      <c r="B107" s="178"/>
      <c r="C107" s="171" t="s">
        <v>2</v>
      </c>
      <c r="D107" s="172">
        <f t="shared" ref="D107:G107" si="11">(D95-D88)-(D106-D103)</f>
        <v>36918.987630000003</v>
      </c>
      <c r="E107" s="172">
        <f t="shared" si="11"/>
        <v>39488.699999999997</v>
      </c>
      <c r="F107" s="172">
        <f t="shared" si="11"/>
        <v>34034.161720000004</v>
      </c>
      <c r="G107" s="172">
        <f t="shared" si="11"/>
        <v>35919.299999999996</v>
      </c>
    </row>
    <row r="108" spans="1:7">
      <c r="A108" s="179" t="s">
        <v>272</v>
      </c>
      <c r="B108" s="179"/>
      <c r="C108" s="180" t="s">
        <v>502</v>
      </c>
      <c r="D108" s="280">
        <f t="shared" ref="D108:G108" si="12">D107-D85-D86+D100+D101</f>
        <v>38219.092380000002</v>
      </c>
      <c r="E108" s="280">
        <f t="shared" si="12"/>
        <v>40317.199999999997</v>
      </c>
      <c r="F108" s="280">
        <f t="shared" si="12"/>
        <v>35640.725760000008</v>
      </c>
      <c r="G108" s="280">
        <f t="shared" si="12"/>
        <v>34453.799999999996</v>
      </c>
    </row>
    <row r="109" spans="1:7">
      <c r="C109" s="135"/>
      <c r="D109" s="161"/>
      <c r="E109" s="161"/>
      <c r="F109" s="161"/>
      <c r="G109" s="161"/>
    </row>
    <row r="110" spans="1:7">
      <c r="A110" s="181" t="s">
        <v>274</v>
      </c>
      <c r="B110" s="182"/>
      <c r="C110" s="181"/>
      <c r="D110" s="161"/>
      <c r="E110" s="161"/>
      <c r="F110" s="161"/>
      <c r="G110" s="161"/>
    </row>
    <row r="111" spans="1:7" s="91" customFormat="1">
      <c r="A111" s="183">
        <v>10</v>
      </c>
      <c r="B111" s="184"/>
      <c r="C111" s="184" t="s">
        <v>504</v>
      </c>
      <c r="D111" s="185">
        <f t="shared" ref="D111:G111" si="13">D112+D117</f>
        <v>242397.88986999998</v>
      </c>
      <c r="E111" s="186">
        <f t="shared" si="13"/>
        <v>0</v>
      </c>
      <c r="F111" s="186">
        <f t="shared" si="13"/>
        <v>258430.79261999999</v>
      </c>
      <c r="G111" s="186">
        <f t="shared" si="13"/>
        <v>0</v>
      </c>
    </row>
    <row r="112" spans="1:7" s="91" customFormat="1">
      <c r="A112" s="187" t="s">
        <v>276</v>
      </c>
      <c r="B112" s="188"/>
      <c r="C112" s="188" t="s">
        <v>505</v>
      </c>
      <c r="D112" s="185">
        <f t="shared" ref="D112:G112" si="14">D113+D114+D115+D116</f>
        <v>233285.31961999999</v>
      </c>
      <c r="E112" s="186">
        <f t="shared" si="14"/>
        <v>0</v>
      </c>
      <c r="F112" s="186">
        <f t="shared" si="14"/>
        <v>248853.11676999999</v>
      </c>
      <c r="G112" s="186">
        <f t="shared" si="14"/>
        <v>0</v>
      </c>
    </row>
    <row r="113" spans="1:7" s="91" customFormat="1">
      <c r="A113" s="189" t="s">
        <v>278</v>
      </c>
      <c r="B113" s="190"/>
      <c r="C113" s="190" t="s">
        <v>506</v>
      </c>
      <c r="D113" s="95">
        <v>191197.36916999999</v>
      </c>
      <c r="E113" s="124"/>
      <c r="F113" s="124">
        <v>205440.68692000001</v>
      </c>
      <c r="G113" s="124"/>
    </row>
    <row r="114" spans="1:7" s="153" customFormat="1" ht="15" customHeight="1">
      <c r="A114" s="191">
        <v>102</v>
      </c>
      <c r="B114" s="192"/>
      <c r="C114" s="192" t="s">
        <v>507</v>
      </c>
      <c r="D114" s="143">
        <v>0</v>
      </c>
      <c r="E114" s="144"/>
      <c r="F114" s="144">
        <v>7.7689000000000004</v>
      </c>
      <c r="G114" s="144"/>
    </row>
    <row r="115" spans="1:7" s="91" customFormat="1">
      <c r="A115" s="189">
        <v>104</v>
      </c>
      <c r="B115" s="190"/>
      <c r="C115" s="190" t="s">
        <v>508</v>
      </c>
      <c r="D115" s="95">
        <v>42001.375549999997</v>
      </c>
      <c r="E115" s="124"/>
      <c r="F115" s="124">
        <v>43306.875050000002</v>
      </c>
      <c r="G115" s="124"/>
    </row>
    <row r="116" spans="1:7" s="91" customFormat="1">
      <c r="A116" s="189">
        <v>106</v>
      </c>
      <c r="B116" s="190"/>
      <c r="C116" s="190" t="s">
        <v>509</v>
      </c>
      <c r="D116" s="95">
        <v>86.5749</v>
      </c>
      <c r="E116" s="124"/>
      <c r="F116" s="124">
        <v>97.785899999999998</v>
      </c>
      <c r="G116" s="124"/>
    </row>
    <row r="117" spans="1:7" s="91" customFormat="1">
      <c r="A117" s="187" t="s">
        <v>283</v>
      </c>
      <c r="B117" s="188"/>
      <c r="C117" s="188" t="s">
        <v>510</v>
      </c>
      <c r="D117" s="185">
        <f t="shared" ref="D117:G117" si="15">D118+D119+D120</f>
        <v>9112.5702500000007</v>
      </c>
      <c r="E117" s="186">
        <f t="shared" si="15"/>
        <v>0</v>
      </c>
      <c r="F117" s="186">
        <f t="shared" si="15"/>
        <v>9577.6758499999996</v>
      </c>
      <c r="G117" s="186">
        <f t="shared" si="15"/>
        <v>0</v>
      </c>
    </row>
    <row r="118" spans="1:7" s="91" customFormat="1">
      <c r="A118" s="189">
        <v>107</v>
      </c>
      <c r="B118" s="190"/>
      <c r="C118" s="190" t="s">
        <v>511</v>
      </c>
      <c r="D118" s="95">
        <v>2568.2600000000002</v>
      </c>
      <c r="E118" s="124"/>
      <c r="F118" s="124">
        <v>2487.2600000000002</v>
      </c>
      <c r="G118" s="124"/>
    </row>
    <row r="119" spans="1:7" s="91" customFormat="1">
      <c r="A119" s="189">
        <v>108</v>
      </c>
      <c r="B119" s="190"/>
      <c r="C119" s="190" t="s">
        <v>512</v>
      </c>
      <c r="D119" s="95">
        <v>6544.3102500000005</v>
      </c>
      <c r="E119" s="124"/>
      <c r="F119" s="124">
        <v>7090.4158500000003</v>
      </c>
      <c r="G119" s="124"/>
    </row>
    <row r="120" spans="1:7" s="195" customFormat="1" ht="28">
      <c r="A120" s="191">
        <v>109</v>
      </c>
      <c r="B120" s="193"/>
      <c r="C120" s="193" t="s">
        <v>513</v>
      </c>
      <c r="D120" s="131">
        <v>0</v>
      </c>
      <c r="E120" s="194"/>
      <c r="F120" s="194">
        <v>0</v>
      </c>
      <c r="G120" s="194"/>
    </row>
    <row r="121" spans="1:7" s="91" customFormat="1">
      <c r="A121" s="187">
        <v>14</v>
      </c>
      <c r="B121" s="188"/>
      <c r="C121" s="188" t="s">
        <v>514</v>
      </c>
      <c r="D121" s="185">
        <f t="shared" ref="D121:G121" si="16">SUM(D122:D130)</f>
        <v>473284.13199999998</v>
      </c>
      <c r="E121" s="185">
        <f t="shared" si="16"/>
        <v>0</v>
      </c>
      <c r="F121" s="185">
        <f t="shared" si="16"/>
        <v>471912.49191999994</v>
      </c>
      <c r="G121" s="185">
        <f t="shared" si="16"/>
        <v>0</v>
      </c>
    </row>
    <row r="122" spans="1:7" s="91" customFormat="1">
      <c r="A122" s="189" t="s">
        <v>289</v>
      </c>
      <c r="B122" s="190"/>
      <c r="C122" s="190" t="s">
        <v>515</v>
      </c>
      <c r="D122" s="95">
        <v>241145.63785</v>
      </c>
      <c r="E122" s="124"/>
      <c r="F122" s="124">
        <v>250069.58575999999</v>
      </c>
      <c r="G122" s="124"/>
    </row>
    <row r="123" spans="1:7" s="91" customFormat="1">
      <c r="A123" s="189">
        <v>144</v>
      </c>
      <c r="B123" s="190"/>
      <c r="C123" s="190" t="s">
        <v>480</v>
      </c>
      <c r="D123" s="95">
        <v>94330.326799999995</v>
      </c>
      <c r="E123" s="124"/>
      <c r="F123" s="124">
        <v>93204.609960000002</v>
      </c>
      <c r="G123" s="124"/>
    </row>
    <row r="124" spans="1:7" s="91" customFormat="1">
      <c r="A124" s="189">
        <v>145</v>
      </c>
      <c r="B124" s="190"/>
      <c r="C124" s="190" t="s">
        <v>516</v>
      </c>
      <c r="D124" s="95">
        <v>22944.418000000001</v>
      </c>
      <c r="E124" s="196"/>
      <c r="F124" s="196">
        <v>22944.418000000001</v>
      </c>
      <c r="G124" s="196"/>
    </row>
    <row r="125" spans="1:7" s="91" customFormat="1">
      <c r="A125" s="189">
        <v>146</v>
      </c>
      <c r="B125" s="190"/>
      <c r="C125" s="190" t="s">
        <v>517</v>
      </c>
      <c r="D125" s="95">
        <v>114863.74935</v>
      </c>
      <c r="E125" s="196"/>
      <c r="F125" s="196">
        <v>105693.87820000001</v>
      </c>
      <c r="G125" s="196"/>
    </row>
    <row r="126" spans="1:7" s="195" customFormat="1" ht="29.5" customHeight="1">
      <c r="A126" s="191" t="s">
        <v>293</v>
      </c>
      <c r="B126" s="193"/>
      <c r="C126" s="193" t="s">
        <v>518</v>
      </c>
      <c r="D126" s="131">
        <v>0</v>
      </c>
      <c r="E126" s="197"/>
      <c r="F126" s="197"/>
      <c r="G126" s="197"/>
    </row>
    <row r="127" spans="1:7" s="91" customFormat="1">
      <c r="A127" s="189">
        <v>1484</v>
      </c>
      <c r="B127" s="190"/>
      <c r="C127" s="190" t="s">
        <v>519</v>
      </c>
      <c r="D127" s="95">
        <v>0</v>
      </c>
      <c r="E127" s="196"/>
      <c r="F127" s="196"/>
      <c r="G127" s="196"/>
    </row>
    <row r="128" spans="1:7" s="195" customFormat="1" ht="14">
      <c r="A128" s="191">
        <v>1485</v>
      </c>
      <c r="B128" s="193"/>
      <c r="C128" s="193" t="s">
        <v>520</v>
      </c>
      <c r="D128" s="131">
        <v>0</v>
      </c>
      <c r="E128" s="197"/>
      <c r="F128" s="197"/>
      <c r="G128" s="197"/>
    </row>
    <row r="129" spans="1:7" s="195" customFormat="1" ht="28">
      <c r="A129" s="191">
        <v>1486</v>
      </c>
      <c r="B129" s="193"/>
      <c r="C129" s="193" t="s">
        <v>521</v>
      </c>
      <c r="D129" s="131">
        <v>0</v>
      </c>
      <c r="E129" s="197"/>
      <c r="F129" s="197"/>
      <c r="G129" s="197"/>
    </row>
    <row r="130" spans="1:7" s="195" customFormat="1" ht="14">
      <c r="A130" s="417">
        <v>1489</v>
      </c>
      <c r="B130" s="418"/>
      <c r="C130" s="418" t="s">
        <v>522</v>
      </c>
      <c r="D130" s="419">
        <v>0</v>
      </c>
      <c r="E130" s="420"/>
      <c r="F130" s="420"/>
      <c r="G130" s="420"/>
    </row>
    <row r="131" spans="1:7">
      <c r="A131" s="201">
        <v>1</v>
      </c>
      <c r="B131" s="202"/>
      <c r="C131" s="201" t="s">
        <v>523</v>
      </c>
      <c r="D131" s="203">
        <f t="shared" ref="D131:G131" si="17">D111+D121</f>
        <v>715682.02186999994</v>
      </c>
      <c r="E131" s="203">
        <f t="shared" si="17"/>
        <v>0</v>
      </c>
      <c r="F131" s="203">
        <f t="shared" si="17"/>
        <v>730343.28453999991</v>
      </c>
      <c r="G131" s="203">
        <f t="shared" si="17"/>
        <v>0</v>
      </c>
    </row>
    <row r="132" spans="1:7">
      <c r="C132" s="135"/>
      <c r="D132" s="161"/>
      <c r="E132" s="161"/>
      <c r="F132" s="161"/>
      <c r="G132" s="161"/>
    </row>
    <row r="133" spans="1:7" s="91" customFormat="1">
      <c r="A133" s="183">
        <v>20</v>
      </c>
      <c r="B133" s="184"/>
      <c r="C133" s="184" t="s">
        <v>524</v>
      </c>
      <c r="D133" s="204">
        <f t="shared" ref="D133:G133" si="18">D134+D140</f>
        <v>539193.15494000004</v>
      </c>
      <c r="E133" s="318">
        <f t="shared" si="18"/>
        <v>0</v>
      </c>
      <c r="F133" s="318">
        <f t="shared" si="18"/>
        <v>534102.99261999992</v>
      </c>
      <c r="G133" s="318">
        <f t="shared" si="18"/>
        <v>0</v>
      </c>
    </row>
    <row r="134" spans="1:7" s="91" customFormat="1">
      <c r="A134" s="205" t="s">
        <v>301</v>
      </c>
      <c r="B134" s="188"/>
      <c r="C134" s="188" t="s">
        <v>525</v>
      </c>
      <c r="D134" s="185">
        <f t="shared" ref="D134:G134" si="19">D135+D136+D138+D139</f>
        <v>174241.49979</v>
      </c>
      <c r="E134" s="186">
        <f t="shared" si="19"/>
        <v>0</v>
      </c>
      <c r="F134" s="186">
        <f t="shared" si="19"/>
        <v>160562.02289999998</v>
      </c>
      <c r="G134" s="186">
        <f t="shared" si="19"/>
        <v>0</v>
      </c>
    </row>
    <row r="135" spans="1:7" s="106" customFormat="1">
      <c r="A135" s="206">
        <v>200</v>
      </c>
      <c r="B135" s="190"/>
      <c r="C135" s="190" t="s">
        <v>526</v>
      </c>
      <c r="D135" s="95">
        <v>74419.633570000005</v>
      </c>
      <c r="E135" s="124"/>
      <c r="F135" s="124">
        <v>72296.70766</v>
      </c>
      <c r="G135" s="124"/>
    </row>
    <row r="136" spans="1:7" s="106" customFormat="1">
      <c r="A136" s="206">
        <v>201</v>
      </c>
      <c r="B136" s="190"/>
      <c r="C136" s="190" t="s">
        <v>527</v>
      </c>
      <c r="D136" s="95">
        <v>61170.983289999996</v>
      </c>
      <c r="E136" s="124"/>
      <c r="F136" s="124">
        <v>50000</v>
      </c>
      <c r="G136" s="124"/>
    </row>
    <row r="137" spans="1:7" s="106" customFormat="1">
      <c r="A137" s="207" t="s">
        <v>528</v>
      </c>
      <c r="B137" s="208"/>
      <c r="C137" s="208" t="s">
        <v>529</v>
      </c>
      <c r="D137" s="100">
        <v>0</v>
      </c>
      <c r="E137" s="209"/>
      <c r="F137" s="209">
        <v>0</v>
      </c>
      <c r="G137" s="209"/>
    </row>
    <row r="138" spans="1:7" s="106" customFormat="1">
      <c r="A138" s="206">
        <v>204</v>
      </c>
      <c r="B138" s="190"/>
      <c r="C138" s="190" t="s">
        <v>530</v>
      </c>
      <c r="D138" s="95">
        <v>35025.938730000002</v>
      </c>
      <c r="E138" s="196"/>
      <c r="F138" s="196">
        <v>34665.653039999997</v>
      </c>
      <c r="G138" s="196"/>
    </row>
    <row r="139" spans="1:7" s="106" customFormat="1">
      <c r="A139" s="206">
        <v>205</v>
      </c>
      <c r="B139" s="190"/>
      <c r="C139" s="190" t="s">
        <v>531</v>
      </c>
      <c r="D139" s="95">
        <v>3624.9441999999999</v>
      </c>
      <c r="E139" s="196"/>
      <c r="F139" s="196">
        <v>3599.6622000000002</v>
      </c>
      <c r="G139" s="196"/>
    </row>
    <row r="140" spans="1:7" s="106" customFormat="1">
      <c r="A140" s="205" t="s">
        <v>309</v>
      </c>
      <c r="B140" s="188"/>
      <c r="C140" s="188" t="s">
        <v>532</v>
      </c>
      <c r="D140" s="185">
        <f t="shared" ref="D140:G140" si="20">D141+D143+D144</f>
        <v>364951.65515000001</v>
      </c>
      <c r="E140" s="186">
        <f t="shared" si="20"/>
        <v>0</v>
      </c>
      <c r="F140" s="186">
        <f t="shared" si="20"/>
        <v>373540.96971999999</v>
      </c>
      <c r="G140" s="186">
        <f t="shared" si="20"/>
        <v>0</v>
      </c>
    </row>
    <row r="141" spans="1:7" s="106" customFormat="1">
      <c r="A141" s="206">
        <v>206</v>
      </c>
      <c r="B141" s="190"/>
      <c r="C141" s="190" t="s">
        <v>533</v>
      </c>
      <c r="D141" s="95">
        <v>358570.40399000002</v>
      </c>
      <c r="E141" s="196"/>
      <c r="F141" s="196">
        <v>364673.03512000002</v>
      </c>
      <c r="G141" s="196"/>
    </row>
    <row r="142" spans="1:7" s="106" customFormat="1">
      <c r="A142" s="207" t="s">
        <v>534</v>
      </c>
      <c r="B142" s="208"/>
      <c r="C142" s="208" t="s">
        <v>535</v>
      </c>
      <c r="D142" s="100">
        <v>0</v>
      </c>
      <c r="E142" s="209"/>
      <c r="F142" s="209">
        <v>0</v>
      </c>
      <c r="G142" s="209"/>
    </row>
    <row r="143" spans="1:7" s="106" customFormat="1">
      <c r="A143" s="206">
        <v>208</v>
      </c>
      <c r="B143" s="190"/>
      <c r="C143" s="190" t="s">
        <v>536</v>
      </c>
      <c r="D143" s="95">
        <v>0</v>
      </c>
      <c r="E143" s="196"/>
      <c r="F143" s="196">
        <v>0</v>
      </c>
      <c r="G143" s="196"/>
    </row>
    <row r="144" spans="1:7" s="111" customFormat="1" ht="28">
      <c r="A144" s="191">
        <v>209</v>
      </c>
      <c r="B144" s="193"/>
      <c r="C144" s="193" t="s">
        <v>537</v>
      </c>
      <c r="D144" s="131">
        <v>6381.2511599999998</v>
      </c>
      <c r="E144" s="197"/>
      <c r="F144" s="197">
        <v>8867.9346000000005</v>
      </c>
      <c r="G144" s="197"/>
    </row>
    <row r="145" spans="1:7" s="91" customFormat="1">
      <c r="A145" s="205">
        <v>29</v>
      </c>
      <c r="B145" s="188"/>
      <c r="C145" s="188" t="s">
        <v>538</v>
      </c>
      <c r="D145" s="210">
        <v>176488.86692999999</v>
      </c>
      <c r="E145" s="196"/>
      <c r="F145" s="196">
        <v>196240.29191999999</v>
      </c>
      <c r="G145" s="196"/>
    </row>
    <row r="146" spans="1:7" s="91" customFormat="1">
      <c r="A146" s="211" t="s">
        <v>539</v>
      </c>
      <c r="B146" s="212"/>
      <c r="C146" s="212" t="s">
        <v>540</v>
      </c>
      <c r="D146" s="138">
        <v>157982.75640000001</v>
      </c>
      <c r="E146" s="139"/>
      <c r="F146" s="139">
        <v>15898.572548</v>
      </c>
      <c r="G146" s="139"/>
    </row>
    <row r="147" spans="1:7">
      <c r="A147" s="201">
        <v>2</v>
      </c>
      <c r="B147" s="202"/>
      <c r="C147" s="201" t="s">
        <v>541</v>
      </c>
      <c r="D147" s="203">
        <f t="shared" ref="D147:G147" si="21">D133+D145</f>
        <v>715682.02187000006</v>
      </c>
      <c r="E147" s="203">
        <f t="shared" si="21"/>
        <v>0</v>
      </c>
      <c r="F147" s="203">
        <f t="shared" si="21"/>
        <v>730343.28453999991</v>
      </c>
      <c r="G147" s="203">
        <f t="shared" si="21"/>
        <v>0</v>
      </c>
    </row>
    <row r="148" spans="1:7" ht="7.5" customHeight="1"/>
    <row r="149" spans="1:7" ht="13.5" customHeight="1">
      <c r="A149" s="450" t="s">
        <v>618</v>
      </c>
      <c r="B149" s="214"/>
      <c r="C149" s="215"/>
      <c r="D149" s="214"/>
      <c r="E149" s="214"/>
      <c r="F149" s="214"/>
      <c r="G149" s="214"/>
    </row>
    <row r="150" spans="1:7">
      <c r="A150" s="216" t="s">
        <v>543</v>
      </c>
      <c r="B150" s="217"/>
      <c r="C150" s="217" t="s">
        <v>137</v>
      </c>
      <c r="D150" s="218">
        <f t="shared" ref="D150:G150" si="22">D77+SUM(D8:D12)-D30-D31+D16-D33+D59+D63-D73+D64-D74-D54+D20-D35</f>
        <v>40321.86134999997</v>
      </c>
      <c r="E150" s="218">
        <f t="shared" si="22"/>
        <v>31545.649999999958</v>
      </c>
      <c r="F150" s="218">
        <f t="shared" si="22"/>
        <v>54992.175929999969</v>
      </c>
      <c r="G150" s="218">
        <f t="shared" si="22"/>
        <v>18383.500000000095</v>
      </c>
    </row>
    <row r="151" spans="1:7">
      <c r="A151" s="219" t="s">
        <v>544</v>
      </c>
      <c r="B151" s="220"/>
      <c r="C151" s="220" t="s">
        <v>545</v>
      </c>
      <c r="D151" s="221">
        <f t="shared" ref="D151:G151" si="23">IF(D177=0,0,D150/D177)</f>
        <v>5.1764518287982855E-2</v>
      </c>
      <c r="E151" s="221">
        <f t="shared" si="23"/>
        <v>3.9566521905974546E-2</v>
      </c>
      <c r="F151" s="221">
        <f t="shared" si="23"/>
        <v>6.8502019373265985E-2</v>
      </c>
      <c r="G151" s="221">
        <f t="shared" si="23"/>
        <v>2.3408916921042789E-2</v>
      </c>
    </row>
    <row r="152" spans="1:7" s="296" customFormat="1" ht="28">
      <c r="A152" s="229" t="s">
        <v>546</v>
      </c>
      <c r="B152" s="230"/>
      <c r="C152" s="230" t="s">
        <v>547</v>
      </c>
      <c r="D152" s="295">
        <f t="shared" ref="D152:G152" si="24">IF(D107=0,0,D150/D107)</f>
        <v>1.0921713713849193</v>
      </c>
      <c r="E152" s="295">
        <f t="shared" si="24"/>
        <v>0.79885258314403762</v>
      </c>
      <c r="F152" s="295">
        <f t="shared" si="24"/>
        <v>1.6157934601833925</v>
      </c>
      <c r="G152" s="295">
        <f t="shared" si="24"/>
        <v>0.51180006291882352</v>
      </c>
    </row>
    <row r="153" spans="1:7" s="296" customFormat="1" ht="28">
      <c r="A153" s="222" t="s">
        <v>546</v>
      </c>
      <c r="B153" s="223"/>
      <c r="C153" s="223" t="s">
        <v>548</v>
      </c>
      <c r="D153" s="241">
        <f t="shared" ref="D153:G153" si="25">IF(0=D108,0,D150/D108)</f>
        <v>1.0550188096852959</v>
      </c>
      <c r="E153" s="241">
        <f t="shared" si="25"/>
        <v>0.78243652833033939</v>
      </c>
      <c r="F153" s="241">
        <f t="shared" si="25"/>
        <v>1.5429589257051077</v>
      </c>
      <c r="G153" s="241">
        <f t="shared" si="25"/>
        <v>0.53356959174314866</v>
      </c>
    </row>
    <row r="154" spans="1:7" ht="28">
      <c r="A154" s="226" t="s">
        <v>549</v>
      </c>
      <c r="B154" s="227"/>
      <c r="C154" s="227" t="s">
        <v>550</v>
      </c>
      <c r="D154" s="234">
        <f t="shared" ref="D154:G154" si="26">D150-D107</f>
        <v>3402.8737199999669</v>
      </c>
      <c r="E154" s="234">
        <f t="shared" si="26"/>
        <v>-7943.0500000000393</v>
      </c>
      <c r="F154" s="234">
        <f t="shared" si="26"/>
        <v>20958.014209999965</v>
      </c>
      <c r="G154" s="234">
        <f t="shared" si="26"/>
        <v>-17535.799999999901</v>
      </c>
    </row>
    <row r="155" spans="1:7" ht="27.5" customHeight="1">
      <c r="A155" s="222" t="s">
        <v>551</v>
      </c>
      <c r="B155" s="223"/>
      <c r="C155" s="223" t="s">
        <v>552</v>
      </c>
      <c r="D155" s="231">
        <f t="shared" ref="D155:G155" si="27">D150-D108</f>
        <v>2102.7689699999682</v>
      </c>
      <c r="E155" s="231">
        <f t="shared" si="27"/>
        <v>-8771.5500000000393</v>
      </c>
      <c r="F155" s="231">
        <f t="shared" si="27"/>
        <v>19351.45016999996</v>
      </c>
      <c r="G155" s="231">
        <f t="shared" si="27"/>
        <v>-16070.299999999901</v>
      </c>
    </row>
    <row r="156" spans="1:7">
      <c r="A156" s="216" t="s">
        <v>553</v>
      </c>
      <c r="B156" s="217"/>
      <c r="C156" s="217" t="s">
        <v>554</v>
      </c>
      <c r="D156" s="235">
        <f t="shared" ref="D156:G156" si="28">D135+D136-D137+D141-D142</f>
        <v>494161.02085000003</v>
      </c>
      <c r="E156" s="235">
        <f t="shared" si="28"/>
        <v>0</v>
      </c>
      <c r="F156" s="235">
        <f t="shared" si="28"/>
        <v>486969.74278000003</v>
      </c>
      <c r="G156" s="235">
        <f t="shared" si="28"/>
        <v>0</v>
      </c>
    </row>
    <row r="157" spans="1:7">
      <c r="A157" s="236" t="s">
        <v>555</v>
      </c>
      <c r="B157" s="237"/>
      <c r="C157" s="237" t="s">
        <v>556</v>
      </c>
      <c r="D157" s="238">
        <f t="shared" ref="D157:G157" si="29">IF(D177=0,0,D156/D177)</f>
        <v>0.63439549526148364</v>
      </c>
      <c r="E157" s="238">
        <f t="shared" si="29"/>
        <v>0</v>
      </c>
      <c r="F157" s="238">
        <f t="shared" si="29"/>
        <v>0.60660285195065089</v>
      </c>
      <c r="G157" s="238">
        <f t="shared" si="29"/>
        <v>0</v>
      </c>
    </row>
    <row r="158" spans="1:7">
      <c r="A158" s="216" t="s">
        <v>557</v>
      </c>
      <c r="B158" s="217"/>
      <c r="C158" s="217" t="s">
        <v>558</v>
      </c>
      <c r="D158" s="235">
        <f t="shared" ref="D158:G158" si="30">D133-D142-D111</f>
        <v>296795.26507000008</v>
      </c>
      <c r="E158" s="235">
        <f t="shared" si="30"/>
        <v>0</v>
      </c>
      <c r="F158" s="235">
        <f t="shared" si="30"/>
        <v>275672.19999999995</v>
      </c>
      <c r="G158" s="235">
        <f t="shared" si="30"/>
        <v>0</v>
      </c>
    </row>
    <row r="159" spans="1:7">
      <c r="A159" s="219" t="s">
        <v>559</v>
      </c>
      <c r="B159" s="220"/>
      <c r="C159" s="220" t="s">
        <v>560</v>
      </c>
      <c r="D159" s="239">
        <f t="shared" ref="D159:G159" si="31">D121-D123-D124-D142-D145</f>
        <v>179520.52027000001</v>
      </c>
      <c r="E159" s="239">
        <f t="shared" si="31"/>
        <v>0</v>
      </c>
      <c r="F159" s="239">
        <f t="shared" si="31"/>
        <v>159523.17203999992</v>
      </c>
      <c r="G159" s="239">
        <f t="shared" si="31"/>
        <v>0</v>
      </c>
    </row>
    <row r="160" spans="1:7">
      <c r="A160" s="219" t="s">
        <v>561</v>
      </c>
      <c r="B160" s="220"/>
      <c r="C160" s="220" t="s">
        <v>562</v>
      </c>
      <c r="D160" s="240">
        <f t="shared" ref="D160:G160" si="32">IF(D175=0,"-",1000*D158/D175)</f>
        <v>4097.231633534886</v>
      </c>
      <c r="E160" s="240">
        <f t="shared" si="32"/>
        <v>0</v>
      </c>
      <c r="F160" s="240">
        <f t="shared" si="32"/>
        <v>3771.3718944949101</v>
      </c>
      <c r="G160" s="240">
        <f t="shared" si="32"/>
        <v>0</v>
      </c>
    </row>
    <row r="161" spans="1:7">
      <c r="A161" s="219" t="s">
        <v>561</v>
      </c>
      <c r="B161" s="220"/>
      <c r="C161" s="220" t="s">
        <v>563</v>
      </c>
      <c r="D161" s="239">
        <f t="shared" ref="D161:G161" si="33">IF(D175=0,0,1000*(D159/D175))</f>
        <v>2478.2644505646208</v>
      </c>
      <c r="E161" s="239">
        <f t="shared" si="33"/>
        <v>0</v>
      </c>
      <c r="F161" s="239">
        <f t="shared" si="33"/>
        <v>2182.3789542519412</v>
      </c>
      <c r="G161" s="239">
        <f t="shared" si="33"/>
        <v>0</v>
      </c>
    </row>
    <row r="162" spans="1:7">
      <c r="A162" s="236" t="s">
        <v>564</v>
      </c>
      <c r="B162" s="237"/>
      <c r="C162" s="237" t="s">
        <v>565</v>
      </c>
      <c r="D162" s="238">
        <f t="shared" ref="D162:G162" si="34">IF((D22+D23+D65+D66)=0,0,D158/(D22+D23+D65+D66))</f>
        <v>0.88445835414674678</v>
      </c>
      <c r="E162" s="238">
        <f t="shared" si="34"/>
        <v>0</v>
      </c>
      <c r="F162" s="238">
        <f t="shared" si="34"/>
        <v>0.80563653352458842</v>
      </c>
      <c r="G162" s="238">
        <f t="shared" si="34"/>
        <v>0</v>
      </c>
    </row>
    <row r="163" spans="1:7">
      <c r="A163" s="219" t="s">
        <v>566</v>
      </c>
      <c r="B163" s="220"/>
      <c r="C163" s="220" t="s">
        <v>567</v>
      </c>
      <c r="D163" s="218">
        <f t="shared" ref="D163:G163" si="35">D145</f>
        <v>176488.86692999999</v>
      </c>
      <c r="E163" s="218">
        <f t="shared" si="35"/>
        <v>0</v>
      </c>
      <c r="F163" s="218">
        <f t="shared" si="35"/>
        <v>196240.29191999999</v>
      </c>
      <c r="G163" s="218">
        <f t="shared" si="35"/>
        <v>0</v>
      </c>
    </row>
    <row r="164" spans="1:7" ht="28">
      <c r="A164" s="222" t="s">
        <v>568</v>
      </c>
      <c r="B164" s="237"/>
      <c r="C164" s="237" t="s">
        <v>569</v>
      </c>
      <c r="D164" s="241">
        <f t="shared" ref="D164:G164" si="36">IF(D178=0,0,D146/D178)</f>
        <v>0.20360154997279689</v>
      </c>
      <c r="E164" s="241">
        <f t="shared" si="36"/>
        <v>0</v>
      </c>
      <c r="F164" s="241">
        <f t="shared" si="36"/>
        <v>2.02586658481161E-2</v>
      </c>
      <c r="G164" s="241">
        <f t="shared" si="36"/>
        <v>0</v>
      </c>
    </row>
    <row r="165" spans="1:7">
      <c r="A165" s="242" t="s">
        <v>570</v>
      </c>
      <c r="B165" s="243"/>
      <c r="C165" s="243" t="s">
        <v>571</v>
      </c>
      <c r="D165" s="244">
        <f t="shared" ref="D165:G165" si="37">IF(D177=0,0,D180/D177)</f>
        <v>5.1508243051535653E-2</v>
      </c>
      <c r="E165" s="244">
        <f t="shared" si="37"/>
        <v>5.0471894269193684E-2</v>
      </c>
      <c r="F165" s="244">
        <f t="shared" si="37"/>
        <v>4.9467631798286074E-2</v>
      </c>
      <c r="G165" s="244">
        <f t="shared" si="37"/>
        <v>4.9868435863884335E-2</v>
      </c>
    </row>
    <row r="166" spans="1:7">
      <c r="A166" s="219" t="s">
        <v>572</v>
      </c>
      <c r="B166" s="220"/>
      <c r="C166" s="220" t="s">
        <v>573</v>
      </c>
      <c r="D166" s="218">
        <f t="shared" ref="D166:G166" si="38">D55</f>
        <v>3176.7959000000001</v>
      </c>
      <c r="E166" s="218">
        <f t="shared" si="38"/>
        <v>2559.2000000000016</v>
      </c>
      <c r="F166" s="218">
        <f t="shared" si="38"/>
        <v>2643.2653800000007</v>
      </c>
      <c r="G166" s="218">
        <f t="shared" si="38"/>
        <v>2911.4999999999991</v>
      </c>
    </row>
    <row r="167" spans="1:7" s="296" customFormat="1" ht="14">
      <c r="A167" s="222" t="s">
        <v>574</v>
      </c>
      <c r="B167" s="237"/>
      <c r="C167" s="237" t="s">
        <v>575</v>
      </c>
      <c r="D167" s="241">
        <f t="shared" ref="D167:G167" si="39">IF(0=D111,0,(D44+D45+D46+D47+D48)/D111)</f>
        <v>1.4794261047087719E-2</v>
      </c>
      <c r="E167" s="241">
        <f t="shared" si="39"/>
        <v>0</v>
      </c>
      <c r="F167" s="241">
        <f t="shared" si="39"/>
        <v>1.1500851039722359E-2</v>
      </c>
      <c r="G167" s="241">
        <f t="shared" si="39"/>
        <v>0</v>
      </c>
    </row>
    <row r="168" spans="1:7">
      <c r="A168" s="219" t="s">
        <v>576</v>
      </c>
      <c r="B168" s="217"/>
      <c r="C168" s="217" t="s">
        <v>577</v>
      </c>
      <c r="D168" s="218">
        <f t="shared" ref="D168:G168" si="40">D38-D44</f>
        <v>3414.5072999999998</v>
      </c>
      <c r="E168" s="218">
        <f t="shared" si="40"/>
        <v>4261.3</v>
      </c>
      <c r="F168" s="218">
        <f t="shared" si="40"/>
        <v>3865.0665899999995</v>
      </c>
      <c r="G168" s="218">
        <f t="shared" si="40"/>
        <v>3956.7000000000003</v>
      </c>
    </row>
    <row r="169" spans="1:7">
      <c r="A169" s="236" t="s">
        <v>578</v>
      </c>
      <c r="B169" s="237"/>
      <c r="C169" s="237" t="s">
        <v>579</v>
      </c>
      <c r="D169" s="221">
        <f t="shared" ref="D169:G169" si="41">IF(D177=0,0,D168/D177)</f>
        <v>4.3834862691749495E-3</v>
      </c>
      <c r="E169" s="221">
        <f t="shared" si="41"/>
        <v>5.3447882607563823E-3</v>
      </c>
      <c r="F169" s="221">
        <f t="shared" si="41"/>
        <v>4.8145915659741235E-3</v>
      </c>
      <c r="G169" s="221">
        <f t="shared" si="41"/>
        <v>5.0383257585056998E-3</v>
      </c>
    </row>
    <row r="170" spans="1:7">
      <c r="A170" s="219" t="s">
        <v>580</v>
      </c>
      <c r="B170" s="220"/>
      <c r="C170" s="220" t="s">
        <v>581</v>
      </c>
      <c r="D170" s="218">
        <f t="shared" ref="D170:G170" si="42">SUM(D82:D87)+SUM(D89:D94)</f>
        <v>41623.531980000007</v>
      </c>
      <c r="E170" s="218">
        <f t="shared" si="42"/>
        <v>44051.5</v>
      </c>
      <c r="F170" s="218">
        <f t="shared" si="42"/>
        <v>38445.599770000001</v>
      </c>
      <c r="G170" s="218">
        <f t="shared" si="42"/>
        <v>39798.699999999997</v>
      </c>
    </row>
    <row r="171" spans="1:7">
      <c r="A171" s="219" t="s">
        <v>582</v>
      </c>
      <c r="B171" s="220"/>
      <c r="C171" s="220" t="s">
        <v>583</v>
      </c>
      <c r="D171" s="239">
        <f t="shared" ref="D171:G171" si="43">SUM(D96:D102)+SUM(D104:D105)</f>
        <v>4704.5443499999992</v>
      </c>
      <c r="E171" s="239">
        <f t="shared" si="43"/>
        <v>4562.8</v>
      </c>
      <c r="F171" s="239">
        <f t="shared" si="43"/>
        <v>4411.4380499999997</v>
      </c>
      <c r="G171" s="239">
        <f t="shared" si="43"/>
        <v>3879.4</v>
      </c>
    </row>
    <row r="172" spans="1:7">
      <c r="A172" s="242" t="s">
        <v>584</v>
      </c>
      <c r="B172" s="243"/>
      <c r="C172" s="243" t="s">
        <v>585</v>
      </c>
      <c r="D172" s="244">
        <f t="shared" ref="D172:G172" si="44">IF(D184=0,0,D170/D184)</f>
        <v>5.4071213509727635E-2</v>
      </c>
      <c r="E172" s="244">
        <f t="shared" si="44"/>
        <v>5.51270958533071E-2</v>
      </c>
      <c r="F172" s="244">
        <f t="shared" si="44"/>
        <v>4.9543190794936229E-2</v>
      </c>
      <c r="G172" s="244">
        <f t="shared" si="44"/>
        <v>5.0028679437302277E-2</v>
      </c>
    </row>
    <row r="173" spans="1:7">
      <c r="A173" s="389"/>
    </row>
    <row r="174" spans="1:7">
      <c r="A174" s="310" t="s">
        <v>586</v>
      </c>
      <c r="B174" s="248"/>
      <c r="C174" s="247"/>
      <c r="D174" s="161"/>
      <c r="E174" s="161"/>
      <c r="F174" s="161"/>
      <c r="G174" s="161"/>
    </row>
    <row r="175" spans="1:7" s="91" customFormat="1">
      <c r="A175" s="312" t="s">
        <v>587</v>
      </c>
      <c r="B175" s="248"/>
      <c r="C175" s="248" t="s">
        <v>588</v>
      </c>
      <c r="D175" s="246">
        <v>72438</v>
      </c>
      <c r="E175" s="451">
        <v>73000</v>
      </c>
      <c r="F175" s="451">
        <v>73096</v>
      </c>
      <c r="G175" s="451">
        <v>73796</v>
      </c>
    </row>
    <row r="176" spans="1:7">
      <c r="A176" s="310" t="s">
        <v>589</v>
      </c>
      <c r="B176" s="248"/>
      <c r="C176" s="248"/>
      <c r="D176" s="248"/>
      <c r="E176" s="248"/>
      <c r="F176" s="248"/>
      <c r="G176" s="248"/>
    </row>
    <row r="177" spans="1:7">
      <c r="A177" s="312" t="s">
        <v>590</v>
      </c>
      <c r="B177" s="248"/>
      <c r="C177" s="248" t="s">
        <v>591</v>
      </c>
      <c r="D177" s="249">
        <f t="shared" ref="D177:G177" si="45">SUM(D22:D32)+SUM(D44:D53)+SUM(D65:D72)+D75</f>
        <v>778947.8716999999</v>
      </c>
      <c r="E177" s="249">
        <f t="shared" si="45"/>
        <v>797281.35</v>
      </c>
      <c r="F177" s="249">
        <f t="shared" si="45"/>
        <v>802781.82209999999</v>
      </c>
      <c r="G177" s="249">
        <f t="shared" si="45"/>
        <v>785320.40000000014</v>
      </c>
    </row>
    <row r="178" spans="1:7">
      <c r="A178" s="312" t="s">
        <v>592</v>
      </c>
      <c r="B178" s="248"/>
      <c r="C178" s="248" t="s">
        <v>593</v>
      </c>
      <c r="D178" s="249">
        <f t="shared" ref="D178:G178" si="46">D78-D17-D20-D59-D63-D64</f>
        <v>775940.83355999994</v>
      </c>
      <c r="E178" s="249">
        <f t="shared" si="46"/>
        <v>801353.7</v>
      </c>
      <c r="F178" s="249">
        <f t="shared" si="46"/>
        <v>784778.85302000004</v>
      </c>
      <c r="G178" s="249">
        <f t="shared" si="46"/>
        <v>801619.8</v>
      </c>
    </row>
    <row r="179" spans="1:7">
      <c r="A179" s="312"/>
      <c r="B179" s="248"/>
      <c r="C179" s="248" t="s">
        <v>594</v>
      </c>
      <c r="D179" s="249">
        <f t="shared" ref="D179:G179" si="47">D178+D170</f>
        <v>817564.36553999991</v>
      </c>
      <c r="E179" s="249">
        <f t="shared" si="47"/>
        <v>845405.2</v>
      </c>
      <c r="F179" s="249">
        <f t="shared" si="47"/>
        <v>823224.45279000001</v>
      </c>
      <c r="G179" s="249">
        <f t="shared" si="47"/>
        <v>841418.5</v>
      </c>
    </row>
    <row r="180" spans="1:7">
      <c r="A180" s="312" t="s">
        <v>595</v>
      </c>
      <c r="B180" s="248"/>
      <c r="C180" s="248" t="s">
        <v>596</v>
      </c>
      <c r="D180" s="249">
        <f t="shared" ref="D180:G180" si="48">D38-D44+D8+D9+D10+D16-D33</f>
        <v>40122.236300000004</v>
      </c>
      <c r="E180" s="249">
        <f t="shared" si="48"/>
        <v>40240.300000000003</v>
      </c>
      <c r="F180" s="249">
        <f t="shared" si="48"/>
        <v>39711.715589999993</v>
      </c>
      <c r="G180" s="249">
        <f t="shared" si="48"/>
        <v>39162.699999999997</v>
      </c>
    </row>
    <row r="181" spans="1:7" ht="27.5" customHeight="1">
      <c r="A181" s="315" t="s">
        <v>597</v>
      </c>
      <c r="B181" s="251"/>
      <c r="C181" s="251" t="s">
        <v>598</v>
      </c>
      <c r="D181" s="252">
        <f t="shared" ref="D181:G181" si="49">D22+D23+D24+D25+D26+D29+SUM(D44:D47)+SUM(D49:D53)-D54+D32-D33+SUM(D65:D70)+D72</f>
        <v>768473.12830999983</v>
      </c>
      <c r="E181" s="252">
        <f t="shared" si="49"/>
        <v>786563.95</v>
      </c>
      <c r="F181" s="252">
        <f t="shared" si="49"/>
        <v>792519.69605999999</v>
      </c>
      <c r="G181" s="252">
        <f t="shared" si="49"/>
        <v>774082.5</v>
      </c>
    </row>
    <row r="182" spans="1:7">
      <c r="A182" s="317" t="s">
        <v>599</v>
      </c>
      <c r="B182" s="251"/>
      <c r="C182" s="251" t="s">
        <v>600</v>
      </c>
      <c r="D182" s="252">
        <f t="shared" ref="D182:G182" si="50">D181+D171</f>
        <v>773177.67265999981</v>
      </c>
      <c r="E182" s="252">
        <f t="shared" si="50"/>
        <v>791126.75</v>
      </c>
      <c r="F182" s="252">
        <f t="shared" si="50"/>
        <v>796931.13410999998</v>
      </c>
      <c r="G182" s="252">
        <f t="shared" si="50"/>
        <v>777961.9</v>
      </c>
    </row>
    <row r="183" spans="1:7">
      <c r="A183" s="317" t="s">
        <v>601</v>
      </c>
      <c r="B183" s="251"/>
      <c r="C183" s="251" t="s">
        <v>602</v>
      </c>
      <c r="D183" s="252">
        <f t="shared" ref="D183" si="51">D4+D5-D7+D38+D39+D40+D41+D43+D13-D16+D57+D58+D60+D62</f>
        <v>728167.43955999997</v>
      </c>
      <c r="E183" s="252">
        <f>E4+E5-E7+E38+E39+E40+E41+E43+E13-E16+E57+E58+E60+E62</f>
        <v>755038.3</v>
      </c>
      <c r="F183" s="252">
        <f>F4+F5-F7+F38+F39+F40+F41+F43+F13-F16+F57+F58+F60+F62</f>
        <v>737556.08993000002</v>
      </c>
      <c r="G183" s="252">
        <f>G4+G5-G7+G38+G39+G40+G41+G43+G13-G16+G57+G58+G60+G62</f>
        <v>755719</v>
      </c>
    </row>
    <row r="184" spans="1:7">
      <c r="A184" s="317" t="s">
        <v>603</v>
      </c>
      <c r="B184" s="251"/>
      <c r="C184" s="251" t="s">
        <v>604</v>
      </c>
      <c r="D184" s="252">
        <f t="shared" ref="D184:G184" si="52">D183+D170</f>
        <v>769790.97153999994</v>
      </c>
      <c r="E184" s="252">
        <f t="shared" si="52"/>
        <v>799089.8</v>
      </c>
      <c r="F184" s="252">
        <f t="shared" si="52"/>
        <v>776001.68969999999</v>
      </c>
      <c r="G184" s="252">
        <f t="shared" si="52"/>
        <v>795517.7</v>
      </c>
    </row>
    <row r="185" spans="1:7">
      <c r="A185" s="317"/>
      <c r="B185" s="251"/>
      <c r="C185" s="251" t="s">
        <v>605</v>
      </c>
      <c r="D185" s="252">
        <f t="shared" ref="D185:G186" si="53">D181-D183</f>
        <v>40305.688749999856</v>
      </c>
      <c r="E185" s="252">
        <f t="shared" si="53"/>
        <v>31525.649999999907</v>
      </c>
      <c r="F185" s="252">
        <f t="shared" si="53"/>
        <v>54963.606129999971</v>
      </c>
      <c r="G185" s="252">
        <f t="shared" si="53"/>
        <v>18363.5</v>
      </c>
    </row>
    <row r="186" spans="1:7">
      <c r="A186" s="317"/>
      <c r="B186" s="251"/>
      <c r="C186" s="251" t="s">
        <v>606</v>
      </c>
      <c r="D186" s="252">
        <f t="shared" si="53"/>
        <v>3386.7011199998669</v>
      </c>
      <c r="E186" s="252">
        <f t="shared" si="53"/>
        <v>-7963.0500000000466</v>
      </c>
      <c r="F186" s="252">
        <f t="shared" si="53"/>
        <v>20929.444409999996</v>
      </c>
      <c r="G186" s="252">
        <f t="shared" si="53"/>
        <v>-17555.79999999993</v>
      </c>
    </row>
  </sheetData>
  <sheetProtection selectLockedCells="1" sort="0" autoFilter="0" pivotTables="0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8" man="1"/>
    <brk id="147" max="8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43"/>
  <sheetViews>
    <sheetView view="pageLayout" topLeftCell="A10" zoomScaleNormal="100" workbookViewId="0">
      <selection activeCell="E9" sqref="E9"/>
    </sheetView>
  </sheetViews>
  <sheetFormatPr baseColWidth="10" defaultRowHeight="13"/>
  <cols>
    <col min="1" max="1" width="11.5" bestFit="1" customWidth="1"/>
    <col min="2" max="2" width="43.1640625" customWidth="1"/>
    <col min="3" max="3" width="13.33203125" bestFit="1" customWidth="1"/>
    <col min="4" max="4" width="11.5" bestFit="1" customWidth="1"/>
    <col min="5" max="5" width="13.33203125" bestFit="1" customWidth="1"/>
    <col min="6" max="6" width="11.5" bestFit="1" customWidth="1"/>
    <col min="7" max="7" width="12.5" customWidth="1"/>
    <col min="8" max="8" width="11.5" bestFit="1" customWidth="1"/>
    <col min="9" max="9" width="13" customWidth="1"/>
  </cols>
  <sheetData>
    <row r="1" spans="1:9">
      <c r="A1" s="3" t="s">
        <v>94</v>
      </c>
      <c r="B1" s="4" t="s">
        <v>153</v>
      </c>
      <c r="C1" s="43" t="s">
        <v>96</v>
      </c>
      <c r="D1" s="5" t="s">
        <v>8</v>
      </c>
      <c r="E1" s="43" t="s">
        <v>9</v>
      </c>
      <c r="F1" s="5" t="s">
        <v>8</v>
      </c>
      <c r="G1" s="43" t="s">
        <v>7</v>
      </c>
      <c r="H1" s="5" t="s">
        <v>8</v>
      </c>
      <c r="I1" s="44" t="s">
        <v>9</v>
      </c>
    </row>
    <row r="2" spans="1:9">
      <c r="A2" s="52">
        <v>0</v>
      </c>
      <c r="B2" s="55">
        <v>0</v>
      </c>
      <c r="C2" s="47">
        <v>2014</v>
      </c>
      <c r="D2" s="2" t="s">
        <v>10</v>
      </c>
      <c r="E2" s="47">
        <v>2015</v>
      </c>
      <c r="F2" s="2" t="s">
        <v>10</v>
      </c>
      <c r="G2" s="47">
        <v>2015</v>
      </c>
      <c r="H2" s="2" t="s">
        <v>10</v>
      </c>
      <c r="I2" s="48">
        <v>2016</v>
      </c>
    </row>
    <row r="3" spans="1:9">
      <c r="A3" s="52">
        <v>0</v>
      </c>
      <c r="B3" s="1" t="s">
        <v>97</v>
      </c>
      <c r="C3" s="54" t="s">
        <v>0</v>
      </c>
      <c r="D3" s="53">
        <v>0</v>
      </c>
      <c r="E3" s="54" t="s">
        <v>0</v>
      </c>
      <c r="F3" s="55">
        <v>0</v>
      </c>
      <c r="G3" s="54">
        <v>0</v>
      </c>
      <c r="H3" s="55">
        <v>0</v>
      </c>
      <c r="I3" s="50">
        <v>0</v>
      </c>
    </row>
    <row r="4" spans="1:9">
      <c r="A4" s="3" t="s">
        <v>13</v>
      </c>
      <c r="B4" s="7" t="s">
        <v>98</v>
      </c>
      <c r="C4" s="8">
        <v>25169808.60729</v>
      </c>
      <c r="D4" s="9">
        <v>-5.570349979872008E-2</v>
      </c>
      <c r="E4" s="8">
        <v>23767762.178599998</v>
      </c>
      <c r="F4" s="9">
        <v>-5.9136931724498264E-3</v>
      </c>
      <c r="G4" s="8">
        <v>23627206.92568</v>
      </c>
      <c r="H4" s="9">
        <v>2.6736527907723143E-2</v>
      </c>
      <c r="I4" s="10">
        <v>24258916.403029993</v>
      </c>
    </row>
    <row r="5" spans="1:9">
      <c r="A5" s="11" t="s">
        <v>15</v>
      </c>
      <c r="B5" s="1" t="s">
        <v>99</v>
      </c>
      <c r="C5" s="12">
        <v>9285664.9658700004</v>
      </c>
      <c r="D5" s="13">
        <v>-2.3018428284416772E-2</v>
      </c>
      <c r="E5" s="12">
        <v>9071923.5527800005</v>
      </c>
      <c r="F5" s="13">
        <v>1.3667850958907615E-2</v>
      </c>
      <c r="G5" s="12">
        <v>9195917.2518100012</v>
      </c>
      <c r="H5" s="13">
        <v>-1.1490979861655667E-2</v>
      </c>
      <c r="I5" s="14">
        <v>9090247.1518600006</v>
      </c>
    </row>
    <row r="6" spans="1:9">
      <c r="A6" s="11" t="s">
        <v>100</v>
      </c>
      <c r="B6" s="1" t="s">
        <v>101</v>
      </c>
      <c r="C6" s="12">
        <v>1142662.1948899999</v>
      </c>
      <c r="D6" s="13">
        <v>-4.8807995170759066E-2</v>
      </c>
      <c r="E6" s="12">
        <v>1086891.1439999999</v>
      </c>
      <c r="F6" s="13">
        <v>2.031507674148483E-2</v>
      </c>
      <c r="G6" s="12">
        <v>1108971.4210000001</v>
      </c>
      <c r="H6" s="13">
        <v>-1.4161183690233465E-2</v>
      </c>
      <c r="I6" s="14">
        <v>1093267.0729999999</v>
      </c>
    </row>
    <row r="7" spans="1:9">
      <c r="A7" s="11" t="s">
        <v>19</v>
      </c>
      <c r="B7" s="1" t="s">
        <v>102</v>
      </c>
      <c r="C7" s="12">
        <v>865794.75077000004</v>
      </c>
      <c r="D7" s="13">
        <v>0.11001806853793719</v>
      </c>
      <c r="E7" s="12">
        <v>961047.81700000016</v>
      </c>
      <c r="F7" s="13">
        <v>1.0323130449918083</v>
      </c>
      <c r="G7" s="12">
        <v>1953150.0153500005</v>
      </c>
      <c r="H7" s="13">
        <v>-0.56876048978292859</v>
      </c>
      <c r="I7" s="14">
        <v>842275.45599999989</v>
      </c>
    </row>
    <row r="8" spans="1:9">
      <c r="A8" s="11" t="s">
        <v>21</v>
      </c>
      <c r="B8" s="1" t="s">
        <v>103</v>
      </c>
      <c r="C8" s="12">
        <v>378784.62188000005</v>
      </c>
      <c r="D8" s="13">
        <v>-0.57634857454472332</v>
      </c>
      <c r="E8" s="12">
        <v>160472.64500000002</v>
      </c>
      <c r="F8" s="13">
        <v>1.5081125135689017</v>
      </c>
      <c r="G8" s="12">
        <v>402483.4490100001</v>
      </c>
      <c r="H8" s="13">
        <v>-0.59894033308189687</v>
      </c>
      <c r="I8" s="14">
        <v>161419.878</v>
      </c>
    </row>
    <row r="9" spans="1:9">
      <c r="A9" s="11" t="s">
        <v>23</v>
      </c>
      <c r="B9" s="1" t="s">
        <v>104</v>
      </c>
      <c r="C9" s="12">
        <v>3664583.5034799995</v>
      </c>
      <c r="D9" s="13">
        <v>4.5387134020018587E-3</v>
      </c>
      <c r="E9" s="12">
        <v>3681215.9977399991</v>
      </c>
      <c r="F9" s="13">
        <v>5.2687618686074029E-2</v>
      </c>
      <c r="G9" s="12">
        <v>3875170.5025299997</v>
      </c>
      <c r="H9" s="13">
        <v>0.12683495485143395</v>
      </c>
      <c r="I9" s="14">
        <v>4366677.5782600008</v>
      </c>
    </row>
    <row r="10" spans="1:9">
      <c r="A10" s="11" t="s">
        <v>25</v>
      </c>
      <c r="B10" s="1" t="s">
        <v>105</v>
      </c>
      <c r="C10" s="12">
        <v>46375964.656060003</v>
      </c>
      <c r="D10" s="13">
        <v>1.3433163677784498E-2</v>
      </c>
      <c r="E10" s="12">
        <v>46998940.580000006</v>
      </c>
      <c r="F10" s="13">
        <v>1.6441888206919303E-2</v>
      </c>
      <c r="G10" s="12">
        <v>47771691.906860009</v>
      </c>
      <c r="H10" s="13">
        <v>6.4609798148194605E-3</v>
      </c>
      <c r="I10" s="14">
        <v>48080343.843990006</v>
      </c>
    </row>
    <row r="11" spans="1:9">
      <c r="A11" s="11" t="s">
        <v>106</v>
      </c>
      <c r="B11" s="1" t="s">
        <v>107</v>
      </c>
      <c r="C11" s="12">
        <v>8641794.0441700015</v>
      </c>
      <c r="D11" s="37">
        <v>1.3970398879321165E-2</v>
      </c>
      <c r="E11" s="12">
        <v>8762523.3539999984</v>
      </c>
      <c r="F11" s="13">
        <v>4.8560710863698939E-2</v>
      </c>
      <c r="G11" s="12">
        <v>9188037.7170300018</v>
      </c>
      <c r="H11" s="13">
        <v>-1.137224271906624E-2</v>
      </c>
      <c r="I11" s="14">
        <v>9083549.1220000014</v>
      </c>
    </row>
    <row r="12" spans="1:9">
      <c r="A12" s="11" t="s">
        <v>108</v>
      </c>
      <c r="B12" s="1" t="s">
        <v>109</v>
      </c>
      <c r="C12" s="12">
        <v>2764772.7533900002</v>
      </c>
      <c r="D12" s="37">
        <v>8.6809529396481483E-2</v>
      </c>
      <c r="E12" s="12">
        <v>3004781.3750000005</v>
      </c>
      <c r="F12" s="13">
        <v>-2.0541465470179401E-2</v>
      </c>
      <c r="G12" s="12">
        <v>2943058.7621399998</v>
      </c>
      <c r="H12" s="13">
        <v>0.12138955445124289</v>
      </c>
      <c r="I12" s="14">
        <v>3300315.3540000007</v>
      </c>
    </row>
    <row r="13" spans="1:9">
      <c r="A13" s="11" t="s">
        <v>110</v>
      </c>
      <c r="B13" s="1" t="s">
        <v>111</v>
      </c>
      <c r="C13" s="12">
        <v>2140917.2838300001</v>
      </c>
      <c r="D13" s="37">
        <v>6.1804785812783695E-2</v>
      </c>
      <c r="E13" s="12">
        <v>2273236.2179999999</v>
      </c>
      <c r="F13" s="37">
        <v>2.8587715634398731E-2</v>
      </c>
      <c r="G13" s="12">
        <v>2338222.8485699999</v>
      </c>
      <c r="H13" s="37">
        <v>-0.10116053323345942</v>
      </c>
      <c r="I13" s="14">
        <v>2101686.9783900003</v>
      </c>
    </row>
    <row r="14" spans="1:9">
      <c r="A14" s="11" t="s">
        <v>112</v>
      </c>
      <c r="B14" s="1" t="s">
        <v>113</v>
      </c>
      <c r="C14" s="12">
        <v>1152955.43557</v>
      </c>
      <c r="D14" s="37">
        <v>-0.12807705399037908</v>
      </c>
      <c r="E14" s="12">
        <v>1005288.3</v>
      </c>
      <c r="F14" s="13">
        <v>0.27602617661023221</v>
      </c>
      <c r="G14" s="12">
        <v>1282774.1858400002</v>
      </c>
      <c r="H14" s="13">
        <v>-0.26684103064940745</v>
      </c>
      <c r="I14" s="14">
        <v>940477.4</v>
      </c>
    </row>
    <row r="15" spans="1:9">
      <c r="A15" s="11" t="s">
        <v>114</v>
      </c>
      <c r="B15" s="1" t="s">
        <v>115</v>
      </c>
      <c r="C15" s="12">
        <v>959261.41086999991</v>
      </c>
      <c r="D15" s="37">
        <v>5.9222114520876015E-2</v>
      </c>
      <c r="E15" s="12">
        <v>1016070.9000000001</v>
      </c>
      <c r="F15" s="13">
        <v>2.4965288466287143</v>
      </c>
      <c r="G15" s="12">
        <v>3552721.2120699999</v>
      </c>
      <c r="H15" s="13">
        <v>-0.72586855487246404</v>
      </c>
      <c r="I15" s="14">
        <v>973912.60000000021</v>
      </c>
    </row>
    <row r="16" spans="1:9">
      <c r="A16" s="11" t="s">
        <v>116</v>
      </c>
      <c r="B16" s="1" t="s">
        <v>117</v>
      </c>
      <c r="C16" s="12">
        <v>109108.33</v>
      </c>
      <c r="D16" s="37">
        <v>0.59688540737448736</v>
      </c>
      <c r="E16" s="12">
        <v>174233.5</v>
      </c>
      <c r="F16" s="37">
        <v>0.19940176108498081</v>
      </c>
      <c r="G16" s="12">
        <v>208975.96674</v>
      </c>
      <c r="H16" s="37">
        <v>-0.49576211253468272</v>
      </c>
      <c r="I16" s="14">
        <v>105373.6</v>
      </c>
    </row>
    <row r="17" spans="1:9">
      <c r="A17" s="11" t="s">
        <v>40</v>
      </c>
      <c r="B17" s="1" t="s">
        <v>118</v>
      </c>
      <c r="C17" s="12">
        <v>731834.82594000001</v>
      </c>
      <c r="D17" s="13">
        <v>-0.28618309776524764</v>
      </c>
      <c r="E17" s="12">
        <v>522396.06839999999</v>
      </c>
      <c r="F17" s="13">
        <v>0.62753160724208856</v>
      </c>
      <c r="G17" s="12">
        <v>850216.11282000004</v>
      </c>
      <c r="H17" s="13">
        <v>-0.70713851308447839</v>
      </c>
      <c r="I17" s="14">
        <v>248995.55499999999</v>
      </c>
    </row>
    <row r="18" spans="1:9">
      <c r="A18" s="11">
        <v>389</v>
      </c>
      <c r="B18" s="1" t="s">
        <v>119</v>
      </c>
      <c r="C18" s="12">
        <v>127273.66376</v>
      </c>
      <c r="D18" s="37">
        <v>-1</v>
      </c>
      <c r="E18" s="12">
        <v>0</v>
      </c>
      <c r="F18" s="37" t="s">
        <v>33</v>
      </c>
      <c r="G18" s="12">
        <v>289011.78399999999</v>
      </c>
      <c r="H18" s="37">
        <v>-0.87798767402508404</v>
      </c>
      <c r="I18" s="14">
        <v>35263</v>
      </c>
    </row>
    <row r="19" spans="1:9">
      <c r="A19" s="15" t="s">
        <v>43</v>
      </c>
      <c r="B19" s="16" t="s">
        <v>120</v>
      </c>
      <c r="C19" s="17">
        <v>2384055.6178099997</v>
      </c>
      <c r="D19" s="37">
        <v>1.5227164152045839E-2</v>
      </c>
      <c r="E19" s="17">
        <v>2420358.0240499997</v>
      </c>
      <c r="F19" s="37">
        <v>4.8683627677871932E-2</v>
      </c>
      <c r="G19" s="17">
        <v>2538189.8329399996</v>
      </c>
      <c r="H19" s="37">
        <v>-8.4972592120965435E-3</v>
      </c>
      <c r="I19" s="18">
        <v>2516622.1760000004</v>
      </c>
    </row>
    <row r="20" spans="1:9">
      <c r="A20" s="19" t="s">
        <v>45</v>
      </c>
      <c r="B20" s="20" t="s">
        <v>121</v>
      </c>
      <c r="C20" s="21">
        <v>88983765.212860003</v>
      </c>
      <c r="D20" s="22">
        <v>-1.5729255173029418E-2</v>
      </c>
      <c r="E20" s="21">
        <v>87584116.86356999</v>
      </c>
      <c r="F20" s="22">
        <v>3.3327057712722492E-2</v>
      </c>
      <c r="G20" s="21">
        <v>90503037.781000018</v>
      </c>
      <c r="H20" s="22">
        <v>-9.9695740715725761E-3</v>
      </c>
      <c r="I20" s="23">
        <v>89600761.042140007</v>
      </c>
    </row>
    <row r="21" spans="1:9">
      <c r="A21" s="24" t="s">
        <v>47</v>
      </c>
      <c r="B21" s="25" t="s">
        <v>122</v>
      </c>
      <c r="C21" s="8">
        <v>38138259.052940004</v>
      </c>
      <c r="D21" s="13">
        <v>1.1239940330389867E-2</v>
      </c>
      <c r="E21" s="8">
        <v>38566930.809</v>
      </c>
      <c r="F21" s="13">
        <v>7.2958882350146687E-3</v>
      </c>
      <c r="G21" s="8">
        <v>38848310.825750008</v>
      </c>
      <c r="H21" s="13">
        <v>1.1658270555995179E-2</v>
      </c>
      <c r="I21" s="10">
        <v>39301214.943999998</v>
      </c>
    </row>
    <row r="22" spans="1:9">
      <c r="A22" s="6" t="s">
        <v>49</v>
      </c>
      <c r="B22" s="26" t="s">
        <v>123</v>
      </c>
      <c r="C22" s="12">
        <v>5158009.9506799988</v>
      </c>
      <c r="D22" s="13">
        <v>-5.1519181471328078E-2</v>
      </c>
      <c r="E22" s="12">
        <v>4892273.5</v>
      </c>
      <c r="F22" s="13">
        <v>8.4556779789600647E-2</v>
      </c>
      <c r="G22" s="12">
        <v>5305948.3930099988</v>
      </c>
      <c r="H22" s="13">
        <v>-5.4696120563917323E-2</v>
      </c>
      <c r="I22" s="14">
        <v>5015733.6000000006</v>
      </c>
    </row>
    <row r="23" spans="1:9">
      <c r="A23" s="6" t="s">
        <v>51</v>
      </c>
      <c r="B23" s="26" t="s">
        <v>124</v>
      </c>
      <c r="C23" s="12">
        <v>3174571.8484199992</v>
      </c>
      <c r="D23" s="13">
        <v>-0.17880377780786702</v>
      </c>
      <c r="E23" s="12">
        <v>2606946.409</v>
      </c>
      <c r="F23" s="13">
        <v>0.24265945576635756</v>
      </c>
      <c r="G23" s="12">
        <v>3239546.6058200002</v>
      </c>
      <c r="H23" s="13">
        <v>-0.23039919273859996</v>
      </c>
      <c r="I23" s="14">
        <v>2493157.6830000007</v>
      </c>
    </row>
    <row r="24" spans="1:9">
      <c r="A24" s="6" t="s">
        <v>53</v>
      </c>
      <c r="B24" s="26" t="s">
        <v>125</v>
      </c>
      <c r="C24" s="12">
        <v>9415191.3423300013</v>
      </c>
      <c r="D24" s="13">
        <v>-3.6987417870556122E-2</v>
      </c>
      <c r="E24" s="12">
        <v>9066947.7258199994</v>
      </c>
      <c r="F24" s="13">
        <v>0.13823514039027376</v>
      </c>
      <c r="G24" s="12">
        <v>10320318.51761</v>
      </c>
      <c r="H24" s="13">
        <v>-0.12031660490528706</v>
      </c>
      <c r="I24" s="14">
        <v>9078612.8320300002</v>
      </c>
    </row>
    <row r="25" spans="1:9">
      <c r="A25" s="6" t="s">
        <v>55</v>
      </c>
      <c r="B25" s="26" t="s">
        <v>105</v>
      </c>
      <c r="C25" s="12">
        <v>28375194.546119999</v>
      </c>
      <c r="D25" s="13">
        <v>1.3024500981633977E-2</v>
      </c>
      <c r="E25" s="12">
        <v>28744767.295339994</v>
      </c>
      <c r="F25" s="13">
        <v>2.5054126594608279E-2</v>
      </c>
      <c r="G25" s="12">
        <v>29464942.334089998</v>
      </c>
      <c r="H25" s="13">
        <v>-1.6814913822070274E-2</v>
      </c>
      <c r="I25" s="14">
        <v>28969491.867970005</v>
      </c>
    </row>
    <row r="26" spans="1:9">
      <c r="A26" s="45" t="s">
        <v>57</v>
      </c>
      <c r="B26" s="26" t="s">
        <v>126</v>
      </c>
      <c r="C26" s="12">
        <v>699042.45853999991</v>
      </c>
      <c r="D26" s="13">
        <v>0.16591074410877693</v>
      </c>
      <c r="E26" s="12">
        <v>815021.11300000013</v>
      </c>
      <c r="F26" s="13">
        <v>-0.41621343426473917</v>
      </c>
      <c r="G26" s="12">
        <v>475798.37656</v>
      </c>
      <c r="H26" s="13">
        <v>0.44192337300563389</v>
      </c>
      <c r="I26" s="14">
        <v>686064.79999999993</v>
      </c>
    </row>
    <row r="27" spans="1:9">
      <c r="A27" s="63">
        <v>489</v>
      </c>
      <c r="B27" s="26" t="s">
        <v>149</v>
      </c>
      <c r="C27" s="12">
        <v>132691.73485000001</v>
      </c>
      <c r="D27" s="13">
        <v>4.4578248650428393E-2</v>
      </c>
      <c r="E27" s="12">
        <v>138606.90000000002</v>
      </c>
      <c r="F27" s="13">
        <v>1.0571524799991918</v>
      </c>
      <c r="G27" s="12">
        <v>285135.52808000002</v>
      </c>
      <c r="H27" s="13">
        <v>-2.7239425869865247E-2</v>
      </c>
      <c r="I27" s="14">
        <v>277368.59999999998</v>
      </c>
    </row>
    <row r="28" spans="1:9">
      <c r="A28" s="27" t="s">
        <v>60</v>
      </c>
      <c r="B28" s="28" t="s">
        <v>120</v>
      </c>
      <c r="C28" s="17">
        <v>2384054.6178099997</v>
      </c>
      <c r="D28" s="13">
        <v>1.3328136865080985E-2</v>
      </c>
      <c r="E28" s="17">
        <v>2415829.6240499998</v>
      </c>
      <c r="F28" s="13">
        <v>5.0359763651727354E-2</v>
      </c>
      <c r="G28" s="17">
        <v>2537490.2329399991</v>
      </c>
      <c r="H28" s="13">
        <v>-7.7523523774146478E-3</v>
      </c>
      <c r="I28" s="18">
        <v>2517818.7145000002</v>
      </c>
    </row>
    <row r="29" spans="1:9">
      <c r="A29" s="39" t="s">
        <v>62</v>
      </c>
      <c r="B29" s="40" t="s">
        <v>127</v>
      </c>
      <c r="C29" s="21">
        <v>87477015.551689997</v>
      </c>
      <c r="D29" s="41">
        <v>-2.6257431627199099E-3</v>
      </c>
      <c r="E29" s="21">
        <v>87247323.376210004</v>
      </c>
      <c r="F29" s="41">
        <v>3.7023112144329573E-2</v>
      </c>
      <c r="G29" s="21">
        <v>90477490.813860014</v>
      </c>
      <c r="H29" s="42">
        <v>-2.3630493652378209E-2</v>
      </c>
      <c r="I29" s="23">
        <v>88339463.041499987</v>
      </c>
    </row>
    <row r="30" spans="1:9">
      <c r="A30" s="38" t="s">
        <v>64</v>
      </c>
      <c r="B30" s="29" t="s">
        <v>128</v>
      </c>
      <c r="C30" s="30">
        <v>-1506749.6611700011</v>
      </c>
      <c r="D30" s="56">
        <v>0</v>
      </c>
      <c r="E30" s="30">
        <v>-336793.48736000224</v>
      </c>
      <c r="F30" s="56">
        <v>0</v>
      </c>
      <c r="G30" s="30">
        <v>-25546.967140001128</v>
      </c>
      <c r="H30" s="57">
        <v>0</v>
      </c>
      <c r="I30" s="31">
        <v>-1261298.0006400032</v>
      </c>
    </row>
    <row r="31" spans="1:9">
      <c r="A31" s="60">
        <v>0</v>
      </c>
      <c r="B31" s="25" t="s">
        <v>129</v>
      </c>
      <c r="C31" s="58">
        <v>0</v>
      </c>
      <c r="D31" s="55">
        <v>0</v>
      </c>
      <c r="E31" s="58">
        <v>0</v>
      </c>
      <c r="F31" s="55">
        <v>0</v>
      </c>
      <c r="G31" s="58">
        <v>0</v>
      </c>
      <c r="H31" s="58">
        <v>0</v>
      </c>
      <c r="I31" s="59">
        <v>0</v>
      </c>
    </row>
    <row r="32" spans="1:9">
      <c r="A32" s="45" t="s">
        <v>67</v>
      </c>
      <c r="B32" s="26" t="s">
        <v>130</v>
      </c>
      <c r="C32" s="12">
        <v>4288268.2906499999</v>
      </c>
      <c r="D32" s="13">
        <v>0.16666843161570613</v>
      </c>
      <c r="E32" s="12">
        <v>5002987.2410000004</v>
      </c>
      <c r="F32" s="13">
        <v>-0.173741324446444</v>
      </c>
      <c r="G32" s="12">
        <v>4133761.6115599996</v>
      </c>
      <c r="H32" s="13">
        <v>0.22896258308490583</v>
      </c>
      <c r="I32" s="14">
        <v>5080238.3480000002</v>
      </c>
    </row>
    <row r="33" spans="1:9">
      <c r="A33" s="45" t="s">
        <v>69</v>
      </c>
      <c r="B33" s="26" t="s">
        <v>131</v>
      </c>
      <c r="C33" s="12">
        <v>699563.36320000002</v>
      </c>
      <c r="D33" s="13">
        <v>0.5490884128678738</v>
      </c>
      <c r="E33" s="12">
        <v>1083685.5</v>
      </c>
      <c r="F33" s="13">
        <v>-8.7343295365675699E-2</v>
      </c>
      <c r="G33" s="12">
        <v>989032.83729000005</v>
      </c>
      <c r="H33" s="13">
        <v>-0.41230255449084979</v>
      </c>
      <c r="I33" s="14">
        <v>581252.07200000004</v>
      </c>
    </row>
    <row r="34" spans="1:9">
      <c r="A34" s="6" t="s">
        <v>71</v>
      </c>
      <c r="B34" s="26" t="s">
        <v>132</v>
      </c>
      <c r="C34" s="12">
        <v>1619686.30024</v>
      </c>
      <c r="D34" s="13">
        <v>9.1105350300323573E-2</v>
      </c>
      <c r="E34" s="12">
        <v>1767248.3880000003</v>
      </c>
      <c r="F34" s="13">
        <v>-0.11473031634192707</v>
      </c>
      <c r="G34" s="12">
        <v>1564491.4213899996</v>
      </c>
      <c r="H34" s="13">
        <v>-3.3424110017515947E-2</v>
      </c>
      <c r="I34" s="14">
        <v>1512199.6880000003</v>
      </c>
    </row>
    <row r="35" spans="1:9">
      <c r="A35" s="39" t="s">
        <v>73</v>
      </c>
      <c r="B35" s="40" t="s">
        <v>133</v>
      </c>
      <c r="C35" s="21">
        <v>6607517.9540900001</v>
      </c>
      <c r="D35" s="42">
        <v>0.18863409582390722</v>
      </c>
      <c r="E35" s="21">
        <v>7853921.1290000007</v>
      </c>
      <c r="F35" s="42">
        <v>-0.14854175889955001</v>
      </c>
      <c r="G35" s="21">
        <v>6687285.870240001</v>
      </c>
      <c r="H35" s="42">
        <v>7.2735672916962105E-2</v>
      </c>
      <c r="I35" s="23">
        <v>7173690.108</v>
      </c>
    </row>
    <row r="36" spans="1:9">
      <c r="A36" s="6" t="s">
        <v>75</v>
      </c>
      <c r="B36" s="26" t="s">
        <v>134</v>
      </c>
      <c r="C36" s="12">
        <v>36876.395170000003</v>
      </c>
      <c r="D36" s="13">
        <v>3.3331728132145404</v>
      </c>
      <c r="E36" s="12">
        <v>159791.79300000001</v>
      </c>
      <c r="F36" s="13">
        <v>0.15539558855816846</v>
      </c>
      <c r="G36" s="12">
        <v>184622.73272000003</v>
      </c>
      <c r="H36" s="13">
        <v>-0.7781103637864083</v>
      </c>
      <c r="I36" s="14">
        <v>40965.870999999999</v>
      </c>
    </row>
    <row r="37" spans="1:9">
      <c r="A37" s="6" t="s">
        <v>77</v>
      </c>
      <c r="B37" s="26" t="s">
        <v>135</v>
      </c>
      <c r="C37" s="12">
        <v>2432407.9481250001</v>
      </c>
      <c r="D37" s="13">
        <v>-0.15625486564372484</v>
      </c>
      <c r="E37" s="12">
        <v>2052332.3709999998</v>
      </c>
      <c r="F37" s="13">
        <v>-9.2400467312026613E-2</v>
      </c>
      <c r="G37" s="12">
        <v>1862695.9008400002</v>
      </c>
      <c r="H37" s="13">
        <v>-4.8389939978583117E-2</v>
      </c>
      <c r="I37" s="14">
        <v>1772560.1579999998</v>
      </c>
    </row>
    <row r="38" spans="1:9">
      <c r="A38" s="39" t="s">
        <v>79</v>
      </c>
      <c r="B38" s="40" t="s">
        <v>136</v>
      </c>
      <c r="C38" s="21">
        <v>2469284.3432950005</v>
      </c>
      <c r="D38" s="42">
        <v>-0.10414360743560516</v>
      </c>
      <c r="E38" s="21">
        <v>2212124.1639999999</v>
      </c>
      <c r="F38" s="42">
        <v>-7.4501030783912028E-2</v>
      </c>
      <c r="G38" s="21">
        <v>2047318.6335600002</v>
      </c>
      <c r="H38" s="42">
        <v>-0.11419453754175408</v>
      </c>
      <c r="I38" s="23">
        <v>1813526.0290000001</v>
      </c>
    </row>
    <row r="39" spans="1:9">
      <c r="A39" s="32" t="s">
        <v>81</v>
      </c>
      <c r="B39" s="33" t="s">
        <v>2</v>
      </c>
      <c r="C39" s="34">
        <v>4138233.6107949992</v>
      </c>
      <c r="D39" s="35">
        <v>0.3633345759608172</v>
      </c>
      <c r="E39" s="34">
        <v>5641796.9650000017</v>
      </c>
      <c r="F39" s="35">
        <v>-0.17757280783676702</v>
      </c>
      <c r="G39" s="34">
        <v>4639967.236680001</v>
      </c>
      <c r="H39" s="35">
        <v>0.15521593269596332</v>
      </c>
      <c r="I39" s="36">
        <v>5360164.078999999</v>
      </c>
    </row>
    <row r="40" spans="1:9">
      <c r="A40" s="52">
        <v>0</v>
      </c>
      <c r="B40" s="26" t="s">
        <v>137</v>
      </c>
      <c r="C40" s="12">
        <v>2152415.7712199991</v>
      </c>
      <c r="D40" s="13">
        <v>0.48940351266936072</v>
      </c>
      <c r="E40" s="12">
        <v>3205815.6103799976</v>
      </c>
      <c r="F40" s="13">
        <v>0.20203413410081583</v>
      </c>
      <c r="G40" s="12">
        <v>3853499.7913099988</v>
      </c>
      <c r="H40" s="13">
        <v>-0.25696791678127323</v>
      </c>
      <c r="I40" s="14">
        <v>2863273.9776199972</v>
      </c>
    </row>
    <row r="41" spans="1:9">
      <c r="A41" s="52">
        <v>0</v>
      </c>
      <c r="B41" s="26" t="s">
        <v>138</v>
      </c>
      <c r="C41" s="12">
        <v>-1985817.8395750008</v>
      </c>
      <c r="D41" s="13">
        <v>0.22668922902885399</v>
      </c>
      <c r="E41" s="12">
        <v>-2435981.3546200022</v>
      </c>
      <c r="F41" s="13">
        <v>-0.67714553977253866</v>
      </c>
      <c r="G41" s="12">
        <v>-786467.4453700009</v>
      </c>
      <c r="H41" s="13">
        <v>2.1748168548862417</v>
      </c>
      <c r="I41" s="14">
        <v>-2496890.1013800032</v>
      </c>
    </row>
    <row r="42" spans="1:9">
      <c r="A42" s="61">
        <v>0</v>
      </c>
      <c r="B42" s="28" t="s">
        <v>139</v>
      </c>
      <c r="C42" s="17">
        <v>88304750.93407999</v>
      </c>
      <c r="D42" s="51">
        <v>3.9504592857117996E-3</v>
      </c>
      <c r="E42" s="17">
        <v>88653595.257379994</v>
      </c>
      <c r="F42" s="51">
        <v>6.5610053475140115E-3</v>
      </c>
      <c r="G42" s="17">
        <v>89235251.969940007</v>
      </c>
      <c r="H42" s="51">
        <v>2.3558065708246599E-3</v>
      </c>
      <c r="I42" s="18">
        <v>89445472.962879986</v>
      </c>
    </row>
    <row r="43" spans="1:9">
      <c r="A43" s="61">
        <v>0</v>
      </c>
      <c r="B43" s="28" t="s">
        <v>4</v>
      </c>
      <c r="C43" s="46">
        <v>0.69946084848005663</v>
      </c>
      <c r="D43" s="62">
        <v>0</v>
      </c>
      <c r="E43" s="46">
        <v>0.68983883150731817</v>
      </c>
      <c r="F43" s="64">
        <v>0</v>
      </c>
      <c r="G43" s="46">
        <v>0.88239362566060364</v>
      </c>
      <c r="H43" s="64">
        <v>0</v>
      </c>
      <c r="I43" s="65">
        <v>0.65193783620573387</v>
      </c>
    </row>
  </sheetData>
  <phoneticPr fontId="6" type="noConversion"/>
  <pageMargins left="0.78740157480314965" right="0.43307086614173229" top="0.98425196850393704" bottom="0.51181102362204722" header="0.51181102362204722" footer="0.23622047244094491"/>
  <pageSetup paperSize="9" scale="89" orientation="landscape" r:id="rId1"/>
  <headerFooter alignWithMargins="0">
    <oddHeader>&amp;LFachgruppe für kantonale Finanzfragen (FkF)
Groupe d'études pour les finances cantonales&amp;CRechnung 2014 - Budget 2016
Compte 2014 - Budget 2016&amp;RZürich, 26.04.2015</oddHeader>
    <oddFooter>&amp;LQuelle: FkF Mai 2016&amp;RBlatt 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K186"/>
  <sheetViews>
    <sheetView tabSelected="1" zoomScale="115" zoomScaleNormal="115" workbookViewId="0">
      <pane xSplit="3" ySplit="2" topLeftCell="D3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11.5" defaultRowHeight="13"/>
  <cols>
    <col min="1" max="1" width="15.1640625" style="84" customWidth="1"/>
    <col min="2" max="2" width="3.6640625" style="84" customWidth="1"/>
    <col min="3" max="3" width="44.6640625" style="84" customWidth="1"/>
    <col min="4" max="5" width="11.5" style="84"/>
    <col min="6" max="7" width="11.5" style="84" customWidth="1"/>
    <col min="8" max="16384" width="11.5" style="84"/>
  </cols>
  <sheetData>
    <row r="1" spans="1:37" s="77" customFormat="1" ht="18" customHeight="1">
      <c r="A1" s="319" t="s">
        <v>156</v>
      </c>
      <c r="B1" s="452" t="s">
        <v>619</v>
      </c>
      <c r="C1" s="452" t="s">
        <v>86</v>
      </c>
      <c r="D1" s="74" t="s">
        <v>7</v>
      </c>
      <c r="E1" s="75" t="s">
        <v>9</v>
      </c>
      <c r="F1" s="74" t="s">
        <v>7</v>
      </c>
      <c r="G1" s="75" t="s">
        <v>9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</row>
    <row r="2" spans="1:37" s="83" customFormat="1" ht="15" customHeight="1">
      <c r="A2" s="78"/>
      <c r="B2" s="79"/>
      <c r="C2" s="80" t="s">
        <v>158</v>
      </c>
      <c r="D2" s="81">
        <v>2014</v>
      </c>
      <c r="E2" s="82">
        <v>2015</v>
      </c>
      <c r="F2" s="81">
        <v>2015</v>
      </c>
      <c r="G2" s="82">
        <v>2016</v>
      </c>
    </row>
    <row r="3" spans="1:37" ht="15" customHeight="1">
      <c r="A3" s="678" t="s">
        <v>159</v>
      </c>
      <c r="B3" s="679"/>
      <c r="C3" s="679"/>
      <c r="E3" s="85"/>
      <c r="F3" s="85"/>
      <c r="G3" s="85"/>
    </row>
    <row r="4" spans="1:37" s="91" customFormat="1" ht="12.75" customHeight="1">
      <c r="A4" s="86">
        <v>30</v>
      </c>
      <c r="B4" s="87"/>
      <c r="C4" s="88" t="s">
        <v>14</v>
      </c>
      <c r="D4" s="90">
        <v>614555.92935999995</v>
      </c>
      <c r="E4" s="90">
        <v>618023.86060000001</v>
      </c>
      <c r="F4" s="90">
        <v>607173.70600000001</v>
      </c>
      <c r="G4" s="90">
        <v>605298.61100000003</v>
      </c>
    </row>
    <row r="5" spans="1:37" s="91" customFormat="1" ht="12.75" customHeight="1">
      <c r="A5" s="92">
        <v>31</v>
      </c>
      <c r="B5" s="93"/>
      <c r="C5" s="94" t="s">
        <v>160</v>
      </c>
      <c r="D5" s="95">
        <v>208624.38522</v>
      </c>
      <c r="E5" s="96">
        <v>225790.49293000001</v>
      </c>
      <c r="F5" s="96">
        <v>209592.68299999999</v>
      </c>
      <c r="G5" s="96">
        <v>219173.821</v>
      </c>
    </row>
    <row r="6" spans="1:37" s="91" customFormat="1" ht="12.75" customHeight="1">
      <c r="A6" s="97" t="s">
        <v>17</v>
      </c>
      <c r="B6" s="98"/>
      <c r="C6" s="99" t="s">
        <v>161</v>
      </c>
      <c r="D6" s="100">
        <v>37937.193339999998</v>
      </c>
      <c r="E6" s="96">
        <v>38948.370000000003</v>
      </c>
      <c r="F6" s="96">
        <v>39052.51</v>
      </c>
      <c r="G6" s="96">
        <v>39195.440999999999</v>
      </c>
    </row>
    <row r="7" spans="1:37" s="91" customFormat="1" ht="12.75" customHeight="1">
      <c r="A7" s="97" t="s">
        <v>162</v>
      </c>
      <c r="B7" s="98"/>
      <c r="C7" s="99" t="s">
        <v>163</v>
      </c>
      <c r="D7" s="100">
        <v>104.1943</v>
      </c>
      <c r="E7" s="96">
        <v>20</v>
      </c>
      <c r="F7" s="96">
        <v>261.22915</v>
      </c>
      <c r="G7" s="96">
        <v>11</v>
      </c>
    </row>
    <row r="8" spans="1:37" s="91" customFormat="1" ht="12.75" customHeight="1">
      <c r="A8" s="101">
        <v>330</v>
      </c>
      <c r="B8" s="93"/>
      <c r="C8" s="94" t="s">
        <v>164</v>
      </c>
      <c r="D8" s="95">
        <v>122395.13278</v>
      </c>
      <c r="E8" s="96">
        <v>124188.79475</v>
      </c>
      <c r="F8" s="96">
        <v>119841.51300000001</v>
      </c>
      <c r="G8" s="96">
        <v>124097.546</v>
      </c>
    </row>
    <row r="9" spans="1:37" s="91" customFormat="1" ht="12.75" customHeight="1">
      <c r="A9" s="101">
        <v>332</v>
      </c>
      <c r="B9" s="93"/>
      <c r="C9" s="94" t="s">
        <v>165</v>
      </c>
      <c r="D9" s="95">
        <v>11169.358389999999</v>
      </c>
      <c r="E9" s="96">
        <v>10914.813</v>
      </c>
      <c r="F9" s="96">
        <v>9613.4840000000004</v>
      </c>
      <c r="G9" s="96">
        <v>7548.63</v>
      </c>
    </row>
    <row r="10" spans="1:37" s="91" customFormat="1" ht="12.75" customHeight="1">
      <c r="A10" s="101">
        <v>339</v>
      </c>
      <c r="B10" s="93"/>
      <c r="C10" s="94" t="s">
        <v>166</v>
      </c>
      <c r="D10" s="95">
        <v>0</v>
      </c>
      <c r="E10" s="96">
        <v>0</v>
      </c>
      <c r="F10" s="96">
        <v>0</v>
      </c>
      <c r="G10" s="96">
        <v>0</v>
      </c>
    </row>
    <row r="11" spans="1:37" s="91" customFormat="1" ht="12.75" customHeight="1">
      <c r="A11" s="92">
        <v>350</v>
      </c>
      <c r="B11" s="93"/>
      <c r="C11" s="94" t="s">
        <v>167</v>
      </c>
      <c r="D11" s="95">
        <v>8878.9556499999999</v>
      </c>
      <c r="E11" s="96">
        <v>2600</v>
      </c>
      <c r="F11" s="96">
        <v>7970.7470000000003</v>
      </c>
      <c r="G11" s="96">
        <v>3926</v>
      </c>
    </row>
    <row r="12" spans="1:37" s="106" customFormat="1" ht="14">
      <c r="A12" s="102">
        <v>351</v>
      </c>
      <c r="B12" s="103"/>
      <c r="C12" s="104" t="s">
        <v>168</v>
      </c>
      <c r="D12" s="105">
        <v>0</v>
      </c>
      <c r="E12" s="96">
        <v>0</v>
      </c>
      <c r="F12" s="96">
        <v>0</v>
      </c>
      <c r="G12" s="96">
        <v>0</v>
      </c>
    </row>
    <row r="13" spans="1:37" s="91" customFormat="1" ht="12.75" customHeight="1">
      <c r="A13" s="92">
        <v>36</v>
      </c>
      <c r="B13" s="93"/>
      <c r="C13" s="94" t="s">
        <v>169</v>
      </c>
      <c r="D13" s="130">
        <v>1720108.8597200001</v>
      </c>
      <c r="E13" s="96">
        <v>1718569.6164500001</v>
      </c>
      <c r="F13" s="96">
        <v>1780433.3859999999</v>
      </c>
      <c r="G13" s="96">
        <v>1801093.64</v>
      </c>
    </row>
    <row r="14" spans="1:37" s="91" customFormat="1" ht="12.75" customHeight="1">
      <c r="A14" s="107" t="s">
        <v>170</v>
      </c>
      <c r="B14" s="93"/>
      <c r="C14" s="108" t="s">
        <v>171</v>
      </c>
      <c r="D14" s="130">
        <v>312713.17093000002</v>
      </c>
      <c r="E14" s="96">
        <v>302651.77</v>
      </c>
      <c r="F14" s="96">
        <v>316310.90664</v>
      </c>
      <c r="G14" s="96">
        <v>322320</v>
      </c>
    </row>
    <row r="15" spans="1:37" s="91" customFormat="1" ht="12.75" customHeight="1">
      <c r="A15" s="107" t="s">
        <v>172</v>
      </c>
      <c r="B15" s="93"/>
      <c r="C15" s="108" t="s">
        <v>173</v>
      </c>
      <c r="D15" s="130">
        <v>77885.552500000005</v>
      </c>
      <c r="E15" s="96">
        <v>85147.604999999996</v>
      </c>
      <c r="F15" s="96">
        <v>85252.825119999994</v>
      </c>
      <c r="G15" s="96">
        <v>88894.229000000007</v>
      </c>
    </row>
    <row r="16" spans="1:37" s="111" customFormat="1" ht="26.25" customHeight="1">
      <c r="A16" s="107" t="s">
        <v>174</v>
      </c>
      <c r="B16" s="109"/>
      <c r="C16" s="108" t="s">
        <v>175</v>
      </c>
      <c r="D16" s="395">
        <v>24966.826440000001</v>
      </c>
      <c r="E16" s="96">
        <v>23518.320449999999</v>
      </c>
      <c r="F16" s="96">
        <v>23188.455999999998</v>
      </c>
      <c r="G16" s="96">
        <v>23590.491000000002</v>
      </c>
    </row>
    <row r="17" spans="1:7" s="113" customFormat="1">
      <c r="A17" s="92">
        <v>37</v>
      </c>
      <c r="B17" s="93"/>
      <c r="C17" s="94" t="s">
        <v>176</v>
      </c>
      <c r="D17" s="130">
        <v>475799.82270000002</v>
      </c>
      <c r="E17" s="96">
        <v>467009.30900000001</v>
      </c>
      <c r="F17" s="96">
        <v>455383.28899999999</v>
      </c>
      <c r="G17" s="96">
        <v>471920.674</v>
      </c>
    </row>
    <row r="18" spans="1:7" s="113" customFormat="1">
      <c r="A18" s="114" t="s">
        <v>177</v>
      </c>
      <c r="B18" s="98"/>
      <c r="C18" s="99" t="s">
        <v>178</v>
      </c>
      <c r="D18" s="130">
        <v>12576.01935</v>
      </c>
      <c r="E18" s="96">
        <v>11750</v>
      </c>
      <c r="F18" s="96">
        <v>12280.4678</v>
      </c>
      <c r="G18" s="96">
        <v>12904</v>
      </c>
    </row>
    <row r="19" spans="1:7" s="113" customFormat="1">
      <c r="A19" s="114" t="s">
        <v>179</v>
      </c>
      <c r="B19" s="98"/>
      <c r="C19" s="99" t="s">
        <v>180</v>
      </c>
      <c r="D19" s="130">
        <v>2992.3752500000001</v>
      </c>
      <c r="E19" s="96">
        <v>2973.2</v>
      </c>
      <c r="F19" s="96">
        <v>2593577.31</v>
      </c>
      <c r="G19" s="96">
        <v>2442</v>
      </c>
    </row>
    <row r="20" spans="1:7" s="91" customFormat="1" ht="12.75" customHeight="1">
      <c r="A20" s="116">
        <v>39</v>
      </c>
      <c r="B20" s="117"/>
      <c r="C20" s="118" t="s">
        <v>181</v>
      </c>
      <c r="D20" s="177">
        <v>435222.33744999999</v>
      </c>
      <c r="E20" s="120">
        <v>377628.11705</v>
      </c>
      <c r="F20" s="120">
        <v>385438.63699999999</v>
      </c>
      <c r="G20" s="120">
        <v>397385.33299999998</v>
      </c>
    </row>
    <row r="21" spans="1:7" ht="12.75" customHeight="1">
      <c r="A21" s="121"/>
      <c r="B21" s="121"/>
      <c r="C21" s="122" t="s">
        <v>182</v>
      </c>
      <c r="D21" s="123">
        <f t="shared" ref="D21:G21" si="0">D4+D5+SUM(D8:D13)+D17</f>
        <v>3161532.4438200002</v>
      </c>
      <c r="E21" s="123">
        <f t="shared" si="0"/>
        <v>3167096.8867299999</v>
      </c>
      <c r="F21" s="123">
        <f t="shared" si="0"/>
        <v>3190008.8079999997</v>
      </c>
      <c r="G21" s="123">
        <f t="shared" si="0"/>
        <v>3233058.9219999998</v>
      </c>
    </row>
    <row r="22" spans="1:7" s="91" customFormat="1" ht="12.75" customHeight="1">
      <c r="A22" s="101" t="s">
        <v>183</v>
      </c>
      <c r="B22" s="93"/>
      <c r="C22" s="94" t="s">
        <v>184</v>
      </c>
      <c r="D22" s="95">
        <v>952399.26052999997</v>
      </c>
      <c r="E22" s="124">
        <f>863321.071+113096.425</f>
        <v>976417.49600000004</v>
      </c>
      <c r="F22" s="124">
        <v>938474.826</v>
      </c>
      <c r="G22" s="124">
        <v>1019815.531</v>
      </c>
    </row>
    <row r="23" spans="1:7" s="91" customFormat="1" ht="12.75" customHeight="1">
      <c r="A23" s="101" t="s">
        <v>185</v>
      </c>
      <c r="B23" s="93"/>
      <c r="C23" s="94" t="s">
        <v>186</v>
      </c>
      <c r="D23" s="95">
        <v>213292.37335000001</v>
      </c>
      <c r="E23" s="124">
        <f>88100+98980</f>
        <v>187080</v>
      </c>
      <c r="F23" s="124">
        <v>198073.307</v>
      </c>
      <c r="G23" s="124">
        <v>194690</v>
      </c>
    </row>
    <row r="24" spans="1:7" s="125" customFormat="1" ht="12.75" customHeight="1">
      <c r="A24" s="92">
        <v>41</v>
      </c>
      <c r="B24" s="93"/>
      <c r="C24" s="94" t="s">
        <v>187</v>
      </c>
      <c r="D24" s="95">
        <v>28702.9215</v>
      </c>
      <c r="E24" s="124">
        <v>22824</v>
      </c>
      <c r="F24" s="124">
        <v>93080.94</v>
      </c>
      <c r="G24" s="124">
        <v>55481</v>
      </c>
    </row>
    <row r="25" spans="1:7" s="91" customFormat="1" ht="12.75" customHeight="1">
      <c r="A25" s="126">
        <v>42</v>
      </c>
      <c r="B25" s="127"/>
      <c r="C25" s="94" t="s">
        <v>188</v>
      </c>
      <c r="D25" s="95">
        <v>205868.44239000001</v>
      </c>
      <c r="E25" s="124">
        <v>206953.78021999999</v>
      </c>
      <c r="F25" s="124">
        <v>208596.83799999999</v>
      </c>
      <c r="G25" s="124">
        <v>203937.95199999999</v>
      </c>
    </row>
    <row r="26" spans="1:7" s="129" customFormat="1" ht="12.75" customHeight="1">
      <c r="A26" s="102">
        <v>430</v>
      </c>
      <c r="B26" s="93"/>
      <c r="C26" s="94" t="s">
        <v>189</v>
      </c>
      <c r="D26" s="112">
        <v>313.09895</v>
      </c>
      <c r="E26" s="128">
        <v>254</v>
      </c>
      <c r="F26" s="128">
        <v>292.74799999999999</v>
      </c>
      <c r="G26" s="128">
        <v>304</v>
      </c>
    </row>
    <row r="27" spans="1:7" s="129" customFormat="1" ht="12.75" customHeight="1">
      <c r="A27" s="102">
        <v>431</v>
      </c>
      <c r="B27" s="93"/>
      <c r="C27" s="94" t="s">
        <v>190</v>
      </c>
      <c r="D27" s="112">
        <v>1049.77595</v>
      </c>
      <c r="E27" s="128">
        <v>810</v>
      </c>
      <c r="F27" s="128">
        <v>731.51</v>
      </c>
      <c r="G27" s="128">
        <v>850</v>
      </c>
    </row>
    <row r="28" spans="1:7" s="129" customFormat="1" ht="12.75" customHeight="1">
      <c r="A28" s="102">
        <v>432</v>
      </c>
      <c r="B28" s="93"/>
      <c r="C28" s="94" t="s">
        <v>191</v>
      </c>
      <c r="D28" s="112">
        <v>0</v>
      </c>
      <c r="E28" s="128">
        <v>0</v>
      </c>
      <c r="F28" s="128">
        <v>38.869999999999997</v>
      </c>
      <c r="G28" s="128">
        <v>0</v>
      </c>
    </row>
    <row r="29" spans="1:7" s="129" customFormat="1" ht="12.75" customHeight="1">
      <c r="A29" s="102">
        <v>439</v>
      </c>
      <c r="B29" s="93"/>
      <c r="C29" s="94" t="s">
        <v>192</v>
      </c>
      <c r="D29" s="112">
        <v>0</v>
      </c>
      <c r="E29" s="128">
        <v>0</v>
      </c>
      <c r="F29" s="128">
        <v>0</v>
      </c>
      <c r="G29" s="128">
        <v>0</v>
      </c>
    </row>
    <row r="30" spans="1:7" s="91" customFormat="1" ht="14">
      <c r="A30" s="102">
        <v>450</v>
      </c>
      <c r="B30" s="103"/>
      <c r="C30" s="104" t="s">
        <v>193</v>
      </c>
      <c r="D30" s="130">
        <v>9861.43246</v>
      </c>
      <c r="E30" s="96">
        <v>1628.9</v>
      </c>
      <c r="F30" s="96">
        <v>8775.0859999999993</v>
      </c>
      <c r="G30" s="96">
        <v>3356.3</v>
      </c>
    </row>
    <row r="31" spans="1:7" s="106" customFormat="1" ht="14">
      <c r="A31" s="102">
        <v>451</v>
      </c>
      <c r="B31" s="103"/>
      <c r="C31" s="104" t="s">
        <v>194</v>
      </c>
      <c r="D31" s="131">
        <v>0</v>
      </c>
      <c r="E31" s="124">
        <v>0</v>
      </c>
      <c r="F31" s="124">
        <v>0</v>
      </c>
      <c r="G31" s="124">
        <v>0</v>
      </c>
    </row>
    <row r="32" spans="1:7" s="91" customFormat="1" ht="12.75" customHeight="1">
      <c r="A32" s="92">
        <v>46</v>
      </c>
      <c r="B32" s="93"/>
      <c r="C32" s="94" t="s">
        <v>195</v>
      </c>
      <c r="D32" s="95">
        <v>1212650.1200999999</v>
      </c>
      <c r="E32" s="124">
        <v>1185603.0780100001</v>
      </c>
      <c r="F32" s="124">
        <v>1210190.5090000001</v>
      </c>
      <c r="G32" s="124">
        <v>1168593.1569999999</v>
      </c>
    </row>
    <row r="33" spans="1:7" s="106" customFormat="1" ht="12.75" customHeight="1">
      <c r="A33" s="114" t="s">
        <v>196</v>
      </c>
      <c r="B33" s="98"/>
      <c r="C33" s="99" t="s">
        <v>197</v>
      </c>
      <c r="D33" s="95">
        <v>16297.111070000001</v>
      </c>
      <c r="E33" s="132">
        <v>17113.462</v>
      </c>
      <c r="F33" s="132">
        <v>16614.096000000001</v>
      </c>
      <c r="G33" s="132">
        <v>17594.125</v>
      </c>
    </row>
    <row r="34" spans="1:7" s="91" customFormat="1" ht="15" customHeight="1">
      <c r="A34" s="92">
        <v>47</v>
      </c>
      <c r="B34" s="93"/>
      <c r="C34" s="94" t="s">
        <v>176</v>
      </c>
      <c r="D34" s="95">
        <v>475799.82270000002</v>
      </c>
      <c r="E34" s="124">
        <v>467009.30900000001</v>
      </c>
      <c r="F34" s="124">
        <v>455383.28899999999</v>
      </c>
      <c r="G34" s="124">
        <v>471920.674</v>
      </c>
    </row>
    <row r="35" spans="1:7" s="91" customFormat="1" ht="15" customHeight="1">
      <c r="A35" s="116">
        <v>49</v>
      </c>
      <c r="B35" s="117"/>
      <c r="C35" s="118" t="s">
        <v>198</v>
      </c>
      <c r="D35" s="177">
        <v>435222.33744999999</v>
      </c>
      <c r="E35" s="120">
        <v>377628.11705</v>
      </c>
      <c r="F35" s="120">
        <v>385438.63699999999</v>
      </c>
      <c r="G35" s="120">
        <v>397385.33299999998</v>
      </c>
    </row>
    <row r="36" spans="1:7" ht="13.5" customHeight="1">
      <c r="A36" s="121"/>
      <c r="B36" s="134"/>
      <c r="C36" s="122" t="s">
        <v>199</v>
      </c>
      <c r="D36" s="123">
        <f t="shared" ref="D36:G36" si="1">D22+D23+D24+D25+D26+D27+D28+D29+D30+D31+D32+D34</f>
        <v>3099937.2479300001</v>
      </c>
      <c r="E36" s="123">
        <f t="shared" si="1"/>
        <v>3048580.56323</v>
      </c>
      <c r="F36" s="123">
        <f t="shared" si="1"/>
        <v>3113637.9229999995</v>
      </c>
      <c r="G36" s="123">
        <f t="shared" si="1"/>
        <v>3118948.6140000001</v>
      </c>
    </row>
    <row r="37" spans="1:7" s="135" customFormat="1" ht="15" customHeight="1">
      <c r="A37" s="121"/>
      <c r="B37" s="134"/>
      <c r="C37" s="122" t="s">
        <v>200</v>
      </c>
      <c r="D37" s="123">
        <f t="shared" ref="D37:G37" si="2">D36-D21</f>
        <v>-61595.19589000009</v>
      </c>
      <c r="E37" s="123">
        <f t="shared" si="2"/>
        <v>-118516.32349999994</v>
      </c>
      <c r="F37" s="123">
        <f t="shared" si="2"/>
        <v>-76370.885000000242</v>
      </c>
      <c r="G37" s="123">
        <f t="shared" si="2"/>
        <v>-114110.30799999973</v>
      </c>
    </row>
    <row r="38" spans="1:7" s="106" customFormat="1" ht="15" customHeight="1">
      <c r="A38" s="101">
        <v>340</v>
      </c>
      <c r="B38" s="93"/>
      <c r="C38" s="94" t="s">
        <v>201</v>
      </c>
      <c r="D38" s="130">
        <v>25141.455430000002</v>
      </c>
      <c r="E38" s="124">
        <v>25153.903999999999</v>
      </c>
      <c r="F38" s="124">
        <v>23752.375</v>
      </c>
      <c r="G38" s="124">
        <v>22841.577000000001</v>
      </c>
    </row>
    <row r="39" spans="1:7" s="106" customFormat="1" ht="15" customHeight="1">
      <c r="A39" s="101">
        <v>341</v>
      </c>
      <c r="B39" s="93"/>
      <c r="C39" s="94" t="s">
        <v>202</v>
      </c>
      <c r="D39" s="95">
        <v>45.261249999999997</v>
      </c>
      <c r="E39" s="124">
        <v>0</v>
      </c>
      <c r="F39" s="124">
        <v>149.88200000000001</v>
      </c>
      <c r="G39" s="124">
        <v>0</v>
      </c>
    </row>
    <row r="40" spans="1:7" s="106" customFormat="1" ht="15" customHeight="1">
      <c r="A40" s="101">
        <v>342</v>
      </c>
      <c r="B40" s="93"/>
      <c r="C40" s="94" t="s">
        <v>203</v>
      </c>
      <c r="D40" s="95">
        <v>323.73557</v>
      </c>
      <c r="E40" s="124">
        <v>715</v>
      </c>
      <c r="F40" s="124">
        <v>329.79599999999999</v>
      </c>
      <c r="G40" s="124">
        <v>715</v>
      </c>
    </row>
    <row r="41" spans="1:7" s="106" customFormat="1" ht="15" customHeight="1">
      <c r="A41" s="101">
        <v>343</v>
      </c>
      <c r="B41" s="93"/>
      <c r="C41" s="94" t="s">
        <v>204</v>
      </c>
      <c r="D41" s="95">
        <v>1458.8205700000001</v>
      </c>
      <c r="E41" s="124">
        <v>691</v>
      </c>
      <c r="F41" s="124">
        <v>1561.1489999999999</v>
      </c>
      <c r="G41" s="124">
        <v>692</v>
      </c>
    </row>
    <row r="42" spans="1:7" s="106" customFormat="1" ht="15" customHeight="1">
      <c r="A42" s="101">
        <v>344</v>
      </c>
      <c r="B42" s="93"/>
      <c r="C42" s="94" t="s">
        <v>205</v>
      </c>
      <c r="D42" s="95">
        <v>7096.3559999999998</v>
      </c>
      <c r="E42" s="124">
        <v>0</v>
      </c>
      <c r="F42" s="124">
        <v>2528.3980000000001</v>
      </c>
      <c r="G42" s="124">
        <v>0</v>
      </c>
    </row>
    <row r="43" spans="1:7" s="106" customFormat="1" ht="15" customHeight="1">
      <c r="A43" s="101">
        <v>349</v>
      </c>
      <c r="B43" s="93"/>
      <c r="C43" s="94" t="s">
        <v>206</v>
      </c>
      <c r="D43" s="95">
        <v>3835.2984299999998</v>
      </c>
      <c r="E43" s="124">
        <v>3608.165</v>
      </c>
      <c r="F43" s="124">
        <v>4202.9949999999999</v>
      </c>
      <c r="G43" s="124">
        <v>3061.018</v>
      </c>
    </row>
    <row r="44" spans="1:7" s="91" customFormat="1" ht="15" customHeight="1">
      <c r="A44" s="92">
        <v>440</v>
      </c>
      <c r="B44" s="93"/>
      <c r="C44" s="94" t="s">
        <v>207</v>
      </c>
      <c r="D44" s="130">
        <v>3085.2006799999999</v>
      </c>
      <c r="E44" s="124">
        <v>3624.72</v>
      </c>
      <c r="F44" s="124">
        <v>2999.88</v>
      </c>
      <c r="G44" s="124">
        <v>2856.97</v>
      </c>
    </row>
    <row r="45" spans="1:7" s="91" customFormat="1" ht="15" customHeight="1">
      <c r="A45" s="92">
        <v>441</v>
      </c>
      <c r="B45" s="93"/>
      <c r="C45" s="94" t="s">
        <v>208</v>
      </c>
      <c r="D45" s="130">
        <v>1151.7992099999999</v>
      </c>
      <c r="E45" s="124">
        <v>0</v>
      </c>
      <c r="F45" s="124">
        <v>1904.3589999999999</v>
      </c>
      <c r="G45" s="124">
        <v>0</v>
      </c>
    </row>
    <row r="46" spans="1:7" s="91" customFormat="1" ht="15" customHeight="1">
      <c r="A46" s="92">
        <v>442</v>
      </c>
      <c r="B46" s="93"/>
      <c r="C46" s="94" t="s">
        <v>209</v>
      </c>
      <c r="D46" s="130">
        <v>12679.496999999999</v>
      </c>
      <c r="E46" s="124">
        <v>12589</v>
      </c>
      <c r="F46" s="124">
        <v>11794.290999999999</v>
      </c>
      <c r="G46" s="124">
        <v>11806</v>
      </c>
    </row>
    <row r="47" spans="1:7" s="91" customFormat="1" ht="15" customHeight="1">
      <c r="A47" s="92">
        <v>443</v>
      </c>
      <c r="B47" s="93"/>
      <c r="C47" s="94" t="s">
        <v>210</v>
      </c>
      <c r="D47" s="130">
        <v>2059.2991999999999</v>
      </c>
      <c r="E47" s="124">
        <v>3610</v>
      </c>
      <c r="F47" s="124">
        <v>2202.2199999999998</v>
      </c>
      <c r="G47" s="124">
        <v>2200</v>
      </c>
    </row>
    <row r="48" spans="1:7" s="91" customFormat="1" ht="15" customHeight="1">
      <c r="A48" s="92">
        <v>444</v>
      </c>
      <c r="B48" s="93"/>
      <c r="C48" s="94" t="s">
        <v>205</v>
      </c>
      <c r="D48" s="130">
        <v>0</v>
      </c>
      <c r="E48" s="124">
        <v>0</v>
      </c>
      <c r="F48" s="124">
        <v>2259.4520000000002</v>
      </c>
      <c r="G48" s="124">
        <v>2350</v>
      </c>
    </row>
    <row r="49" spans="1:7" s="91" customFormat="1" ht="15" customHeight="1">
      <c r="A49" s="92">
        <v>445</v>
      </c>
      <c r="B49" s="93"/>
      <c r="C49" s="94" t="s">
        <v>211</v>
      </c>
      <c r="D49" s="130">
        <v>70332.210359999997</v>
      </c>
      <c r="E49" s="124">
        <v>78407.721999999994</v>
      </c>
      <c r="F49" s="124">
        <v>86834.298999999999</v>
      </c>
      <c r="G49" s="124">
        <v>77127.145999999993</v>
      </c>
    </row>
    <row r="50" spans="1:7" s="91" customFormat="1" ht="15" customHeight="1">
      <c r="A50" s="92">
        <v>446</v>
      </c>
      <c r="B50" s="93"/>
      <c r="C50" s="94" t="s">
        <v>212</v>
      </c>
      <c r="D50" s="130">
        <v>243</v>
      </c>
      <c r="E50" s="124">
        <v>4000</v>
      </c>
      <c r="F50" s="124">
        <v>26.52</v>
      </c>
      <c r="G50" s="124">
        <v>26.52</v>
      </c>
    </row>
    <row r="51" spans="1:7" s="91" customFormat="1" ht="15" customHeight="1">
      <c r="A51" s="92">
        <v>447</v>
      </c>
      <c r="B51" s="93"/>
      <c r="C51" s="94" t="s">
        <v>213</v>
      </c>
      <c r="D51" s="130">
        <v>20751.47135</v>
      </c>
      <c r="E51" s="124">
        <v>22197.59</v>
      </c>
      <c r="F51" s="124">
        <v>22378.103999999999</v>
      </c>
      <c r="G51" s="124">
        <v>21879.95</v>
      </c>
    </row>
    <row r="52" spans="1:7" s="91" customFormat="1" ht="15" customHeight="1">
      <c r="A52" s="92">
        <v>448</v>
      </c>
      <c r="B52" s="93"/>
      <c r="C52" s="94" t="s">
        <v>214</v>
      </c>
      <c r="D52" s="130">
        <v>1943.2417</v>
      </c>
      <c r="E52" s="124">
        <v>0</v>
      </c>
      <c r="F52" s="124">
        <v>1781.7650000000001</v>
      </c>
      <c r="G52" s="124">
        <v>1978</v>
      </c>
    </row>
    <row r="53" spans="1:7" s="91" customFormat="1" ht="15" customHeight="1">
      <c r="A53" s="92">
        <v>449</v>
      </c>
      <c r="B53" s="93"/>
      <c r="C53" s="94" t="s">
        <v>215</v>
      </c>
      <c r="D53" s="130">
        <v>19.283280000000001</v>
      </c>
      <c r="E53" s="124">
        <v>0</v>
      </c>
      <c r="F53" s="124">
        <v>19.149999999999999</v>
      </c>
      <c r="G53" s="124">
        <v>0</v>
      </c>
    </row>
    <row r="54" spans="1:7" s="106" customFormat="1" ht="13.5" customHeight="1">
      <c r="A54" s="136" t="s">
        <v>216</v>
      </c>
      <c r="B54" s="137"/>
      <c r="C54" s="137" t="s">
        <v>217</v>
      </c>
      <c r="D54" s="264">
        <v>19.283280000000001</v>
      </c>
      <c r="E54" s="139">
        <v>0</v>
      </c>
      <c r="F54" s="139">
        <v>19.149999999999999</v>
      </c>
      <c r="G54" s="139">
        <v>0</v>
      </c>
    </row>
    <row r="55" spans="1:7" ht="15" customHeight="1">
      <c r="A55" s="134"/>
      <c r="B55" s="134"/>
      <c r="C55" s="122" t="s">
        <v>218</v>
      </c>
      <c r="D55" s="123">
        <f t="shared" ref="D55:G55" si="3">SUM(D44:D53)-SUM(D38:D43)</f>
        <v>74364.075530000002</v>
      </c>
      <c r="E55" s="123">
        <f t="shared" si="3"/>
        <v>94260.962999999989</v>
      </c>
      <c r="F55" s="123">
        <f t="shared" si="3"/>
        <v>99675.445000000007</v>
      </c>
      <c r="G55" s="123">
        <f t="shared" si="3"/>
        <v>92914.990999999995</v>
      </c>
    </row>
    <row r="56" spans="1:7" ht="14.25" customHeight="1">
      <c r="A56" s="134"/>
      <c r="B56" s="134"/>
      <c r="C56" s="122" t="s">
        <v>219</v>
      </c>
      <c r="D56" s="123">
        <f t="shared" ref="D56:G56" si="4">D55+D37</f>
        <v>12768.879639999912</v>
      </c>
      <c r="E56" s="123">
        <f t="shared" si="4"/>
        <v>-24255.360499999952</v>
      </c>
      <c r="F56" s="123">
        <f t="shared" si="4"/>
        <v>23304.559999999765</v>
      </c>
      <c r="G56" s="123">
        <f t="shared" si="4"/>
        <v>-21195.316999999734</v>
      </c>
    </row>
    <row r="57" spans="1:7" s="91" customFormat="1" ht="15.75" customHeight="1">
      <c r="A57" s="140">
        <v>380</v>
      </c>
      <c r="B57" s="141"/>
      <c r="C57" s="142" t="s">
        <v>220</v>
      </c>
      <c r="D57" s="266">
        <v>0</v>
      </c>
      <c r="E57" s="266">
        <v>0</v>
      </c>
      <c r="F57" s="266">
        <v>0</v>
      </c>
      <c r="G57" s="266">
        <v>0</v>
      </c>
    </row>
    <row r="58" spans="1:7" s="91" customFormat="1" ht="15.75" customHeight="1">
      <c r="A58" s="140">
        <v>381</v>
      </c>
      <c r="B58" s="141"/>
      <c r="C58" s="142" t="s">
        <v>221</v>
      </c>
      <c r="D58" s="266">
        <v>0</v>
      </c>
      <c r="E58" s="266">
        <v>0</v>
      </c>
      <c r="F58" s="266">
        <v>0</v>
      </c>
      <c r="G58" s="266">
        <v>0</v>
      </c>
    </row>
    <row r="59" spans="1:7" s="106" customFormat="1" ht="14">
      <c r="A59" s="102">
        <v>383</v>
      </c>
      <c r="B59" s="103"/>
      <c r="C59" s="104" t="s">
        <v>222</v>
      </c>
      <c r="D59" s="144">
        <v>0</v>
      </c>
      <c r="E59" s="144">
        <v>0</v>
      </c>
      <c r="F59" s="144">
        <v>0</v>
      </c>
      <c r="G59" s="144">
        <v>0</v>
      </c>
    </row>
    <row r="60" spans="1:7" s="106" customFormat="1" ht="14">
      <c r="A60" s="102">
        <v>3840</v>
      </c>
      <c r="B60" s="103"/>
      <c r="C60" s="104" t="s">
        <v>223</v>
      </c>
      <c r="D60" s="146">
        <v>0</v>
      </c>
      <c r="E60" s="146">
        <v>0</v>
      </c>
      <c r="F60" s="146">
        <v>0</v>
      </c>
      <c r="G60" s="146">
        <v>0</v>
      </c>
    </row>
    <row r="61" spans="1:7" s="106" customFormat="1" ht="14">
      <c r="A61" s="102">
        <v>3841</v>
      </c>
      <c r="B61" s="103"/>
      <c r="C61" s="104" t="s">
        <v>224</v>
      </c>
      <c r="D61" s="146">
        <v>0</v>
      </c>
      <c r="E61" s="146">
        <v>0</v>
      </c>
      <c r="F61" s="146">
        <v>0</v>
      </c>
      <c r="G61" s="146">
        <v>0</v>
      </c>
    </row>
    <row r="62" spans="1:7" s="106" customFormat="1" ht="14">
      <c r="A62" s="147">
        <v>386</v>
      </c>
      <c r="B62" s="148"/>
      <c r="C62" s="149" t="s">
        <v>225</v>
      </c>
      <c r="D62" s="146">
        <v>0</v>
      </c>
      <c r="E62" s="146">
        <v>0</v>
      </c>
      <c r="F62" s="146">
        <v>0</v>
      </c>
      <c r="G62" s="146">
        <v>0</v>
      </c>
    </row>
    <row r="63" spans="1:7" s="106" customFormat="1" ht="28">
      <c r="A63" s="102">
        <v>387</v>
      </c>
      <c r="B63" s="103"/>
      <c r="C63" s="104" t="s">
        <v>226</v>
      </c>
      <c r="D63" s="146">
        <v>0</v>
      </c>
      <c r="E63" s="146">
        <v>0</v>
      </c>
      <c r="F63" s="146">
        <v>0</v>
      </c>
      <c r="G63" s="146">
        <v>0</v>
      </c>
    </row>
    <row r="64" spans="1:7" s="106" customFormat="1">
      <c r="A64" s="114">
        <v>389</v>
      </c>
      <c r="B64" s="343"/>
      <c r="C64" s="99" t="s">
        <v>42</v>
      </c>
      <c r="D64" s="132">
        <v>0</v>
      </c>
      <c r="E64" s="132">
        <v>0</v>
      </c>
      <c r="F64" s="132">
        <v>0</v>
      </c>
      <c r="G64" s="132">
        <v>0</v>
      </c>
    </row>
    <row r="65" spans="1:7" s="91" customFormat="1">
      <c r="A65" s="101" t="s">
        <v>227</v>
      </c>
      <c r="B65" s="93"/>
      <c r="C65" s="94" t="s">
        <v>228</v>
      </c>
      <c r="D65" s="124">
        <v>0</v>
      </c>
      <c r="E65" s="124">
        <v>0</v>
      </c>
      <c r="F65" s="124">
        <v>0</v>
      </c>
      <c r="G65" s="124">
        <v>0</v>
      </c>
    </row>
    <row r="66" spans="1:7" s="153" customFormat="1" ht="14">
      <c r="A66" s="151" t="s">
        <v>229</v>
      </c>
      <c r="B66" s="152"/>
      <c r="C66" s="104" t="s">
        <v>230</v>
      </c>
      <c r="D66" s="144">
        <v>0</v>
      </c>
      <c r="E66" s="144">
        <v>0</v>
      </c>
      <c r="F66" s="144">
        <v>0</v>
      </c>
      <c r="G66" s="144">
        <v>0</v>
      </c>
    </row>
    <row r="67" spans="1:7" s="91" customFormat="1">
      <c r="A67" s="154">
        <v>481</v>
      </c>
      <c r="B67" s="93"/>
      <c r="C67" s="94" t="s">
        <v>231</v>
      </c>
      <c r="D67" s="124">
        <v>0</v>
      </c>
      <c r="E67" s="124">
        <v>0</v>
      </c>
      <c r="F67" s="124">
        <v>0</v>
      </c>
      <c r="G67" s="124">
        <v>0</v>
      </c>
    </row>
    <row r="68" spans="1:7" s="91" customFormat="1">
      <c r="A68" s="154">
        <v>482</v>
      </c>
      <c r="B68" s="93"/>
      <c r="C68" s="94" t="s">
        <v>232</v>
      </c>
      <c r="D68" s="124">
        <v>0</v>
      </c>
      <c r="E68" s="124">
        <v>0</v>
      </c>
      <c r="F68" s="124">
        <v>0</v>
      </c>
      <c r="G68" s="124">
        <v>0</v>
      </c>
    </row>
    <row r="69" spans="1:7" s="91" customFormat="1">
      <c r="A69" s="154">
        <v>483</v>
      </c>
      <c r="B69" s="93"/>
      <c r="C69" s="94" t="s">
        <v>233</v>
      </c>
      <c r="D69" s="124">
        <v>0</v>
      </c>
      <c r="E69" s="124">
        <v>0</v>
      </c>
      <c r="F69" s="124">
        <v>0</v>
      </c>
      <c r="G69" s="124">
        <v>0</v>
      </c>
    </row>
    <row r="70" spans="1:7" s="91" customFormat="1">
      <c r="A70" s="154">
        <v>484</v>
      </c>
      <c r="B70" s="93"/>
      <c r="C70" s="94" t="s">
        <v>234</v>
      </c>
      <c r="D70" s="124">
        <v>0</v>
      </c>
      <c r="E70" s="124">
        <v>0</v>
      </c>
      <c r="F70" s="124">
        <v>0</v>
      </c>
      <c r="G70" s="124">
        <v>0</v>
      </c>
    </row>
    <row r="71" spans="1:7" s="91" customFormat="1">
      <c r="A71" s="154">
        <v>485</v>
      </c>
      <c r="B71" s="93"/>
      <c r="C71" s="94" t="s">
        <v>235</v>
      </c>
      <c r="D71" s="124">
        <v>0</v>
      </c>
      <c r="E71" s="124">
        <v>0</v>
      </c>
      <c r="F71" s="124">
        <v>0</v>
      </c>
      <c r="G71" s="124">
        <v>0</v>
      </c>
    </row>
    <row r="72" spans="1:7" s="91" customFormat="1">
      <c r="A72" s="154">
        <v>486</v>
      </c>
      <c r="B72" s="93"/>
      <c r="C72" s="94" t="s">
        <v>236</v>
      </c>
      <c r="D72" s="124">
        <v>0</v>
      </c>
      <c r="E72" s="124">
        <v>0</v>
      </c>
      <c r="F72" s="124">
        <v>0</v>
      </c>
      <c r="G72" s="124">
        <v>0</v>
      </c>
    </row>
    <row r="73" spans="1:7" s="106" customFormat="1">
      <c r="A73" s="154">
        <v>487</v>
      </c>
      <c r="B73" s="98"/>
      <c r="C73" s="94" t="s">
        <v>237</v>
      </c>
      <c r="D73" s="124">
        <v>0</v>
      </c>
      <c r="E73" s="124">
        <v>0</v>
      </c>
      <c r="F73" s="124">
        <v>0</v>
      </c>
      <c r="G73" s="124">
        <v>0</v>
      </c>
    </row>
    <row r="74" spans="1:7" s="106" customFormat="1">
      <c r="A74" s="154">
        <v>489</v>
      </c>
      <c r="B74" s="155"/>
      <c r="C74" s="118" t="s">
        <v>59</v>
      </c>
      <c r="D74" s="124">
        <v>0</v>
      </c>
      <c r="E74" s="124">
        <v>0</v>
      </c>
      <c r="F74" s="124">
        <v>0</v>
      </c>
      <c r="G74" s="124">
        <v>0</v>
      </c>
    </row>
    <row r="75" spans="1:7" s="106" customFormat="1">
      <c r="A75" s="156" t="s">
        <v>238</v>
      </c>
      <c r="B75" s="155"/>
      <c r="C75" s="118" t="s">
        <v>239</v>
      </c>
      <c r="D75" s="124">
        <v>0</v>
      </c>
      <c r="E75" s="124">
        <v>0</v>
      </c>
      <c r="F75" s="124">
        <v>0</v>
      </c>
      <c r="G75" s="124">
        <v>0</v>
      </c>
    </row>
    <row r="76" spans="1:7">
      <c r="A76" s="121"/>
      <c r="B76" s="121"/>
      <c r="C76" s="122" t="s">
        <v>240</v>
      </c>
      <c r="D76" s="123">
        <f t="shared" ref="D76:G76" si="5">SUM(D65:D74)-SUM(D57:D64)</f>
        <v>0</v>
      </c>
      <c r="E76" s="123">
        <f t="shared" si="5"/>
        <v>0</v>
      </c>
      <c r="F76" s="123">
        <f t="shared" si="5"/>
        <v>0</v>
      </c>
      <c r="G76" s="123">
        <f t="shared" si="5"/>
        <v>0</v>
      </c>
    </row>
    <row r="77" spans="1:7">
      <c r="A77" s="157"/>
      <c r="B77" s="157"/>
      <c r="C77" s="122" t="s">
        <v>241</v>
      </c>
      <c r="D77" s="123">
        <f t="shared" ref="D77:G77" si="6">D56+D76</f>
        <v>12768.879639999912</v>
      </c>
      <c r="E77" s="123">
        <f t="shared" si="6"/>
        <v>-24255.360499999952</v>
      </c>
      <c r="F77" s="123">
        <f t="shared" si="6"/>
        <v>23304.559999999765</v>
      </c>
      <c r="G77" s="123">
        <f t="shared" si="6"/>
        <v>-21195.316999999734</v>
      </c>
    </row>
    <row r="78" spans="1:7">
      <c r="A78" s="158">
        <v>3</v>
      </c>
      <c r="B78" s="158"/>
      <c r="C78" s="159" t="s">
        <v>242</v>
      </c>
      <c r="D78" s="160">
        <f t="shared" ref="D78:G78" si="7">D20+D21+SUM(D38:D43)+SUM(D57:D64)</f>
        <v>3634655.7085200003</v>
      </c>
      <c r="E78" s="160">
        <f t="shared" si="7"/>
        <v>3574893.07278</v>
      </c>
      <c r="F78" s="160">
        <f t="shared" si="7"/>
        <v>3607972.04</v>
      </c>
      <c r="G78" s="160">
        <f t="shared" si="7"/>
        <v>3657753.85</v>
      </c>
    </row>
    <row r="79" spans="1:7">
      <c r="A79" s="158">
        <v>4</v>
      </c>
      <c r="B79" s="158"/>
      <c r="C79" s="159" t="s">
        <v>243</v>
      </c>
      <c r="D79" s="160">
        <f t="shared" ref="D79:G79" si="8">D35+D36+SUM(D44:D53)+SUM(D65:D74)</f>
        <v>3647424.5881600003</v>
      </c>
      <c r="E79" s="160">
        <f t="shared" si="8"/>
        <v>3550637.7122800001</v>
      </c>
      <c r="F79" s="160">
        <f t="shared" si="8"/>
        <v>3631276.5999999996</v>
      </c>
      <c r="G79" s="160">
        <f t="shared" si="8"/>
        <v>3636558.5330000003</v>
      </c>
    </row>
    <row r="80" spans="1:7">
      <c r="C80" s="135"/>
      <c r="D80" s="161"/>
      <c r="E80" s="161"/>
      <c r="F80" s="161"/>
      <c r="G80" s="161"/>
    </row>
    <row r="81" spans="1:7">
      <c r="A81" s="680" t="s">
        <v>244</v>
      </c>
      <c r="B81" s="681"/>
      <c r="C81" s="681"/>
      <c r="D81" s="163"/>
      <c r="E81" s="162"/>
      <c r="F81" s="162"/>
      <c r="G81" s="162"/>
    </row>
    <row r="82" spans="1:7" s="91" customFormat="1">
      <c r="A82" s="164">
        <v>50</v>
      </c>
      <c r="B82" s="165"/>
      <c r="C82" s="165" t="s">
        <v>245</v>
      </c>
      <c r="D82" s="124">
        <v>123517.31783</v>
      </c>
      <c r="E82" s="124">
        <v>143859.40700000001</v>
      </c>
      <c r="F82" s="124">
        <v>138324.61248000001</v>
      </c>
      <c r="G82" s="124">
        <v>155404</v>
      </c>
    </row>
    <row r="83" spans="1:7" s="91" customFormat="1">
      <c r="A83" s="164">
        <v>51</v>
      </c>
      <c r="B83" s="165"/>
      <c r="C83" s="165" t="s">
        <v>246</v>
      </c>
      <c r="D83" s="124">
        <v>4217.8256300000003</v>
      </c>
      <c r="E83" s="124">
        <v>1300</v>
      </c>
      <c r="F83" s="124">
        <v>355.4323</v>
      </c>
      <c r="G83" s="124">
        <v>1100</v>
      </c>
    </row>
    <row r="84" spans="1:7" s="91" customFormat="1">
      <c r="A84" s="164">
        <v>52</v>
      </c>
      <c r="B84" s="165"/>
      <c r="C84" s="165" t="s">
        <v>247</v>
      </c>
      <c r="D84" s="124">
        <v>4994.8887299999997</v>
      </c>
      <c r="E84" s="124">
        <v>7192.18</v>
      </c>
      <c r="F84" s="124">
        <v>3627.7175200000001</v>
      </c>
      <c r="G84" s="124">
        <v>9727.58</v>
      </c>
    </row>
    <row r="85" spans="1:7" s="91" customFormat="1">
      <c r="A85" s="166">
        <v>54</v>
      </c>
      <c r="B85" s="167"/>
      <c r="C85" s="167" t="s">
        <v>248</v>
      </c>
      <c r="D85" s="124">
        <v>2339.4050000000002</v>
      </c>
      <c r="E85" s="124">
        <v>2430</v>
      </c>
      <c r="F85" s="124">
        <v>2061.0045</v>
      </c>
      <c r="G85" s="124">
        <v>1200</v>
      </c>
    </row>
    <row r="86" spans="1:7" s="91" customFormat="1">
      <c r="A86" s="166">
        <v>55</v>
      </c>
      <c r="B86" s="167"/>
      <c r="C86" s="167" t="s">
        <v>249</v>
      </c>
      <c r="D86" s="124">
        <v>100</v>
      </c>
      <c r="E86" s="124">
        <v>900</v>
      </c>
      <c r="F86" s="124">
        <v>900</v>
      </c>
      <c r="G86" s="124">
        <v>0</v>
      </c>
    </row>
    <row r="87" spans="1:7" s="91" customFormat="1">
      <c r="A87" s="166">
        <v>56</v>
      </c>
      <c r="B87" s="167"/>
      <c r="C87" s="167" t="s">
        <v>250</v>
      </c>
      <c r="D87" s="124">
        <v>25227.356820000001</v>
      </c>
      <c r="E87" s="124">
        <v>14867.74</v>
      </c>
      <c r="F87" s="124">
        <v>15551.17239</v>
      </c>
      <c r="G87" s="124">
        <v>10900.434999999999</v>
      </c>
    </row>
    <row r="88" spans="1:7" s="91" customFormat="1">
      <c r="A88" s="164">
        <v>57</v>
      </c>
      <c r="B88" s="165"/>
      <c r="C88" s="165" t="s">
        <v>251</v>
      </c>
      <c r="D88" s="124">
        <v>13310.807000000001</v>
      </c>
      <c r="E88" s="124">
        <v>14175</v>
      </c>
      <c r="F88" s="124">
        <v>10124.90905</v>
      </c>
      <c r="G88" s="124">
        <v>13275</v>
      </c>
    </row>
    <row r="89" spans="1:7" s="91" customFormat="1">
      <c r="A89" s="164">
        <v>580</v>
      </c>
      <c r="B89" s="165"/>
      <c r="C89" s="165" t="s">
        <v>252</v>
      </c>
      <c r="D89" s="124">
        <v>0</v>
      </c>
      <c r="E89" s="124">
        <v>0</v>
      </c>
      <c r="F89" s="124">
        <v>0</v>
      </c>
      <c r="G89" s="124">
        <v>0</v>
      </c>
    </row>
    <row r="90" spans="1:7" s="91" customFormat="1">
      <c r="A90" s="164">
        <v>582</v>
      </c>
      <c r="B90" s="165"/>
      <c r="C90" s="165" t="s">
        <v>253</v>
      </c>
      <c r="D90" s="124">
        <v>0</v>
      </c>
      <c r="E90" s="124">
        <v>0</v>
      </c>
      <c r="F90" s="124">
        <v>0</v>
      </c>
      <c r="G90" s="124">
        <v>0</v>
      </c>
    </row>
    <row r="91" spans="1:7" s="91" customFormat="1">
      <c r="A91" s="164">
        <v>584</v>
      </c>
      <c r="B91" s="165"/>
      <c r="C91" s="165" t="s">
        <v>254</v>
      </c>
      <c r="D91" s="124">
        <v>0</v>
      </c>
      <c r="E91" s="124">
        <v>0</v>
      </c>
      <c r="F91" s="124">
        <v>0</v>
      </c>
      <c r="G91" s="124">
        <v>0</v>
      </c>
    </row>
    <row r="92" spans="1:7" s="91" customFormat="1">
      <c r="A92" s="164">
        <v>585</v>
      </c>
      <c r="B92" s="165"/>
      <c r="C92" s="165" t="s">
        <v>255</v>
      </c>
      <c r="D92" s="124">
        <v>0</v>
      </c>
      <c r="E92" s="124">
        <v>0</v>
      </c>
      <c r="F92" s="124">
        <v>0</v>
      </c>
      <c r="G92" s="124">
        <v>0</v>
      </c>
    </row>
    <row r="93" spans="1:7" s="91" customFormat="1">
      <c r="A93" s="164">
        <v>586</v>
      </c>
      <c r="B93" s="165"/>
      <c r="C93" s="165" t="s">
        <v>256</v>
      </c>
      <c r="D93" s="124">
        <v>0</v>
      </c>
      <c r="E93" s="124">
        <v>0</v>
      </c>
      <c r="F93" s="124">
        <v>0</v>
      </c>
      <c r="G93" s="124">
        <v>0</v>
      </c>
    </row>
    <row r="94" spans="1:7" s="91" customFormat="1">
      <c r="A94" s="168">
        <v>589</v>
      </c>
      <c r="B94" s="169"/>
      <c r="C94" s="169" t="s">
        <v>257</v>
      </c>
      <c r="D94" s="133">
        <v>0</v>
      </c>
      <c r="E94" s="133">
        <v>0</v>
      </c>
      <c r="F94" s="133">
        <v>0</v>
      </c>
      <c r="G94" s="133">
        <v>0</v>
      </c>
    </row>
    <row r="95" spans="1:7">
      <c r="A95" s="170">
        <v>5</v>
      </c>
      <c r="B95" s="171"/>
      <c r="C95" s="171" t="s">
        <v>258</v>
      </c>
      <c r="D95" s="172">
        <f t="shared" ref="D95:G95" si="9">SUM(D82:D94)</f>
        <v>173707.60101000001</v>
      </c>
      <c r="E95" s="172">
        <f t="shared" si="9"/>
        <v>184724.32699999999</v>
      </c>
      <c r="F95" s="172">
        <f t="shared" si="9"/>
        <v>170944.84823999999</v>
      </c>
      <c r="G95" s="172">
        <f t="shared" si="9"/>
        <v>191607.01499999998</v>
      </c>
    </row>
    <row r="96" spans="1:7" s="91" customFormat="1">
      <c r="A96" s="164">
        <v>60</v>
      </c>
      <c r="B96" s="165"/>
      <c r="C96" s="165" t="s">
        <v>259</v>
      </c>
      <c r="D96" s="95">
        <v>680.15114000000005</v>
      </c>
      <c r="E96" s="124">
        <v>200</v>
      </c>
      <c r="F96" s="124">
        <v>194.26949999999999</v>
      </c>
      <c r="G96" s="124">
        <v>200</v>
      </c>
    </row>
    <row r="97" spans="1:7" s="91" customFormat="1">
      <c r="A97" s="164">
        <v>61</v>
      </c>
      <c r="B97" s="165"/>
      <c r="C97" s="165" t="s">
        <v>260</v>
      </c>
      <c r="D97" s="95">
        <v>4217.8256300000003</v>
      </c>
      <c r="E97" s="124">
        <v>1300</v>
      </c>
      <c r="F97" s="124">
        <v>355.4323</v>
      </c>
      <c r="G97" s="124">
        <v>1100</v>
      </c>
    </row>
    <row r="98" spans="1:7" s="91" customFormat="1">
      <c r="A98" s="164">
        <v>62</v>
      </c>
      <c r="B98" s="165"/>
      <c r="C98" s="165" t="s">
        <v>261</v>
      </c>
      <c r="D98" s="95">
        <v>0</v>
      </c>
      <c r="E98" s="124">
        <v>0</v>
      </c>
      <c r="F98" s="124">
        <v>0</v>
      </c>
      <c r="G98" s="124">
        <v>0</v>
      </c>
    </row>
    <row r="99" spans="1:7" s="91" customFormat="1">
      <c r="A99" s="164">
        <v>63</v>
      </c>
      <c r="B99" s="165"/>
      <c r="C99" s="165" t="s">
        <v>262</v>
      </c>
      <c r="D99" s="95">
        <v>28152.65436</v>
      </c>
      <c r="E99" s="124">
        <v>29286.960999999999</v>
      </c>
      <c r="F99" s="124">
        <v>29451.291929999999</v>
      </c>
      <c r="G99" s="124">
        <v>31620.936000000002</v>
      </c>
    </row>
    <row r="100" spans="1:7" s="91" customFormat="1">
      <c r="A100" s="164">
        <v>64</v>
      </c>
      <c r="B100" s="165"/>
      <c r="C100" s="165" t="s">
        <v>263</v>
      </c>
      <c r="D100" s="95">
        <v>3181.6525000000001</v>
      </c>
      <c r="E100" s="124">
        <v>2318.1</v>
      </c>
      <c r="F100" s="124">
        <v>2539.0951</v>
      </c>
      <c r="G100" s="124">
        <v>2226.1999999999998</v>
      </c>
    </row>
    <row r="101" spans="1:7" s="91" customFormat="1">
      <c r="A101" s="164">
        <v>65</v>
      </c>
      <c r="B101" s="165"/>
      <c r="C101" s="165" t="s">
        <v>264</v>
      </c>
      <c r="D101" s="95">
        <v>0</v>
      </c>
      <c r="E101" s="124">
        <v>0</v>
      </c>
      <c r="F101" s="124">
        <v>0.01</v>
      </c>
      <c r="G101" s="124">
        <v>0</v>
      </c>
    </row>
    <row r="102" spans="1:7" s="91" customFormat="1">
      <c r="A102" s="164">
        <v>66</v>
      </c>
      <c r="B102" s="165"/>
      <c r="C102" s="165" t="s">
        <v>265</v>
      </c>
      <c r="D102" s="95">
        <v>16.82375</v>
      </c>
      <c r="E102" s="124">
        <v>30</v>
      </c>
      <c r="F102" s="124">
        <v>8.4489999999999998</v>
      </c>
      <c r="G102" s="124">
        <v>30</v>
      </c>
    </row>
    <row r="103" spans="1:7" s="91" customFormat="1">
      <c r="A103" s="164">
        <v>67</v>
      </c>
      <c r="B103" s="165"/>
      <c r="C103" s="165" t="s">
        <v>251</v>
      </c>
      <c r="D103" s="130">
        <v>13310.807000000001</v>
      </c>
      <c r="E103" s="96">
        <v>14175</v>
      </c>
      <c r="F103" s="96">
        <v>10124.90905</v>
      </c>
      <c r="G103" s="96">
        <v>13275</v>
      </c>
    </row>
    <row r="104" spans="1:7" s="91" customFormat="1" ht="28">
      <c r="A104" s="173" t="s">
        <v>266</v>
      </c>
      <c r="B104" s="165"/>
      <c r="C104" s="174" t="s">
        <v>267</v>
      </c>
      <c r="D104" s="130">
        <v>0</v>
      </c>
      <c r="E104" s="96">
        <v>0</v>
      </c>
      <c r="F104" s="96">
        <v>0</v>
      </c>
      <c r="G104" s="96">
        <v>0</v>
      </c>
    </row>
    <row r="105" spans="1:7" s="91" customFormat="1" ht="42">
      <c r="A105" s="175" t="s">
        <v>268</v>
      </c>
      <c r="B105" s="169"/>
      <c r="C105" s="176" t="s">
        <v>269</v>
      </c>
      <c r="D105" s="278">
        <v>0</v>
      </c>
      <c r="E105" s="279">
        <v>0</v>
      </c>
      <c r="F105" s="279">
        <v>0</v>
      </c>
      <c r="G105" s="279">
        <v>0</v>
      </c>
    </row>
    <row r="106" spans="1:7">
      <c r="A106" s="170">
        <v>6</v>
      </c>
      <c r="B106" s="171"/>
      <c r="C106" s="171" t="s">
        <v>270</v>
      </c>
      <c r="D106" s="172">
        <f t="shared" ref="D106:G106" si="10">SUM(D96:D105)</f>
        <v>49559.914380000009</v>
      </c>
      <c r="E106" s="172">
        <f t="shared" si="10"/>
        <v>47310.061000000002</v>
      </c>
      <c r="F106" s="172">
        <f t="shared" si="10"/>
        <v>42673.456879999998</v>
      </c>
      <c r="G106" s="172">
        <f t="shared" si="10"/>
        <v>48452.135999999999</v>
      </c>
    </row>
    <row r="107" spans="1:7">
      <c r="A107" s="178" t="s">
        <v>271</v>
      </c>
      <c r="B107" s="178"/>
      <c r="C107" s="171" t="s">
        <v>1</v>
      </c>
      <c r="D107" s="172">
        <f t="shared" ref="D107:G107" si="11">(D95-D88)-(D106-D103)</f>
        <v>124147.68663000001</v>
      </c>
      <c r="E107" s="172">
        <f t="shared" si="11"/>
        <v>137414.266</v>
      </c>
      <c r="F107" s="172">
        <f t="shared" si="11"/>
        <v>128271.39136000001</v>
      </c>
      <c r="G107" s="172">
        <f t="shared" si="11"/>
        <v>143154.87899999999</v>
      </c>
    </row>
    <row r="108" spans="1:7">
      <c r="A108" s="179" t="s">
        <v>272</v>
      </c>
      <c r="B108" s="179"/>
      <c r="C108" s="180" t="s">
        <v>273</v>
      </c>
      <c r="D108" s="280">
        <f t="shared" ref="D108:G108" si="12">D107-D85-D86+D100+D101</f>
        <v>124889.93413000001</v>
      </c>
      <c r="E108" s="280">
        <f t="shared" si="12"/>
        <v>136402.36600000001</v>
      </c>
      <c r="F108" s="280">
        <f t="shared" si="12"/>
        <v>127849.49196000001</v>
      </c>
      <c r="G108" s="280">
        <f t="shared" si="12"/>
        <v>144181.079</v>
      </c>
    </row>
    <row r="109" spans="1:7">
      <c r="C109" s="135"/>
      <c r="D109" s="161"/>
      <c r="E109" s="161"/>
      <c r="F109" s="161"/>
      <c r="G109" s="161"/>
    </row>
    <row r="110" spans="1:7">
      <c r="A110" s="181" t="s">
        <v>274</v>
      </c>
      <c r="B110" s="182"/>
      <c r="C110" s="181"/>
      <c r="D110" s="161"/>
      <c r="E110" s="161"/>
      <c r="F110" s="161"/>
      <c r="G110" s="161"/>
    </row>
    <row r="111" spans="1:7" s="91" customFormat="1">
      <c r="A111" s="183">
        <v>10</v>
      </c>
      <c r="B111" s="184"/>
      <c r="C111" s="184" t="s">
        <v>275</v>
      </c>
      <c r="D111" s="185">
        <f t="shared" ref="D111:G111" si="13">D112+D117</f>
        <v>1501780.5992800002</v>
      </c>
      <c r="E111" s="186">
        <f t="shared" si="13"/>
        <v>1494890.2519999999</v>
      </c>
      <c r="F111" s="186">
        <f t="shared" si="13"/>
        <v>1471039.3785389997</v>
      </c>
      <c r="G111" s="186">
        <f t="shared" si="13"/>
        <v>1401821.452</v>
      </c>
    </row>
    <row r="112" spans="1:7" s="91" customFormat="1">
      <c r="A112" s="187" t="s">
        <v>276</v>
      </c>
      <c r="B112" s="188"/>
      <c r="C112" s="188" t="s">
        <v>277</v>
      </c>
      <c r="D112" s="185">
        <f t="shared" ref="D112:G112" si="14">D113+D114+D115+D116</f>
        <v>918185.66840000008</v>
      </c>
      <c r="E112" s="186">
        <f t="shared" si="14"/>
        <v>876590.25199999998</v>
      </c>
      <c r="F112" s="186">
        <f t="shared" si="14"/>
        <v>845518.31332899991</v>
      </c>
      <c r="G112" s="186">
        <f t="shared" si="14"/>
        <v>818321.45200000005</v>
      </c>
    </row>
    <row r="113" spans="1:7" s="91" customFormat="1">
      <c r="A113" s="189" t="s">
        <v>278</v>
      </c>
      <c r="B113" s="190"/>
      <c r="C113" s="190" t="s">
        <v>279</v>
      </c>
      <c r="D113" s="95">
        <v>564995.08276999998</v>
      </c>
      <c r="E113" s="124">
        <v>580200</v>
      </c>
      <c r="F113" s="124">
        <v>540081.52528000006</v>
      </c>
      <c r="G113" s="124">
        <v>545215.78399999999</v>
      </c>
    </row>
    <row r="114" spans="1:7" s="153" customFormat="1" ht="15" customHeight="1">
      <c r="A114" s="191">
        <v>102</v>
      </c>
      <c r="B114" s="192"/>
      <c r="C114" s="192" t="s">
        <v>280</v>
      </c>
      <c r="D114" s="143">
        <v>3.99</v>
      </c>
      <c r="E114" s="144">
        <v>1600</v>
      </c>
      <c r="F114" s="144">
        <v>1E-4</v>
      </c>
      <c r="G114" s="144">
        <v>0</v>
      </c>
    </row>
    <row r="115" spans="1:7" s="91" customFormat="1">
      <c r="A115" s="189">
        <v>104</v>
      </c>
      <c r="B115" s="190"/>
      <c r="C115" s="190" t="s">
        <v>281</v>
      </c>
      <c r="D115" s="95">
        <v>350339.46454000002</v>
      </c>
      <c r="E115" s="124">
        <v>291690.25199999998</v>
      </c>
      <c r="F115" s="124">
        <v>302534.32286000001</v>
      </c>
      <c r="G115" s="124">
        <v>270105.66800000001</v>
      </c>
    </row>
    <row r="116" spans="1:7" s="91" customFormat="1">
      <c r="A116" s="189">
        <v>106</v>
      </c>
      <c r="B116" s="190"/>
      <c r="C116" s="190" t="s">
        <v>282</v>
      </c>
      <c r="D116" s="95">
        <v>2847.1310899999999</v>
      </c>
      <c r="E116" s="124">
        <v>3100</v>
      </c>
      <c r="F116" s="124">
        <v>2902.4650889999998</v>
      </c>
      <c r="G116" s="124">
        <v>3000</v>
      </c>
    </row>
    <row r="117" spans="1:7" s="91" customFormat="1">
      <c r="A117" s="187" t="s">
        <v>283</v>
      </c>
      <c r="B117" s="188"/>
      <c r="C117" s="188" t="s">
        <v>284</v>
      </c>
      <c r="D117" s="185">
        <f t="shared" ref="D117:G117" si="15">D118+D119+D120</f>
        <v>583594.93088</v>
      </c>
      <c r="E117" s="186">
        <f t="shared" si="15"/>
        <v>618300</v>
      </c>
      <c r="F117" s="186">
        <f t="shared" si="15"/>
        <v>625521.06520999991</v>
      </c>
      <c r="G117" s="186">
        <f t="shared" si="15"/>
        <v>583500</v>
      </c>
    </row>
    <row r="118" spans="1:7" s="91" customFormat="1">
      <c r="A118" s="189">
        <v>107</v>
      </c>
      <c r="B118" s="190"/>
      <c r="C118" s="190" t="s">
        <v>285</v>
      </c>
      <c r="D118" s="95">
        <v>451515.94300000003</v>
      </c>
      <c r="E118" s="124">
        <v>492400</v>
      </c>
      <c r="F118" s="124">
        <v>481637.91171999997</v>
      </c>
      <c r="G118" s="124">
        <v>451500</v>
      </c>
    </row>
    <row r="119" spans="1:7" s="91" customFormat="1">
      <c r="A119" s="189">
        <v>108</v>
      </c>
      <c r="B119" s="190"/>
      <c r="C119" s="190" t="s">
        <v>286</v>
      </c>
      <c r="D119" s="95">
        <v>132078.98788</v>
      </c>
      <c r="E119" s="124">
        <v>125900</v>
      </c>
      <c r="F119" s="124">
        <v>143883.15349</v>
      </c>
      <c r="G119" s="124">
        <v>132000</v>
      </c>
    </row>
    <row r="120" spans="1:7" s="195" customFormat="1" ht="14">
      <c r="A120" s="191">
        <v>109</v>
      </c>
      <c r="B120" s="193"/>
      <c r="C120" s="193" t="s">
        <v>287</v>
      </c>
      <c r="D120" s="131">
        <v>0</v>
      </c>
      <c r="E120" s="194">
        <v>0</v>
      </c>
      <c r="F120" s="194">
        <v>0</v>
      </c>
      <c r="G120" s="194">
        <v>0</v>
      </c>
    </row>
    <row r="121" spans="1:7" s="91" customFormat="1">
      <c r="A121" s="187">
        <v>14</v>
      </c>
      <c r="B121" s="188"/>
      <c r="C121" s="188" t="s">
        <v>288</v>
      </c>
      <c r="D121" s="185">
        <f t="shared" ref="D121:G121" si="16">SUM(D122:D130)</f>
        <v>4696053.2467799997</v>
      </c>
      <c r="E121" s="185">
        <f t="shared" si="16"/>
        <v>4724673.1600299999</v>
      </c>
      <c r="F121" s="185">
        <f t="shared" si="16"/>
        <v>4701151.6359200003</v>
      </c>
      <c r="G121" s="185">
        <f t="shared" si="16"/>
        <v>4723671.6936800005</v>
      </c>
    </row>
    <row r="122" spans="1:7" s="91" customFormat="1">
      <c r="A122" s="189" t="s">
        <v>289</v>
      </c>
      <c r="B122" s="190"/>
      <c r="C122" s="190" t="s">
        <v>290</v>
      </c>
      <c r="D122" s="95">
        <v>3249570.9060399998</v>
      </c>
      <c r="E122" s="124">
        <v>3286248.55222</v>
      </c>
      <c r="F122" s="124">
        <v>3260767.0920699998</v>
      </c>
      <c r="G122" s="124">
        <v>3298604.2894899999</v>
      </c>
    </row>
    <row r="123" spans="1:7" s="91" customFormat="1">
      <c r="A123" s="189">
        <v>144</v>
      </c>
      <c r="B123" s="190"/>
      <c r="C123" s="190" t="s">
        <v>248</v>
      </c>
      <c r="D123" s="95">
        <v>338357.81474</v>
      </c>
      <c r="E123" s="124">
        <v>342408.26224000001</v>
      </c>
      <c r="F123" s="124">
        <v>337879.72414000001</v>
      </c>
      <c r="G123" s="124">
        <v>337443.51464000001</v>
      </c>
    </row>
    <row r="124" spans="1:7" s="91" customFormat="1">
      <c r="A124" s="189">
        <v>145</v>
      </c>
      <c r="B124" s="190"/>
      <c r="C124" s="190" t="s">
        <v>291</v>
      </c>
      <c r="D124" s="95">
        <v>676229.19536000001</v>
      </c>
      <c r="E124" s="124">
        <v>673929.19635999994</v>
      </c>
      <c r="F124" s="124">
        <v>677129.19435999996</v>
      </c>
      <c r="G124" s="124">
        <v>677129.19536000001</v>
      </c>
    </row>
    <row r="125" spans="1:7" s="91" customFormat="1">
      <c r="A125" s="189">
        <v>146</v>
      </c>
      <c r="B125" s="190"/>
      <c r="C125" s="190" t="s">
        <v>292</v>
      </c>
      <c r="D125" s="95">
        <v>431895.33064</v>
      </c>
      <c r="E125" s="124">
        <v>422087.14921</v>
      </c>
      <c r="F125" s="124">
        <v>425375.62534999999</v>
      </c>
      <c r="G125" s="124">
        <v>410494.69419000001</v>
      </c>
    </row>
    <row r="126" spans="1:7" s="195" customFormat="1" ht="29.5" customHeight="1">
      <c r="A126" s="191" t="s">
        <v>293</v>
      </c>
      <c r="B126" s="193"/>
      <c r="C126" s="193" t="s">
        <v>294</v>
      </c>
      <c r="D126" s="131">
        <v>0</v>
      </c>
      <c r="E126" s="197">
        <v>0</v>
      </c>
      <c r="F126" s="197">
        <v>0</v>
      </c>
      <c r="G126" s="197">
        <v>0</v>
      </c>
    </row>
    <row r="127" spans="1:7" s="91" customFormat="1">
      <c r="A127" s="189">
        <v>1484</v>
      </c>
      <c r="B127" s="190"/>
      <c r="C127" s="190" t="s">
        <v>295</v>
      </c>
      <c r="D127" s="95">
        <v>0</v>
      </c>
      <c r="E127" s="196">
        <v>0</v>
      </c>
      <c r="F127" s="196">
        <v>0</v>
      </c>
      <c r="G127" s="196">
        <v>0</v>
      </c>
    </row>
    <row r="128" spans="1:7" s="91" customFormat="1">
      <c r="A128" s="189">
        <v>1485</v>
      </c>
      <c r="B128" s="190"/>
      <c r="C128" s="190" t="s">
        <v>296</v>
      </c>
      <c r="D128" s="95">
        <v>0</v>
      </c>
      <c r="E128" s="196">
        <v>0</v>
      </c>
      <c r="F128" s="196">
        <v>0</v>
      </c>
      <c r="G128" s="196">
        <v>0</v>
      </c>
    </row>
    <row r="129" spans="1:7" s="91" customFormat="1">
      <c r="A129" s="189">
        <v>1486</v>
      </c>
      <c r="B129" s="190"/>
      <c r="C129" s="190" t="s">
        <v>297</v>
      </c>
      <c r="D129" s="95">
        <v>0</v>
      </c>
      <c r="E129" s="196">
        <v>0</v>
      </c>
      <c r="F129" s="196">
        <v>0</v>
      </c>
      <c r="G129" s="196">
        <v>0</v>
      </c>
    </row>
    <row r="130" spans="1:7" s="91" customFormat="1">
      <c r="A130" s="198">
        <v>1489</v>
      </c>
      <c r="B130" s="199"/>
      <c r="C130" s="199" t="s">
        <v>298</v>
      </c>
      <c r="D130" s="119">
        <v>0</v>
      </c>
      <c r="E130" s="200">
        <v>0</v>
      </c>
      <c r="F130" s="200">
        <v>0</v>
      </c>
      <c r="G130" s="200">
        <v>0</v>
      </c>
    </row>
    <row r="131" spans="1:7">
      <c r="A131" s="201">
        <v>1</v>
      </c>
      <c r="B131" s="202"/>
      <c r="C131" s="201" t="s">
        <v>299</v>
      </c>
      <c r="D131" s="203">
        <f t="shared" ref="D131:G131" si="17">D111+D121</f>
        <v>6197833.8460600004</v>
      </c>
      <c r="E131" s="203">
        <f t="shared" si="17"/>
        <v>6219563.4120300002</v>
      </c>
      <c r="F131" s="203">
        <f t="shared" si="17"/>
        <v>6172191.014459</v>
      </c>
      <c r="G131" s="203">
        <f t="shared" si="17"/>
        <v>6125493.145680001</v>
      </c>
    </row>
    <row r="132" spans="1:7">
      <c r="C132" s="135"/>
      <c r="D132" s="161"/>
      <c r="E132" s="161"/>
      <c r="F132" s="161"/>
      <c r="G132" s="161"/>
    </row>
    <row r="133" spans="1:7" s="91" customFormat="1">
      <c r="A133" s="183">
        <v>20</v>
      </c>
      <c r="B133" s="184"/>
      <c r="C133" s="184" t="s">
        <v>300</v>
      </c>
      <c r="D133" s="204">
        <f t="shared" ref="D133:G133" si="18">D134+D140</f>
        <v>2401400.0235800003</v>
      </c>
      <c r="E133" s="318">
        <f t="shared" si="18"/>
        <v>2416853.7769799996</v>
      </c>
      <c r="F133" s="318">
        <f t="shared" si="18"/>
        <v>2303629.30045</v>
      </c>
      <c r="G133" s="318">
        <f t="shared" si="18"/>
        <v>2374510.0007600002</v>
      </c>
    </row>
    <row r="134" spans="1:7" s="91" customFormat="1">
      <c r="A134" s="205" t="s">
        <v>301</v>
      </c>
      <c r="B134" s="188"/>
      <c r="C134" s="188" t="s">
        <v>302</v>
      </c>
      <c r="D134" s="185">
        <f t="shared" ref="D134:G134" si="19">D135+D136+D138+D139</f>
        <v>768863.50630999997</v>
      </c>
      <c r="E134" s="186">
        <f t="shared" si="19"/>
        <v>778534.98699999996</v>
      </c>
      <c r="F134" s="186">
        <f t="shared" si="19"/>
        <v>688914.82932999998</v>
      </c>
      <c r="G134" s="186">
        <f t="shared" si="19"/>
        <v>760410</v>
      </c>
    </row>
    <row r="135" spans="1:7" s="106" customFormat="1">
      <c r="A135" s="206">
        <v>200</v>
      </c>
      <c r="B135" s="190"/>
      <c r="C135" s="190" t="s">
        <v>303</v>
      </c>
      <c r="D135" s="95">
        <v>305035.90379000001</v>
      </c>
      <c r="E135" s="95">
        <v>279822.41499999998</v>
      </c>
      <c r="F135" s="95">
        <v>357489.76046999998</v>
      </c>
      <c r="G135" s="95">
        <v>305000</v>
      </c>
    </row>
    <row r="136" spans="1:7" s="106" customFormat="1">
      <c r="A136" s="206">
        <v>201</v>
      </c>
      <c r="B136" s="190"/>
      <c r="C136" s="190" t="s">
        <v>304</v>
      </c>
      <c r="D136" s="95">
        <v>192353.78200000001</v>
      </c>
      <c r="E136" s="95">
        <v>230900</v>
      </c>
      <c r="F136" s="95">
        <v>60463.576000000001</v>
      </c>
      <c r="G136" s="95">
        <v>192500</v>
      </c>
    </row>
    <row r="137" spans="1:7" s="106" customFormat="1">
      <c r="A137" s="207" t="s">
        <v>305</v>
      </c>
      <c r="B137" s="208"/>
      <c r="C137" s="208" t="s">
        <v>306</v>
      </c>
      <c r="D137" s="100">
        <v>7334.625</v>
      </c>
      <c r="E137" s="100">
        <v>0</v>
      </c>
      <c r="F137" s="95">
        <v>9415.616</v>
      </c>
      <c r="G137" s="100">
        <v>9415.61</v>
      </c>
    </row>
    <row r="138" spans="1:7" s="106" customFormat="1">
      <c r="A138" s="206">
        <v>204</v>
      </c>
      <c r="B138" s="190"/>
      <c r="C138" s="190" t="s">
        <v>307</v>
      </c>
      <c r="D138" s="95">
        <v>244374.73600999999</v>
      </c>
      <c r="E138" s="95">
        <v>240212.57199999999</v>
      </c>
      <c r="F138" s="95">
        <v>243389.17318000001</v>
      </c>
      <c r="G138" s="100">
        <v>235910</v>
      </c>
    </row>
    <row r="139" spans="1:7" s="106" customFormat="1">
      <c r="A139" s="206">
        <v>205</v>
      </c>
      <c r="B139" s="190"/>
      <c r="C139" s="190" t="s">
        <v>308</v>
      </c>
      <c r="D139" s="95">
        <v>27099.084510000001</v>
      </c>
      <c r="E139" s="95">
        <v>27600</v>
      </c>
      <c r="F139" s="95">
        <v>27572.319680000001</v>
      </c>
      <c r="G139" s="95">
        <v>27000</v>
      </c>
    </row>
    <row r="140" spans="1:7" s="106" customFormat="1">
      <c r="A140" s="205" t="s">
        <v>309</v>
      </c>
      <c r="B140" s="188"/>
      <c r="C140" s="188" t="s">
        <v>310</v>
      </c>
      <c r="D140" s="185">
        <f t="shared" ref="D140:G140" si="20">D141+D143+D144</f>
        <v>1632536.5172700002</v>
      </c>
      <c r="E140" s="186">
        <f t="shared" si="20"/>
        <v>1638318.7899799999</v>
      </c>
      <c r="F140" s="186">
        <f t="shared" si="20"/>
        <v>1614714.4711199999</v>
      </c>
      <c r="G140" s="186">
        <f t="shared" si="20"/>
        <v>1614100.00076</v>
      </c>
    </row>
    <row r="141" spans="1:7" s="106" customFormat="1">
      <c r="A141" s="206">
        <v>206</v>
      </c>
      <c r="B141" s="190"/>
      <c r="C141" s="190" t="s">
        <v>311</v>
      </c>
      <c r="D141" s="95">
        <v>1547210.8079200001</v>
      </c>
      <c r="E141" s="196">
        <v>1556067.2389799999</v>
      </c>
      <c r="F141" s="196">
        <v>1533734.2424099999</v>
      </c>
      <c r="G141" s="196">
        <v>1533900.00076</v>
      </c>
    </row>
    <row r="142" spans="1:7" s="106" customFormat="1">
      <c r="A142" s="207" t="s">
        <v>312</v>
      </c>
      <c r="B142" s="208"/>
      <c r="C142" s="208" t="s">
        <v>313</v>
      </c>
      <c r="D142" s="100">
        <v>514320.61612999998</v>
      </c>
      <c r="E142" s="95">
        <v>528830.41683999996</v>
      </c>
      <c r="F142" s="95">
        <v>527157.81212000002</v>
      </c>
      <c r="G142" s="95">
        <v>540520.92613000004</v>
      </c>
    </row>
    <row r="143" spans="1:7" s="106" customFormat="1">
      <c r="A143" s="206">
        <v>208</v>
      </c>
      <c r="B143" s="190"/>
      <c r="C143" s="190" t="s">
        <v>314</v>
      </c>
      <c r="D143" s="95">
        <v>45416.411950000002</v>
      </c>
      <c r="E143" s="100">
        <v>42700</v>
      </c>
      <c r="F143" s="100">
        <v>41279.218800000002</v>
      </c>
      <c r="G143" s="100">
        <v>38700</v>
      </c>
    </row>
    <row r="144" spans="1:7" s="111" customFormat="1" ht="40.25" customHeight="1">
      <c r="A144" s="191">
        <v>209</v>
      </c>
      <c r="B144" s="193"/>
      <c r="C144" s="193" t="s">
        <v>315</v>
      </c>
      <c r="D144" s="131">
        <v>39909.297400000003</v>
      </c>
      <c r="E144" s="95">
        <v>39551.550999999999</v>
      </c>
      <c r="F144" s="95">
        <v>39701.009910000001</v>
      </c>
      <c r="G144" s="95">
        <v>41500</v>
      </c>
    </row>
    <row r="145" spans="1:7" s="91" customFormat="1">
      <c r="A145" s="205">
        <v>29</v>
      </c>
      <c r="B145" s="188"/>
      <c r="C145" s="188" t="s">
        <v>316</v>
      </c>
      <c r="D145" s="210">
        <v>3796433.8224800001</v>
      </c>
      <c r="E145" s="196">
        <v>3802709.6350500002</v>
      </c>
      <c r="F145" s="196">
        <v>3868561.7097100001</v>
      </c>
      <c r="G145" s="196">
        <v>3750983.1449199999</v>
      </c>
    </row>
    <row r="146" spans="1:7" s="91" customFormat="1">
      <c r="A146" s="211" t="s">
        <v>317</v>
      </c>
      <c r="B146" s="212"/>
      <c r="C146" s="212" t="s">
        <v>318</v>
      </c>
      <c r="D146" s="138">
        <v>770328.26454</v>
      </c>
      <c r="E146" s="139">
        <v>717226.13285000005</v>
      </c>
      <c r="F146" s="139">
        <v>798662.85782000003</v>
      </c>
      <c r="G146" s="139">
        <v>724877.58698000002</v>
      </c>
    </row>
    <row r="147" spans="1:7">
      <c r="A147" s="201">
        <v>2</v>
      </c>
      <c r="B147" s="202"/>
      <c r="C147" s="201" t="s">
        <v>319</v>
      </c>
      <c r="D147" s="203">
        <f t="shared" ref="D147:G147" si="21">D133+D145</f>
        <v>6197833.8460600004</v>
      </c>
      <c r="E147" s="203">
        <f t="shared" si="21"/>
        <v>6219563.4120300002</v>
      </c>
      <c r="F147" s="203">
        <f t="shared" si="21"/>
        <v>6172191.0101600001</v>
      </c>
      <c r="G147" s="203">
        <f t="shared" si="21"/>
        <v>6125493.1456800001</v>
      </c>
    </row>
    <row r="148" spans="1:7" ht="7.5" customHeight="1"/>
    <row r="149" spans="1:7" ht="13.5" customHeight="1">
      <c r="A149" s="213" t="s">
        <v>320</v>
      </c>
      <c r="B149" s="214"/>
      <c r="C149" s="215" t="s">
        <v>321</v>
      </c>
      <c r="D149" s="214"/>
      <c r="E149" s="214"/>
      <c r="F149" s="214"/>
      <c r="G149" s="214"/>
    </row>
    <row r="150" spans="1:7">
      <c r="A150" s="216" t="s">
        <v>322</v>
      </c>
      <c r="B150" s="217"/>
      <c r="C150" s="217" t="s">
        <v>82</v>
      </c>
      <c r="D150" s="218">
        <f t="shared" ref="D150:G150" si="22">D77+SUM(D8:D12)-D30-D31+D16-D33+D59+D63-D73+D64-D74-D54+D20-D35</f>
        <v>154001.32608999987</v>
      </c>
      <c r="E150" s="218">
        <f t="shared" si="22"/>
        <v>118224.20570000005</v>
      </c>
      <c r="F150" s="218">
        <f t="shared" si="22"/>
        <v>158510.42799999972</v>
      </c>
      <c r="G150" s="218">
        <f t="shared" si="22"/>
        <v>117016.92500000028</v>
      </c>
    </row>
    <row r="151" spans="1:7">
      <c r="A151" s="219" t="s">
        <v>323</v>
      </c>
      <c r="B151" s="220"/>
      <c r="C151" s="220" t="s">
        <v>324</v>
      </c>
      <c r="D151" s="221">
        <f t="shared" ref="D151:G151" si="23">IF(D177=0,0,D150/D177)</f>
        <v>5.6278756557745994E-2</v>
      </c>
      <c r="E151" s="221">
        <f t="shared" si="23"/>
        <v>4.3689650108910377E-2</v>
      </c>
      <c r="F151" s="221">
        <f t="shared" si="23"/>
        <v>5.6804516295110317E-2</v>
      </c>
      <c r="G151" s="221">
        <f t="shared" si="23"/>
        <v>4.2286319698168477E-2</v>
      </c>
    </row>
    <row r="152" spans="1:7" s="296" customFormat="1" ht="28">
      <c r="A152" s="229" t="s">
        <v>325</v>
      </c>
      <c r="B152" s="230"/>
      <c r="C152" s="230" t="s">
        <v>326</v>
      </c>
      <c r="D152" s="295">
        <f t="shared" ref="D152:G152" si="24">IF(D107=0,0,D150/D107)</f>
        <v>1.2404687535497403</v>
      </c>
      <c r="E152" s="295">
        <f t="shared" si="24"/>
        <v>0.86034884980574033</v>
      </c>
      <c r="F152" s="295">
        <f t="shared" si="24"/>
        <v>1.2357426415928736</v>
      </c>
      <c r="G152" s="295">
        <f t="shared" si="24"/>
        <v>0.81741485737276398</v>
      </c>
    </row>
    <row r="153" spans="1:7" s="296" customFormat="1" ht="28">
      <c r="A153" s="222" t="s">
        <v>325</v>
      </c>
      <c r="B153" s="223"/>
      <c r="C153" s="223" t="s">
        <v>327</v>
      </c>
      <c r="D153" s="241">
        <f t="shared" ref="D153:G153" si="25">IF(0=D108,0,D150/D108)</f>
        <v>1.2330963833297992</v>
      </c>
      <c r="E153" s="241">
        <f t="shared" si="25"/>
        <v>0.86673134174226896</v>
      </c>
      <c r="F153" s="241">
        <f t="shared" si="25"/>
        <v>1.2398205543874397</v>
      </c>
      <c r="G153" s="241">
        <f t="shared" si="25"/>
        <v>0.81159695718465441</v>
      </c>
    </row>
    <row r="154" spans="1:7" ht="28">
      <c r="A154" s="226" t="s">
        <v>328</v>
      </c>
      <c r="B154" s="227"/>
      <c r="C154" s="227" t="s">
        <v>329</v>
      </c>
      <c r="D154" s="234">
        <f t="shared" ref="D154:G154" si="26">D150-D107</f>
        <v>29853.63945999986</v>
      </c>
      <c r="E154" s="234">
        <f t="shared" si="26"/>
        <v>-19190.060299999954</v>
      </c>
      <c r="F154" s="234">
        <f t="shared" si="26"/>
        <v>30239.036639999715</v>
      </c>
      <c r="G154" s="234">
        <f t="shared" si="26"/>
        <v>-26137.953999999707</v>
      </c>
    </row>
    <row r="155" spans="1:7" ht="28">
      <c r="A155" s="222" t="s">
        <v>330</v>
      </c>
      <c r="B155" s="223"/>
      <c r="C155" s="223" t="s">
        <v>331</v>
      </c>
      <c r="D155" s="231">
        <f t="shared" ref="D155:G155" si="27">D150-D108</f>
        <v>29111.391959999863</v>
      </c>
      <c r="E155" s="231">
        <f t="shared" si="27"/>
        <v>-18178.16029999996</v>
      </c>
      <c r="F155" s="231">
        <f t="shared" si="27"/>
        <v>30660.936039999709</v>
      </c>
      <c r="G155" s="231">
        <f t="shared" si="27"/>
        <v>-27164.153999999719</v>
      </c>
    </row>
    <row r="156" spans="1:7">
      <c r="A156" s="216" t="s">
        <v>332</v>
      </c>
      <c r="B156" s="217"/>
      <c r="C156" s="217" t="s">
        <v>333</v>
      </c>
      <c r="D156" s="235">
        <f t="shared" ref="D156:G156" si="28">D135+D136-D137+D141-D142</f>
        <v>1522945.2525800001</v>
      </c>
      <c r="E156" s="235">
        <f t="shared" si="28"/>
        <v>1537959.2371399999</v>
      </c>
      <c r="F156" s="235">
        <f t="shared" si="28"/>
        <v>1415114.1507600001</v>
      </c>
      <c r="G156" s="235">
        <f t="shared" si="28"/>
        <v>1481463.4646299998</v>
      </c>
    </row>
    <row r="157" spans="1:7">
      <c r="A157" s="236" t="s">
        <v>334</v>
      </c>
      <c r="B157" s="237"/>
      <c r="C157" s="237" t="s">
        <v>335</v>
      </c>
      <c r="D157" s="238">
        <f t="shared" ref="D157:G157" si="29">IF(D177=0,0,D156/D177)</f>
        <v>0.55655017587728672</v>
      </c>
      <c r="E157" s="238">
        <f t="shared" si="29"/>
        <v>0.56835146875859532</v>
      </c>
      <c r="F157" s="238">
        <f t="shared" si="29"/>
        <v>0.50712672882498155</v>
      </c>
      <c r="G157" s="238">
        <f t="shared" si="29"/>
        <v>0.53535535723999184</v>
      </c>
    </row>
    <row r="158" spans="1:7">
      <c r="A158" s="216" t="s">
        <v>336</v>
      </c>
      <c r="B158" s="217"/>
      <c r="C158" s="217" t="s">
        <v>337</v>
      </c>
      <c r="D158" s="235">
        <f t="shared" ref="D158:G158" si="30">D133-D142-D111</f>
        <v>385298.80817000009</v>
      </c>
      <c r="E158" s="235">
        <f t="shared" si="30"/>
        <v>393133.10813999968</v>
      </c>
      <c r="F158" s="235">
        <f t="shared" si="30"/>
        <v>305432.10979100037</v>
      </c>
      <c r="G158" s="235">
        <f t="shared" si="30"/>
        <v>432167.62263000011</v>
      </c>
    </row>
    <row r="159" spans="1:7">
      <c r="A159" s="219" t="s">
        <v>338</v>
      </c>
      <c r="B159" s="220"/>
      <c r="C159" s="220" t="s">
        <v>339</v>
      </c>
      <c r="D159" s="239">
        <f t="shared" ref="D159:G159" si="31">D121-D123-D124-D142-D145</f>
        <v>-629288.20193000091</v>
      </c>
      <c r="E159" s="239">
        <f t="shared" si="31"/>
        <v>-623204.35046000034</v>
      </c>
      <c r="F159" s="239">
        <f t="shared" si="31"/>
        <v>-709576.8044099994</v>
      </c>
      <c r="G159" s="239">
        <f t="shared" si="31"/>
        <v>-582405.08736999938</v>
      </c>
    </row>
    <row r="160" spans="1:7">
      <c r="A160" s="219" t="s">
        <v>340</v>
      </c>
      <c r="B160" s="220"/>
      <c r="C160" s="220" t="s">
        <v>341</v>
      </c>
      <c r="D160" s="240">
        <f t="shared" ref="D160:G160" si="32">IF(D175=0,"-",1000*D158/D175)</f>
        <v>976.25315305659672</v>
      </c>
      <c r="E160" s="240">
        <f t="shared" si="32"/>
        <v>1000.8327473103764</v>
      </c>
      <c r="F160" s="240">
        <f t="shared" si="32"/>
        <v>766.16800692087622</v>
      </c>
      <c r="G160" s="240">
        <f t="shared" si="32"/>
        <v>1081.2299790592947</v>
      </c>
    </row>
    <row r="161" spans="1:7">
      <c r="A161" s="219" t="s">
        <v>340</v>
      </c>
      <c r="B161" s="220"/>
      <c r="C161" s="220" t="s">
        <v>342</v>
      </c>
      <c r="D161" s="239">
        <f t="shared" ref="D161:G161" si="33">IF(D175=0,0,1000*(D159/D175))</f>
        <v>-1594.4627346068014</v>
      </c>
      <c r="E161" s="239">
        <f t="shared" si="33"/>
        <v>-1586.544885923332</v>
      </c>
      <c r="F161" s="239">
        <f t="shared" si="33"/>
        <v>-1779.9538050013907</v>
      </c>
      <c r="G161" s="239">
        <f t="shared" si="33"/>
        <v>-1457.1055475856879</v>
      </c>
    </row>
    <row r="162" spans="1:7">
      <c r="A162" s="236" t="s">
        <v>343</v>
      </c>
      <c r="B162" s="237"/>
      <c r="C162" s="237" t="s">
        <v>344</v>
      </c>
      <c r="D162" s="238">
        <f t="shared" ref="D162:G162" si="34">IF((D22+D23+D65+D66)=0,0,D158/(D22+D23+D65+D66))</f>
        <v>0.33053236119361556</v>
      </c>
      <c r="E162" s="238">
        <f t="shared" si="34"/>
        <v>0.33788908828042691</v>
      </c>
      <c r="F162" s="238">
        <f t="shared" si="34"/>
        <v>0.2687366253330517</v>
      </c>
      <c r="G162" s="238">
        <f t="shared" si="34"/>
        <v>0.35583833222575922</v>
      </c>
    </row>
    <row r="163" spans="1:7">
      <c r="A163" s="219" t="s">
        <v>345</v>
      </c>
      <c r="B163" s="220"/>
      <c r="C163" s="220" t="s">
        <v>316</v>
      </c>
      <c r="D163" s="218">
        <f t="shared" ref="D163:G163" si="35">D145</f>
        <v>3796433.8224800001</v>
      </c>
      <c r="E163" s="218">
        <f t="shared" si="35"/>
        <v>3802709.6350500002</v>
      </c>
      <c r="F163" s="218">
        <f t="shared" si="35"/>
        <v>3868561.7097100001</v>
      </c>
      <c r="G163" s="218">
        <f t="shared" si="35"/>
        <v>3750983.1449199999</v>
      </c>
    </row>
    <row r="164" spans="1:7" ht="28">
      <c r="A164" s="222" t="s">
        <v>346</v>
      </c>
      <c r="B164" s="237"/>
      <c r="C164" s="237" t="s">
        <v>347</v>
      </c>
      <c r="D164" s="241">
        <f t="shared" ref="D164:G164" si="36">IF(D178=0,0,D146/D178)</f>
        <v>0.28283109708389903</v>
      </c>
      <c r="E164" s="241">
        <f t="shared" si="36"/>
        <v>0.26269559545056326</v>
      </c>
      <c r="F164" s="241">
        <f t="shared" si="36"/>
        <v>0.28862288814014087</v>
      </c>
      <c r="G164" s="241">
        <f t="shared" si="36"/>
        <v>0.2599573769327268</v>
      </c>
    </row>
    <row r="165" spans="1:7">
      <c r="A165" s="242" t="s">
        <v>348</v>
      </c>
      <c r="B165" s="243"/>
      <c r="C165" s="243" t="s">
        <v>349</v>
      </c>
      <c r="D165" s="244">
        <f t="shared" ref="D165:G165" si="37">IF(D177=0,0,D180/D177)</f>
        <v>6.003885232972743E-2</v>
      </c>
      <c r="E165" s="244">
        <f t="shared" si="37"/>
        <v>6.0250418682380874E-2</v>
      </c>
      <c r="F165" s="244">
        <f t="shared" si="37"/>
        <v>5.6185055955508427E-2</v>
      </c>
      <c r="G165" s="244">
        <f t="shared" si="37"/>
        <v>5.6961606329382027E-2</v>
      </c>
    </row>
    <row r="166" spans="1:7">
      <c r="A166" s="219" t="s">
        <v>350</v>
      </c>
      <c r="B166" s="220"/>
      <c r="C166" s="220" t="s">
        <v>218</v>
      </c>
      <c r="D166" s="218">
        <f t="shared" ref="D166:G166" si="38">D55</f>
        <v>74364.075530000002</v>
      </c>
      <c r="E166" s="218">
        <f t="shared" si="38"/>
        <v>94260.962999999989</v>
      </c>
      <c r="F166" s="218">
        <f t="shared" si="38"/>
        <v>99675.445000000007</v>
      </c>
      <c r="G166" s="218">
        <f t="shared" si="38"/>
        <v>92914.990999999995</v>
      </c>
    </row>
    <row r="167" spans="1:7">
      <c r="A167" s="236" t="s">
        <v>351</v>
      </c>
      <c r="B167" s="237"/>
      <c r="C167" s="237" t="s">
        <v>352</v>
      </c>
      <c r="D167" s="238">
        <f t="shared" ref="D167:G167" si="39">IF(0=D111,0,(D44+D45+D46+D47+D48)/D111)</f>
        <v>1.2635531514455295E-2</v>
      </c>
      <c r="E167" s="238">
        <f t="shared" si="39"/>
        <v>1.3260986867415872E-2</v>
      </c>
      <c r="F167" s="238">
        <f t="shared" si="39"/>
        <v>1.438452451287592E-2</v>
      </c>
      <c r="G167" s="238">
        <f t="shared" si="39"/>
        <v>1.3705718351355348E-2</v>
      </c>
    </row>
    <row r="168" spans="1:7">
      <c r="A168" s="219" t="s">
        <v>353</v>
      </c>
      <c r="B168" s="217"/>
      <c r="C168" s="217" t="s">
        <v>354</v>
      </c>
      <c r="D168" s="218">
        <f t="shared" ref="D168:G168" si="40">D38-D44</f>
        <v>22056.25475</v>
      </c>
      <c r="E168" s="218">
        <f t="shared" si="40"/>
        <v>21529.183999999997</v>
      </c>
      <c r="F168" s="218">
        <f t="shared" si="40"/>
        <v>20752.494999999999</v>
      </c>
      <c r="G168" s="218">
        <f t="shared" si="40"/>
        <v>19984.607</v>
      </c>
    </row>
    <row r="169" spans="1:7">
      <c r="A169" s="236" t="s">
        <v>355</v>
      </c>
      <c r="B169" s="237"/>
      <c r="C169" s="237" t="s">
        <v>356</v>
      </c>
      <c r="D169" s="221">
        <f t="shared" ref="D169:G169" si="41">IF(D177=0,0,D168/D177)</f>
        <v>8.0603110581362897E-3</v>
      </c>
      <c r="E169" s="221">
        <f t="shared" si="41"/>
        <v>7.9560908066253228E-3</v>
      </c>
      <c r="F169" s="221">
        <f t="shared" si="41"/>
        <v>7.4369582825913345E-3</v>
      </c>
      <c r="G169" s="221">
        <f t="shared" si="41"/>
        <v>7.2218226606471977E-3</v>
      </c>
    </row>
    <row r="170" spans="1:7">
      <c r="A170" s="219" t="s">
        <v>357</v>
      </c>
      <c r="B170" s="220"/>
      <c r="C170" s="220" t="s">
        <v>358</v>
      </c>
      <c r="D170" s="218">
        <f t="shared" ref="D170:G170" si="42">SUM(D82:D87)+SUM(D89:D94)</f>
        <v>160396.79401000001</v>
      </c>
      <c r="E170" s="218">
        <f t="shared" si="42"/>
        <v>170549.32699999999</v>
      </c>
      <c r="F170" s="218">
        <f t="shared" si="42"/>
        <v>160819.93919</v>
      </c>
      <c r="G170" s="218">
        <f t="shared" si="42"/>
        <v>178332.01499999998</v>
      </c>
    </row>
    <row r="171" spans="1:7">
      <c r="A171" s="219" t="s">
        <v>359</v>
      </c>
      <c r="B171" s="220"/>
      <c r="C171" s="220" t="s">
        <v>360</v>
      </c>
      <c r="D171" s="239">
        <f t="shared" ref="D171:G171" si="43">SUM(D96:D102)+SUM(D104:D105)</f>
        <v>36249.107380000009</v>
      </c>
      <c r="E171" s="239">
        <f t="shared" si="43"/>
        <v>33135.061000000002</v>
      </c>
      <c r="F171" s="239">
        <f t="shared" si="43"/>
        <v>32548.547829999996</v>
      </c>
      <c r="G171" s="239">
        <f t="shared" si="43"/>
        <v>35177.135999999999</v>
      </c>
    </row>
    <row r="172" spans="1:7">
      <c r="A172" s="242" t="s">
        <v>361</v>
      </c>
      <c r="B172" s="243"/>
      <c r="C172" s="243" t="s">
        <v>362</v>
      </c>
      <c r="D172" s="244">
        <f t="shared" ref="D172:G172" si="44">IF(D184=0,0,D170/D184)</f>
        <v>5.9199689415338548E-2</v>
      </c>
      <c r="E172" s="244">
        <f t="shared" si="44"/>
        <v>6.2254207757064139E-2</v>
      </c>
      <c r="F172" s="244">
        <f t="shared" si="44"/>
        <v>5.8171852667230378E-2</v>
      </c>
      <c r="G172" s="244">
        <f t="shared" si="44"/>
        <v>6.3517460380183341E-2</v>
      </c>
    </row>
    <row r="173" spans="1:7">
      <c r="A173" s="389"/>
    </row>
    <row r="174" spans="1:7">
      <c r="A174" s="310" t="s">
        <v>363</v>
      </c>
      <c r="B174" s="248"/>
      <c r="C174" s="247"/>
      <c r="D174" s="161"/>
      <c r="E174" s="161"/>
      <c r="F174" s="161"/>
      <c r="G174" s="161"/>
    </row>
    <row r="175" spans="1:7" s="91" customFormat="1">
      <c r="A175" s="312" t="s">
        <v>364</v>
      </c>
      <c r="B175" s="248"/>
      <c r="C175" s="248" t="s">
        <v>387</v>
      </c>
      <c r="D175" s="314">
        <v>394671</v>
      </c>
      <c r="E175" s="314">
        <v>392806</v>
      </c>
      <c r="F175" s="314">
        <v>398649</v>
      </c>
      <c r="G175" s="314">
        <v>399700</v>
      </c>
    </row>
    <row r="176" spans="1:7">
      <c r="A176" s="310" t="s">
        <v>366</v>
      </c>
      <c r="B176" s="248"/>
      <c r="C176" s="248"/>
      <c r="D176" s="248"/>
      <c r="E176" s="248"/>
      <c r="F176" s="248"/>
      <c r="G176" s="248"/>
    </row>
    <row r="177" spans="1:7">
      <c r="A177" s="312" t="s">
        <v>367</v>
      </c>
      <c r="B177" s="248"/>
      <c r="C177" s="248" t="s">
        <v>368</v>
      </c>
      <c r="D177" s="249">
        <f t="shared" ref="D177:G177" si="45">SUM(D22:D32)+SUM(D44:D53)+SUM(D65:D72)+D75</f>
        <v>2736402.4280100004</v>
      </c>
      <c r="E177" s="249">
        <f t="shared" si="45"/>
        <v>2706000.2862300002</v>
      </c>
      <c r="F177" s="249">
        <f t="shared" si="45"/>
        <v>2790454.6739999996</v>
      </c>
      <c r="G177" s="249">
        <f t="shared" si="45"/>
        <v>2767252.5260000001</v>
      </c>
    </row>
    <row r="178" spans="1:7">
      <c r="A178" s="312" t="s">
        <v>369</v>
      </c>
      <c r="B178" s="248"/>
      <c r="C178" s="248" t="s">
        <v>370</v>
      </c>
      <c r="D178" s="249">
        <f t="shared" ref="D178:G178" si="46">D78-D17-D20-D59-D63-D64</f>
        <v>2723633.5483700004</v>
      </c>
      <c r="E178" s="249">
        <f t="shared" si="46"/>
        <v>2730255.6467300002</v>
      </c>
      <c r="F178" s="249">
        <f t="shared" si="46"/>
        <v>2767150.1140000001</v>
      </c>
      <c r="G178" s="249">
        <f t="shared" si="46"/>
        <v>2788447.8429999999</v>
      </c>
    </row>
    <row r="179" spans="1:7">
      <c r="A179" s="312"/>
      <c r="B179" s="248"/>
      <c r="C179" s="248" t="s">
        <v>371</v>
      </c>
      <c r="D179" s="249">
        <f t="shared" ref="D179:G179" si="47">D178+D170</f>
        <v>2884030.3423800003</v>
      </c>
      <c r="E179" s="249">
        <f t="shared" si="47"/>
        <v>2900804.9737300002</v>
      </c>
      <c r="F179" s="249">
        <f t="shared" si="47"/>
        <v>2927970.0531899999</v>
      </c>
      <c r="G179" s="249">
        <f t="shared" si="47"/>
        <v>2966779.858</v>
      </c>
    </row>
    <row r="180" spans="1:7">
      <c r="A180" s="312" t="s">
        <v>372</v>
      </c>
      <c r="B180" s="248"/>
      <c r="C180" s="248" t="s">
        <v>373</v>
      </c>
      <c r="D180" s="249">
        <f t="shared" ref="D180:G180" si="48">D38-D44+D8+D9+D10+D16-D33</f>
        <v>164290.46129000001</v>
      </c>
      <c r="E180" s="249">
        <f t="shared" si="48"/>
        <v>163037.6502</v>
      </c>
      <c r="F180" s="249">
        <f t="shared" si="48"/>
        <v>156781.85200000001</v>
      </c>
      <c r="G180" s="249">
        <f t="shared" si="48"/>
        <v>157627.149</v>
      </c>
    </row>
    <row r="181" spans="1:7" ht="27.5" customHeight="1">
      <c r="A181" s="315" t="s">
        <v>374</v>
      </c>
      <c r="B181" s="251"/>
      <c r="C181" s="251" t="s">
        <v>375</v>
      </c>
      <c r="D181" s="252">
        <f t="shared" ref="D181:G181" si="49">D22+D23+D24+D25+D26+D29+SUM(D44:D47)+SUM(D49:D53)-D54+D32-D33+SUM(D65:D70)+D72</f>
        <v>2709174.8252499998</v>
      </c>
      <c r="E181" s="252">
        <f t="shared" si="49"/>
        <v>2686447.9242300005</v>
      </c>
      <c r="F181" s="252">
        <f t="shared" si="49"/>
        <v>2762016.51</v>
      </c>
      <c r="G181" s="252">
        <f t="shared" si="49"/>
        <v>2743102.1009999998</v>
      </c>
    </row>
    <row r="182" spans="1:7">
      <c r="A182" s="317" t="s">
        <v>376</v>
      </c>
      <c r="B182" s="251"/>
      <c r="C182" s="251" t="s">
        <v>377</v>
      </c>
      <c r="D182" s="252">
        <f t="shared" ref="D182:G182" si="50">D181+D171</f>
        <v>2745423.9326299997</v>
      </c>
      <c r="E182" s="252">
        <f t="shared" si="50"/>
        <v>2719582.9852300007</v>
      </c>
      <c r="F182" s="252">
        <f t="shared" si="50"/>
        <v>2794565.0578299998</v>
      </c>
      <c r="G182" s="252">
        <f t="shared" si="50"/>
        <v>2778279.2369999997</v>
      </c>
    </row>
    <row r="183" spans="1:7">
      <c r="A183" s="317" t="s">
        <v>378</v>
      </c>
      <c r="B183" s="251"/>
      <c r="C183" s="251" t="s">
        <v>379</v>
      </c>
      <c r="D183" s="252">
        <f t="shared" ref="D183" si="51">D4+D5-D7+D38+D39+D40+D41+D43+D13-D16+D57+D58+D60+D62</f>
        <v>2549022.72481</v>
      </c>
      <c r="E183" s="252">
        <f>E4+E5-E7+E38+E39+E40+E41+E43+E13-E16+E57+E58+E60+E62</f>
        <v>2569013.7185300002</v>
      </c>
      <c r="F183" s="252">
        <f>F4+F5-F7+F38+F39+F40+F41+F43+F13-F16+F57+F58+F60+F62</f>
        <v>2603746.2868500003</v>
      </c>
      <c r="G183" s="252">
        <f>G4+G5-G7+G38+G39+G40+G41+G43+G13-G16+G57+G58+G60+G62</f>
        <v>2629274.176</v>
      </c>
    </row>
    <row r="184" spans="1:7">
      <c r="A184" s="317" t="s">
        <v>380</v>
      </c>
      <c r="B184" s="251"/>
      <c r="C184" s="251" t="s">
        <v>381</v>
      </c>
      <c r="D184" s="252">
        <f t="shared" ref="D184:G184" si="52">D183+D170</f>
        <v>2709419.5188199999</v>
      </c>
      <c r="E184" s="252">
        <f t="shared" si="52"/>
        <v>2739563.0455300002</v>
      </c>
      <c r="F184" s="252">
        <f t="shared" si="52"/>
        <v>2764566.2260400001</v>
      </c>
      <c r="G184" s="252">
        <f t="shared" si="52"/>
        <v>2807606.1910000001</v>
      </c>
    </row>
    <row r="185" spans="1:7">
      <c r="A185" s="317"/>
      <c r="B185" s="251"/>
      <c r="C185" s="251" t="s">
        <v>382</v>
      </c>
      <c r="D185" s="252">
        <f t="shared" ref="D185:G186" si="53">D181-D183</f>
        <v>160152.10043999972</v>
      </c>
      <c r="E185" s="252">
        <f t="shared" si="53"/>
        <v>117434.20570000028</v>
      </c>
      <c r="F185" s="252">
        <f t="shared" si="53"/>
        <v>158270.22314999951</v>
      </c>
      <c r="G185" s="252">
        <f t="shared" si="53"/>
        <v>113827.92499999981</v>
      </c>
    </row>
    <row r="186" spans="1:7">
      <c r="A186" s="317"/>
      <c r="B186" s="251"/>
      <c r="C186" s="251" t="s">
        <v>383</v>
      </c>
      <c r="D186" s="252">
        <f t="shared" si="53"/>
        <v>36004.413809999824</v>
      </c>
      <c r="E186" s="252">
        <f t="shared" si="53"/>
        <v>-19980.060299999546</v>
      </c>
      <c r="F186" s="252">
        <f t="shared" si="53"/>
        <v>29998.831789999735</v>
      </c>
      <c r="G186" s="252">
        <f t="shared" si="53"/>
        <v>-29326.954000000376</v>
      </c>
    </row>
  </sheetData>
  <sheetProtection selectLockedCells="1" sort="0" autoFilter="0" pivotTables="0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8" man="1"/>
    <brk id="147" max="8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43"/>
  <sheetViews>
    <sheetView view="pageLayout" topLeftCell="A25" zoomScaleNormal="100" workbookViewId="0">
      <selection activeCell="B33" sqref="B33"/>
    </sheetView>
  </sheetViews>
  <sheetFormatPr baseColWidth="10" defaultRowHeight="13"/>
  <cols>
    <col min="1" max="1" width="11.5" bestFit="1" customWidth="1"/>
    <col min="2" max="2" width="45.5" customWidth="1"/>
    <col min="3" max="3" width="13.33203125" bestFit="1" customWidth="1"/>
    <col min="4" max="4" width="9.6640625" customWidth="1"/>
    <col min="5" max="5" width="13.33203125" bestFit="1" customWidth="1"/>
    <col min="6" max="6" width="11.5" bestFit="1" customWidth="1"/>
    <col min="7" max="7" width="13.33203125" bestFit="1" customWidth="1"/>
    <col min="8" max="8" width="11.5" bestFit="1" customWidth="1"/>
    <col min="9" max="9" width="13.33203125" bestFit="1" customWidth="1"/>
  </cols>
  <sheetData>
    <row r="1" spans="1:9">
      <c r="A1" s="3" t="s">
        <v>5</v>
      </c>
      <c r="B1" s="4" t="s">
        <v>154</v>
      </c>
      <c r="C1" s="43" t="s">
        <v>7</v>
      </c>
      <c r="D1" s="5" t="s">
        <v>8</v>
      </c>
      <c r="E1" s="43" t="s">
        <v>9</v>
      </c>
      <c r="F1" s="5" t="s">
        <v>8</v>
      </c>
      <c r="G1" s="43" t="s">
        <v>7</v>
      </c>
      <c r="H1" s="5" t="s">
        <v>8</v>
      </c>
      <c r="I1" s="44" t="s">
        <v>9</v>
      </c>
    </row>
    <row r="2" spans="1:9">
      <c r="A2" s="52">
        <v>0</v>
      </c>
      <c r="B2" s="55">
        <v>0</v>
      </c>
      <c r="C2" s="47">
        <v>2014</v>
      </c>
      <c r="D2" s="2" t="s">
        <v>10</v>
      </c>
      <c r="E2" s="47">
        <v>2015</v>
      </c>
      <c r="F2" s="2" t="s">
        <v>10</v>
      </c>
      <c r="G2" s="47">
        <v>2015</v>
      </c>
      <c r="H2" s="2" t="s">
        <v>10</v>
      </c>
      <c r="I2" s="48">
        <v>2016</v>
      </c>
    </row>
    <row r="3" spans="1:9">
      <c r="A3" s="52">
        <v>0</v>
      </c>
      <c r="B3" s="1" t="s">
        <v>155</v>
      </c>
      <c r="C3" s="54" t="s">
        <v>0</v>
      </c>
      <c r="D3" s="53">
        <v>0</v>
      </c>
      <c r="E3" s="54" t="s">
        <v>0</v>
      </c>
      <c r="F3" s="55">
        <v>0</v>
      </c>
      <c r="G3" s="54">
        <v>0</v>
      </c>
      <c r="H3" s="55">
        <v>0</v>
      </c>
      <c r="I3" s="50">
        <v>0</v>
      </c>
    </row>
    <row r="4" spans="1:9">
      <c r="A4" s="3" t="s">
        <v>13</v>
      </c>
      <c r="B4" s="7" t="s">
        <v>14</v>
      </c>
      <c r="C4" s="8">
        <v>25169808.60729</v>
      </c>
      <c r="D4" s="9">
        <v>-5.570349979872008E-2</v>
      </c>
      <c r="E4" s="8">
        <v>23767762.178599998</v>
      </c>
      <c r="F4" s="9">
        <v>-5.9136931724498264E-3</v>
      </c>
      <c r="G4" s="8">
        <v>23627206.92568</v>
      </c>
      <c r="H4" s="9">
        <v>2.6736527907723143E-2</v>
      </c>
      <c r="I4" s="10">
        <v>24258916.403029993</v>
      </c>
    </row>
    <row r="5" spans="1:9">
      <c r="A5" s="11" t="s">
        <v>15</v>
      </c>
      <c r="B5" s="1" t="s">
        <v>16</v>
      </c>
      <c r="C5" s="12">
        <v>9285664.9658700004</v>
      </c>
      <c r="D5" s="13">
        <v>-2.3018428284416772E-2</v>
      </c>
      <c r="E5" s="12">
        <v>9071923.5527800005</v>
      </c>
      <c r="F5" s="13">
        <v>1.3667850958907615E-2</v>
      </c>
      <c r="G5" s="12">
        <v>9195917.2518100012</v>
      </c>
      <c r="H5" s="13">
        <v>-1.1490979861655667E-2</v>
      </c>
      <c r="I5" s="14">
        <v>9090247.1518600006</v>
      </c>
    </row>
    <row r="6" spans="1:9">
      <c r="A6" s="11" t="s">
        <v>17</v>
      </c>
      <c r="B6" s="1" t="s">
        <v>18</v>
      </c>
      <c r="C6" s="12">
        <v>1142662.1948899999</v>
      </c>
      <c r="D6" s="13">
        <v>-4.8807995170759066E-2</v>
      </c>
      <c r="E6" s="12">
        <v>1086891.1439999999</v>
      </c>
      <c r="F6" s="13">
        <v>2.031507674148483E-2</v>
      </c>
      <c r="G6" s="12">
        <v>1108971.4210000001</v>
      </c>
      <c r="H6" s="13">
        <v>-1.4161183690233465E-2</v>
      </c>
      <c r="I6" s="14">
        <v>1093267.0729999999</v>
      </c>
    </row>
    <row r="7" spans="1:9">
      <c r="A7" s="11" t="s">
        <v>19</v>
      </c>
      <c r="B7" s="1" t="s">
        <v>20</v>
      </c>
      <c r="C7" s="12">
        <v>865794.75077000004</v>
      </c>
      <c r="D7" s="13">
        <v>0.11001806853793719</v>
      </c>
      <c r="E7" s="12">
        <v>961047.81700000016</v>
      </c>
      <c r="F7" s="13">
        <v>1.0323130449918083</v>
      </c>
      <c r="G7" s="12">
        <v>1953150.0153500005</v>
      </c>
      <c r="H7" s="13">
        <v>-0.56876048978292859</v>
      </c>
      <c r="I7" s="14">
        <v>842275.45599999989</v>
      </c>
    </row>
    <row r="8" spans="1:9">
      <c r="A8" s="11" t="s">
        <v>21</v>
      </c>
      <c r="B8" s="1" t="s">
        <v>22</v>
      </c>
      <c r="C8" s="12">
        <v>378784.62188000005</v>
      </c>
      <c r="D8" s="13">
        <v>-0.57634857454472332</v>
      </c>
      <c r="E8" s="12">
        <v>160472.64500000002</v>
      </c>
      <c r="F8" s="13">
        <v>1.5081125135689017</v>
      </c>
      <c r="G8" s="12">
        <v>402483.4490100001</v>
      </c>
      <c r="H8" s="13">
        <v>-0.59894033308189687</v>
      </c>
      <c r="I8" s="14">
        <v>161419.878</v>
      </c>
    </row>
    <row r="9" spans="1:9">
      <c r="A9" s="11" t="s">
        <v>23</v>
      </c>
      <c r="B9" s="1" t="s">
        <v>24</v>
      </c>
      <c r="C9" s="12">
        <v>3664583.5034799995</v>
      </c>
      <c r="D9" s="13">
        <v>4.5387134020018587E-3</v>
      </c>
      <c r="E9" s="12">
        <v>3681215.9977399991</v>
      </c>
      <c r="F9" s="13">
        <v>5.2687618686074029E-2</v>
      </c>
      <c r="G9" s="12">
        <v>3875170.5025299997</v>
      </c>
      <c r="H9" s="13">
        <v>0.12683495485143395</v>
      </c>
      <c r="I9" s="14">
        <v>4366677.5782600008</v>
      </c>
    </row>
    <row r="10" spans="1:9">
      <c r="A10" s="11" t="s">
        <v>25</v>
      </c>
      <c r="B10" s="1" t="s">
        <v>26</v>
      </c>
      <c r="C10" s="12">
        <v>46375964.656060003</v>
      </c>
      <c r="D10" s="13">
        <v>1.3433163677784498E-2</v>
      </c>
      <c r="E10" s="12">
        <v>46998940.580000006</v>
      </c>
      <c r="F10" s="13">
        <v>1.6441888206919303E-2</v>
      </c>
      <c r="G10" s="12">
        <v>47771691.906860009</v>
      </c>
      <c r="H10" s="13">
        <v>6.4609798148194605E-3</v>
      </c>
      <c r="I10" s="14">
        <v>48080343.843990006</v>
      </c>
    </row>
    <row r="11" spans="1:9">
      <c r="A11" s="11" t="s">
        <v>27</v>
      </c>
      <c r="B11" s="1" t="s">
        <v>28</v>
      </c>
      <c r="C11" s="12">
        <v>8641794.0441700015</v>
      </c>
      <c r="D11" s="37">
        <v>1.3970398879321165E-2</v>
      </c>
      <c r="E11" s="12">
        <v>8762523.3539999984</v>
      </c>
      <c r="F11" s="13">
        <v>4.8560710863698939E-2</v>
      </c>
      <c r="G11" s="12">
        <v>9188037.7170300018</v>
      </c>
      <c r="H11" s="13">
        <v>-1.137224271906624E-2</v>
      </c>
      <c r="I11" s="14">
        <v>9083549.1220000014</v>
      </c>
    </row>
    <row r="12" spans="1:9">
      <c r="A12" s="11" t="s">
        <v>29</v>
      </c>
      <c r="B12" s="1" t="s">
        <v>30</v>
      </c>
      <c r="C12" s="12">
        <v>2764772.7533900002</v>
      </c>
      <c r="D12" s="37">
        <v>8.6809529396481483E-2</v>
      </c>
      <c r="E12" s="12">
        <v>3004781.3750000005</v>
      </c>
      <c r="F12" s="13">
        <v>-2.0541465470179401E-2</v>
      </c>
      <c r="G12" s="12">
        <v>2943058.7621399998</v>
      </c>
      <c r="H12" s="13">
        <v>0.12138955445124289</v>
      </c>
      <c r="I12" s="14">
        <v>3300315.3540000007</v>
      </c>
    </row>
    <row r="13" spans="1:9">
      <c r="A13" s="11" t="s">
        <v>31</v>
      </c>
      <c r="B13" s="1" t="s">
        <v>32</v>
      </c>
      <c r="C13" s="12">
        <v>2140917.2838300001</v>
      </c>
      <c r="D13" s="37">
        <v>6.1804785812783695E-2</v>
      </c>
      <c r="E13" s="12">
        <v>2273236.2179999999</v>
      </c>
      <c r="F13" s="37">
        <v>2.8587715634398731E-2</v>
      </c>
      <c r="G13" s="12">
        <v>2338222.8485699999</v>
      </c>
      <c r="H13" s="37">
        <v>-0.10116053323345942</v>
      </c>
      <c r="I13" s="14">
        <v>2101686.9783900003</v>
      </c>
    </row>
    <row r="14" spans="1:9">
      <c r="A14" s="11" t="s">
        <v>34</v>
      </c>
      <c r="B14" s="1" t="s">
        <v>35</v>
      </c>
      <c r="C14" s="12">
        <v>1152955.43557</v>
      </c>
      <c r="D14" s="37">
        <v>-0.12807705399037908</v>
      </c>
      <c r="E14" s="12">
        <v>1005288.3</v>
      </c>
      <c r="F14" s="13">
        <v>0.27602617661023221</v>
      </c>
      <c r="G14" s="12">
        <v>1282774.1858400002</v>
      </c>
      <c r="H14" s="13">
        <v>-0.26684103064940745</v>
      </c>
      <c r="I14" s="14">
        <v>940477.4</v>
      </c>
    </row>
    <row r="15" spans="1:9">
      <c r="A15" s="11" t="s">
        <v>36</v>
      </c>
      <c r="B15" s="1" t="s">
        <v>37</v>
      </c>
      <c r="C15" s="12">
        <v>959261.41086999991</v>
      </c>
      <c r="D15" s="37">
        <v>5.9222114520876015E-2</v>
      </c>
      <c r="E15" s="12">
        <v>1016070.9000000001</v>
      </c>
      <c r="F15" s="13">
        <v>2.4965288466287143</v>
      </c>
      <c r="G15" s="12">
        <v>3552721.2120699999</v>
      </c>
      <c r="H15" s="13">
        <v>-0.72586855487246404</v>
      </c>
      <c r="I15" s="14">
        <v>973912.60000000021</v>
      </c>
    </row>
    <row r="16" spans="1:9">
      <c r="A16" s="11" t="s">
        <v>38</v>
      </c>
      <c r="B16" s="1" t="s">
        <v>39</v>
      </c>
      <c r="C16" s="12">
        <v>109108.33</v>
      </c>
      <c r="D16" s="37">
        <v>0.59688540737448736</v>
      </c>
      <c r="E16" s="12">
        <v>174233.5</v>
      </c>
      <c r="F16" s="37">
        <v>0.19940176108498081</v>
      </c>
      <c r="G16" s="12">
        <v>208975.96674</v>
      </c>
      <c r="H16" s="37">
        <v>-0.49576211253468272</v>
      </c>
      <c r="I16" s="14">
        <v>105373.6</v>
      </c>
    </row>
    <row r="17" spans="1:9">
      <c r="A17" s="11" t="s">
        <v>40</v>
      </c>
      <c r="B17" s="1" t="s">
        <v>41</v>
      </c>
      <c r="C17" s="12">
        <v>731834.82594000001</v>
      </c>
      <c r="D17" s="13">
        <v>-0.28618309776524764</v>
      </c>
      <c r="E17" s="12">
        <v>522396.06839999999</v>
      </c>
      <c r="F17" s="13">
        <v>0.62753160724208856</v>
      </c>
      <c r="G17" s="12">
        <v>850216.11282000004</v>
      </c>
      <c r="H17" s="13">
        <v>-0.70713851308447839</v>
      </c>
      <c r="I17" s="14">
        <v>248995.55499999999</v>
      </c>
    </row>
    <row r="18" spans="1:9">
      <c r="A18" s="11">
        <v>389</v>
      </c>
      <c r="B18" s="1" t="s">
        <v>42</v>
      </c>
      <c r="C18" s="12">
        <v>127273.66376</v>
      </c>
      <c r="D18" s="37">
        <v>-1</v>
      </c>
      <c r="E18" s="12">
        <v>0</v>
      </c>
      <c r="F18" s="37" t="s">
        <v>33</v>
      </c>
      <c r="G18" s="12">
        <v>289011.78399999999</v>
      </c>
      <c r="H18" s="37">
        <v>-0.87798767402508404</v>
      </c>
      <c r="I18" s="14">
        <v>35263</v>
      </c>
    </row>
    <row r="19" spans="1:9">
      <c r="A19" s="15" t="s">
        <v>43</v>
      </c>
      <c r="B19" s="16" t="s">
        <v>44</v>
      </c>
      <c r="C19" s="17">
        <v>2384055.6178099997</v>
      </c>
      <c r="D19" s="37">
        <v>1.5227164152045839E-2</v>
      </c>
      <c r="E19" s="17">
        <v>2420358.0240499997</v>
      </c>
      <c r="F19" s="37">
        <v>4.8683627677871932E-2</v>
      </c>
      <c r="G19" s="17">
        <v>2538189.8329399996</v>
      </c>
      <c r="H19" s="37">
        <v>-8.4972592120965435E-3</v>
      </c>
      <c r="I19" s="18">
        <v>2516622.1760000004</v>
      </c>
    </row>
    <row r="20" spans="1:9">
      <c r="A20" s="19" t="s">
        <v>45</v>
      </c>
      <c r="B20" s="20" t="s">
        <v>46</v>
      </c>
      <c r="C20" s="21">
        <v>88983765.212860003</v>
      </c>
      <c r="D20" s="22">
        <v>-1.5729255173029418E-2</v>
      </c>
      <c r="E20" s="21">
        <v>87584116.86356999</v>
      </c>
      <c r="F20" s="22">
        <v>3.3327057712722492E-2</v>
      </c>
      <c r="G20" s="21">
        <v>90503037.781000018</v>
      </c>
      <c r="H20" s="22">
        <v>-9.9695740715725761E-3</v>
      </c>
      <c r="I20" s="23">
        <v>89600761.042140007</v>
      </c>
    </row>
    <row r="21" spans="1:9">
      <c r="A21" s="24" t="s">
        <v>47</v>
      </c>
      <c r="B21" s="25" t="s">
        <v>48</v>
      </c>
      <c r="C21" s="8">
        <v>38138259.052940004</v>
      </c>
      <c r="D21" s="13">
        <v>1.1239940330389867E-2</v>
      </c>
      <c r="E21" s="8">
        <v>38566930.809</v>
      </c>
      <c r="F21" s="13">
        <v>7.2958882350146687E-3</v>
      </c>
      <c r="G21" s="8">
        <v>38848310.825750008</v>
      </c>
      <c r="H21" s="13">
        <v>1.1658270555995179E-2</v>
      </c>
      <c r="I21" s="10">
        <v>39301214.943999998</v>
      </c>
    </row>
    <row r="22" spans="1:9">
      <c r="A22" s="6" t="s">
        <v>49</v>
      </c>
      <c r="B22" s="26" t="s">
        <v>50</v>
      </c>
      <c r="C22" s="12">
        <v>5158009.9506799988</v>
      </c>
      <c r="D22" s="13">
        <v>-5.1519181471328078E-2</v>
      </c>
      <c r="E22" s="12">
        <v>4892273.5</v>
      </c>
      <c r="F22" s="13">
        <v>8.4556779789600647E-2</v>
      </c>
      <c r="G22" s="12">
        <v>5305948.3930099988</v>
      </c>
      <c r="H22" s="13">
        <v>-5.4696120563917323E-2</v>
      </c>
      <c r="I22" s="14">
        <v>5015733.6000000006</v>
      </c>
    </row>
    <row r="23" spans="1:9">
      <c r="A23" s="6" t="s">
        <v>51</v>
      </c>
      <c r="B23" s="26" t="s">
        <v>52</v>
      </c>
      <c r="C23" s="12">
        <v>3174571.8484199992</v>
      </c>
      <c r="D23" s="13">
        <v>-0.17880377780786702</v>
      </c>
      <c r="E23" s="12">
        <v>2606946.409</v>
      </c>
      <c r="F23" s="13">
        <v>0.24265945576635756</v>
      </c>
      <c r="G23" s="12">
        <v>3239546.6058200002</v>
      </c>
      <c r="H23" s="13">
        <v>-0.23039919273859996</v>
      </c>
      <c r="I23" s="14">
        <v>2493157.6830000007</v>
      </c>
    </row>
    <row r="24" spans="1:9">
      <c r="A24" s="6" t="s">
        <v>53</v>
      </c>
      <c r="B24" s="26" t="s">
        <v>54</v>
      </c>
      <c r="C24" s="12">
        <v>9415191.3423300013</v>
      </c>
      <c r="D24" s="13">
        <v>-3.6987417870556122E-2</v>
      </c>
      <c r="E24" s="12">
        <v>9066947.7258199994</v>
      </c>
      <c r="F24" s="13">
        <v>0.13823514039027376</v>
      </c>
      <c r="G24" s="12">
        <v>10320318.51761</v>
      </c>
      <c r="H24" s="13">
        <v>-0.12031660490528706</v>
      </c>
      <c r="I24" s="14">
        <v>9078612.8320300002</v>
      </c>
    </row>
    <row r="25" spans="1:9">
      <c r="A25" s="6" t="s">
        <v>55</v>
      </c>
      <c r="B25" s="26" t="s">
        <v>56</v>
      </c>
      <c r="C25" s="12">
        <v>28375194.546119999</v>
      </c>
      <c r="D25" s="13">
        <v>1.3024500981633977E-2</v>
      </c>
      <c r="E25" s="12">
        <v>28744767.295339994</v>
      </c>
      <c r="F25" s="13">
        <v>2.5054126594608279E-2</v>
      </c>
      <c r="G25" s="12">
        <v>29464942.334089998</v>
      </c>
      <c r="H25" s="13">
        <v>-1.6814913822070274E-2</v>
      </c>
      <c r="I25" s="14">
        <v>28969491.867970005</v>
      </c>
    </row>
    <row r="26" spans="1:9">
      <c r="A26" s="45" t="s">
        <v>57</v>
      </c>
      <c r="B26" s="26" t="s">
        <v>58</v>
      </c>
      <c r="C26" s="12">
        <v>699042.45853999991</v>
      </c>
      <c r="D26" s="13">
        <v>0.16591074410877693</v>
      </c>
      <c r="E26" s="12">
        <v>815021.11300000013</v>
      </c>
      <c r="F26" s="13">
        <v>-0.41621343426473917</v>
      </c>
      <c r="G26" s="12">
        <v>475798.37656</v>
      </c>
      <c r="H26" s="13">
        <v>0.44192337300563389</v>
      </c>
      <c r="I26" s="14">
        <v>686064.79999999993</v>
      </c>
    </row>
    <row r="27" spans="1:9">
      <c r="A27" s="63">
        <v>489</v>
      </c>
      <c r="B27" s="26" t="s">
        <v>59</v>
      </c>
      <c r="C27" s="12">
        <v>132691.73485000001</v>
      </c>
      <c r="D27" s="13">
        <v>4.4578248650428393E-2</v>
      </c>
      <c r="E27" s="12">
        <v>138606.90000000002</v>
      </c>
      <c r="F27" s="13">
        <v>1.0571524799991918</v>
      </c>
      <c r="G27" s="12">
        <v>285135.52808000002</v>
      </c>
      <c r="H27" s="13">
        <v>-2.7239425869865247E-2</v>
      </c>
      <c r="I27" s="14">
        <v>277368.59999999998</v>
      </c>
    </row>
    <row r="28" spans="1:9">
      <c r="A28" s="27" t="s">
        <v>60</v>
      </c>
      <c r="B28" s="28" t="s">
        <v>61</v>
      </c>
      <c r="C28" s="17">
        <v>2384054.6178099997</v>
      </c>
      <c r="D28" s="13">
        <v>1.3328136865080985E-2</v>
      </c>
      <c r="E28" s="17">
        <v>2415829.6240499998</v>
      </c>
      <c r="F28" s="13">
        <v>5.0359763651727354E-2</v>
      </c>
      <c r="G28" s="17">
        <v>2537490.2329399991</v>
      </c>
      <c r="H28" s="13">
        <v>-7.7523523774146478E-3</v>
      </c>
      <c r="I28" s="18">
        <v>2517818.7145000002</v>
      </c>
    </row>
    <row r="29" spans="1:9">
      <c r="A29" s="39" t="s">
        <v>62</v>
      </c>
      <c r="B29" s="40" t="s">
        <v>63</v>
      </c>
      <c r="C29" s="21">
        <v>87477015.551689997</v>
      </c>
      <c r="D29" s="41">
        <v>-2.6257431627199099E-3</v>
      </c>
      <c r="E29" s="21">
        <v>87247323.376210004</v>
      </c>
      <c r="F29" s="41">
        <v>3.7023112144329573E-2</v>
      </c>
      <c r="G29" s="21">
        <v>90477490.813860014</v>
      </c>
      <c r="H29" s="42">
        <v>-2.3630493652378209E-2</v>
      </c>
      <c r="I29" s="23">
        <v>88339463.041499987</v>
      </c>
    </row>
    <row r="30" spans="1:9">
      <c r="A30" s="38" t="s">
        <v>64</v>
      </c>
      <c r="B30" s="29" t="s">
        <v>65</v>
      </c>
      <c r="C30" s="30">
        <v>-1506749.6611700011</v>
      </c>
      <c r="D30" s="56">
        <v>0</v>
      </c>
      <c r="E30" s="30">
        <v>-336793.48736000224</v>
      </c>
      <c r="F30" s="56">
        <v>0</v>
      </c>
      <c r="G30" s="30">
        <v>-25546.967140001128</v>
      </c>
      <c r="H30" s="57">
        <v>0</v>
      </c>
      <c r="I30" s="31">
        <v>-1261298.0006400032</v>
      </c>
    </row>
    <row r="31" spans="1:9">
      <c r="A31" s="60">
        <v>0</v>
      </c>
      <c r="B31" s="25" t="s">
        <v>66</v>
      </c>
      <c r="C31" s="58">
        <v>0</v>
      </c>
      <c r="D31" s="55">
        <v>0</v>
      </c>
      <c r="E31" s="58">
        <v>0</v>
      </c>
      <c r="F31" s="55">
        <v>0</v>
      </c>
      <c r="G31" s="58">
        <v>0</v>
      </c>
      <c r="H31" s="58">
        <v>0</v>
      </c>
      <c r="I31" s="59">
        <v>0</v>
      </c>
    </row>
    <row r="32" spans="1:9">
      <c r="A32" s="45" t="s">
        <v>67</v>
      </c>
      <c r="B32" s="26" t="s">
        <v>68</v>
      </c>
      <c r="C32" s="12">
        <v>4288268.2906499999</v>
      </c>
      <c r="D32" s="13">
        <v>0.16666843161570613</v>
      </c>
      <c r="E32" s="12">
        <v>5002987.2410000004</v>
      </c>
      <c r="F32" s="13">
        <v>-0.173741324446444</v>
      </c>
      <c r="G32" s="12">
        <v>4133761.6115599996</v>
      </c>
      <c r="H32" s="13">
        <v>0.22896258308490583</v>
      </c>
      <c r="I32" s="14">
        <v>5080238.3480000002</v>
      </c>
    </row>
    <row r="33" spans="1:9">
      <c r="A33" s="45" t="s">
        <v>69</v>
      </c>
      <c r="B33" s="26" t="s">
        <v>70</v>
      </c>
      <c r="C33" s="12">
        <v>699563.36320000002</v>
      </c>
      <c r="D33" s="13">
        <v>0.5490884128678738</v>
      </c>
      <c r="E33" s="12">
        <v>1083685.5</v>
      </c>
      <c r="F33" s="13">
        <v>-8.7343295365675699E-2</v>
      </c>
      <c r="G33" s="12">
        <v>989032.83729000005</v>
      </c>
      <c r="H33" s="13">
        <v>-0.41230255449084979</v>
      </c>
      <c r="I33" s="14">
        <v>581252.07200000004</v>
      </c>
    </row>
    <row r="34" spans="1:9">
      <c r="A34" s="6" t="s">
        <v>71</v>
      </c>
      <c r="B34" s="26" t="s">
        <v>72</v>
      </c>
      <c r="C34" s="12">
        <v>1619686.30024</v>
      </c>
      <c r="D34" s="13">
        <v>9.1105350300323573E-2</v>
      </c>
      <c r="E34" s="12">
        <v>1767248.3880000003</v>
      </c>
      <c r="F34" s="13">
        <v>-0.11473031634192707</v>
      </c>
      <c r="G34" s="12">
        <v>1564491.4213899996</v>
      </c>
      <c r="H34" s="13">
        <v>-3.3424110017515947E-2</v>
      </c>
      <c r="I34" s="14">
        <v>1512199.6880000003</v>
      </c>
    </row>
    <row r="35" spans="1:9">
      <c r="A35" s="39" t="s">
        <v>73</v>
      </c>
      <c r="B35" s="40" t="s">
        <v>74</v>
      </c>
      <c r="C35" s="21">
        <v>6607517.9540900001</v>
      </c>
      <c r="D35" s="42">
        <v>0.18863409582390722</v>
      </c>
      <c r="E35" s="21">
        <v>7853921.1290000007</v>
      </c>
      <c r="F35" s="42">
        <v>-0.14854175889955001</v>
      </c>
      <c r="G35" s="21">
        <v>6687285.870240001</v>
      </c>
      <c r="H35" s="42">
        <v>7.2735672916962105E-2</v>
      </c>
      <c r="I35" s="23">
        <v>7173690.108</v>
      </c>
    </row>
    <row r="36" spans="1:9">
      <c r="A36" s="6" t="s">
        <v>75</v>
      </c>
      <c r="B36" s="26" t="s">
        <v>76</v>
      </c>
      <c r="C36" s="12">
        <v>36876.395170000003</v>
      </c>
      <c r="D36" s="13">
        <v>3.3331728132145404</v>
      </c>
      <c r="E36" s="12">
        <v>159791.79300000001</v>
      </c>
      <c r="F36" s="13">
        <v>0.15539558855816846</v>
      </c>
      <c r="G36" s="12">
        <v>184622.73272000003</v>
      </c>
      <c r="H36" s="13">
        <v>-0.7781103637864083</v>
      </c>
      <c r="I36" s="14">
        <v>40965.870999999999</v>
      </c>
    </row>
    <row r="37" spans="1:9">
      <c r="A37" s="6" t="s">
        <v>77</v>
      </c>
      <c r="B37" s="26" t="s">
        <v>78</v>
      </c>
      <c r="C37" s="12">
        <v>2432407.9481250001</v>
      </c>
      <c r="D37" s="13">
        <v>-0.15625486564372484</v>
      </c>
      <c r="E37" s="12">
        <v>2052332.3709999998</v>
      </c>
      <c r="F37" s="13">
        <v>-9.2400467312026613E-2</v>
      </c>
      <c r="G37" s="12">
        <v>1862695.9008400002</v>
      </c>
      <c r="H37" s="13">
        <v>-4.8389939978583117E-2</v>
      </c>
      <c r="I37" s="14">
        <v>1772560.1579999998</v>
      </c>
    </row>
    <row r="38" spans="1:9">
      <c r="A38" s="39" t="s">
        <v>79</v>
      </c>
      <c r="B38" s="40" t="s">
        <v>80</v>
      </c>
      <c r="C38" s="21">
        <v>2469284.3432950005</v>
      </c>
      <c r="D38" s="42">
        <v>-0.10414360743560516</v>
      </c>
      <c r="E38" s="21">
        <v>2212124.1639999999</v>
      </c>
      <c r="F38" s="42">
        <v>-7.4501030783912028E-2</v>
      </c>
      <c r="G38" s="21">
        <v>2047318.6335600002</v>
      </c>
      <c r="H38" s="42">
        <v>-0.11419453754175408</v>
      </c>
      <c r="I38" s="23">
        <v>1813526.0290000001</v>
      </c>
    </row>
    <row r="39" spans="1:9">
      <c r="A39" s="32" t="s">
        <v>81</v>
      </c>
      <c r="B39" s="33" t="s">
        <v>1</v>
      </c>
      <c r="C39" s="34">
        <v>4138233.6107949992</v>
      </c>
      <c r="D39" s="35">
        <v>0.3633345759608172</v>
      </c>
      <c r="E39" s="34">
        <v>5641796.9650000017</v>
      </c>
      <c r="F39" s="35">
        <v>-0.17757280783676702</v>
      </c>
      <c r="G39" s="34">
        <v>4639967.236680001</v>
      </c>
      <c r="H39" s="35">
        <v>0.15521593269596332</v>
      </c>
      <c r="I39" s="36">
        <v>5360164.078999999</v>
      </c>
    </row>
    <row r="40" spans="1:9">
      <c r="A40" s="52" t="s">
        <v>0</v>
      </c>
      <c r="B40" s="26" t="s">
        <v>82</v>
      </c>
      <c r="C40" s="12">
        <v>2152415.7712199991</v>
      </c>
      <c r="D40" s="13">
        <v>0.48940351266936072</v>
      </c>
      <c r="E40" s="12">
        <v>3205815.6103799976</v>
      </c>
      <c r="F40" s="13">
        <v>0.20203413410081583</v>
      </c>
      <c r="G40" s="12">
        <v>3853499.7913099988</v>
      </c>
      <c r="H40" s="13">
        <v>-0.25696791678127323</v>
      </c>
      <c r="I40" s="14">
        <v>2863273.9776199972</v>
      </c>
    </row>
    <row r="41" spans="1:9">
      <c r="A41" s="52" t="s">
        <v>0</v>
      </c>
      <c r="B41" s="26" t="s">
        <v>83</v>
      </c>
      <c r="C41" s="12">
        <v>-1985817.8395750008</v>
      </c>
      <c r="D41" s="13">
        <v>0.22668922902885399</v>
      </c>
      <c r="E41" s="12">
        <v>-2435981.3546200022</v>
      </c>
      <c r="F41" s="13">
        <v>-0.67714553977253866</v>
      </c>
      <c r="G41" s="12">
        <v>-786467.4453700009</v>
      </c>
      <c r="H41" s="13">
        <v>2.1748168548862417</v>
      </c>
      <c r="I41" s="14">
        <v>-2496890.1013800032</v>
      </c>
    </row>
    <row r="42" spans="1:9">
      <c r="A42" s="61" t="s">
        <v>0</v>
      </c>
      <c r="B42" s="28" t="s">
        <v>84</v>
      </c>
      <c r="C42" s="17">
        <v>88304750.93407999</v>
      </c>
      <c r="D42" s="51">
        <v>3.9504592857117996E-3</v>
      </c>
      <c r="E42" s="17">
        <v>88653595.257379994</v>
      </c>
      <c r="F42" s="51">
        <v>6.5610053475140115E-3</v>
      </c>
      <c r="G42" s="17">
        <v>89235251.969940007</v>
      </c>
      <c r="H42" s="51">
        <v>2.3558065708246599E-3</v>
      </c>
      <c r="I42" s="18">
        <v>89445472.962879986</v>
      </c>
    </row>
    <row r="43" spans="1:9">
      <c r="A43" s="61">
        <v>0</v>
      </c>
      <c r="B43" s="28" t="s">
        <v>3</v>
      </c>
      <c r="C43" s="46">
        <v>0.69946084848005663</v>
      </c>
      <c r="D43" s="62">
        <v>0</v>
      </c>
      <c r="E43" s="46">
        <v>0.68983883150731817</v>
      </c>
      <c r="F43" s="64">
        <v>0</v>
      </c>
      <c r="G43" s="46">
        <v>0.88239362566060364</v>
      </c>
      <c r="H43" s="64">
        <v>0</v>
      </c>
      <c r="I43" s="65">
        <v>0.65193783620573387</v>
      </c>
    </row>
  </sheetData>
  <phoneticPr fontId="6" type="noConversion"/>
  <pageMargins left="0.78740157480314965" right="0.43307086614173229" top="0.98425196850393704" bottom="0.51181102362204722" header="0.51181102362204722" footer="0.23622047244094491"/>
  <pageSetup paperSize="9" scale="89" orientation="landscape" r:id="rId1"/>
  <headerFooter alignWithMargins="0">
    <oddHeader>&amp;LFachgruppe für kantonale Finanzfragen (FkF)
Groupe d'études pour les finances cantonales&amp;CRechnung 2014 - Budget 2016
Compte 2014 - Budget 2016&amp;RZürich, 26.04.2015</oddHeader>
    <oddFooter>&amp;LQuelle: FkF Mai 2016&amp;RBlatt &amp;P /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F47"/>
  <sheetViews>
    <sheetView view="pageLayout" topLeftCell="A31" zoomScaleNormal="100" workbookViewId="0">
      <selection activeCell="D10" sqref="D10"/>
    </sheetView>
  </sheetViews>
  <sheetFormatPr baseColWidth="10" defaultColWidth="11.5" defaultRowHeight="13"/>
  <cols>
    <col min="1" max="1" width="26.5" style="516" customWidth="1"/>
    <col min="2" max="3" width="15.5" style="516" customWidth="1"/>
    <col min="4" max="4" width="15.6640625" style="516" customWidth="1"/>
    <col min="5" max="5" width="19.5" style="516" customWidth="1"/>
    <col min="6" max="6" width="2.1640625" style="516" customWidth="1"/>
    <col min="7" max="16384" width="11.5" style="516"/>
  </cols>
  <sheetData>
    <row r="1" spans="1:6">
      <c r="B1" s="517"/>
      <c r="C1" s="517"/>
      <c r="D1" s="517"/>
      <c r="E1" s="517"/>
      <c r="F1" s="517"/>
    </row>
    <row r="2" spans="1:6" ht="18" customHeight="1">
      <c r="A2" s="518" t="s">
        <v>635</v>
      </c>
    </row>
    <row r="3" spans="1:6" ht="17.25" customHeight="1" thickBot="1">
      <c r="A3" s="518" t="s">
        <v>636</v>
      </c>
      <c r="B3" s="517"/>
      <c r="C3" s="517"/>
      <c r="D3" s="517"/>
      <c r="E3" s="517"/>
      <c r="F3" s="517"/>
    </row>
    <row r="4" spans="1:6" ht="14" thickTop="1">
      <c r="A4" s="519" t="s">
        <v>637</v>
      </c>
      <c r="B4" s="520" t="s">
        <v>638</v>
      </c>
      <c r="C4" s="520" t="s">
        <v>1</v>
      </c>
      <c r="D4" s="520" t="s">
        <v>639</v>
      </c>
      <c r="E4" s="521" t="s">
        <v>3</v>
      </c>
      <c r="F4" s="522"/>
    </row>
    <row r="5" spans="1:6">
      <c r="A5" s="523" t="s">
        <v>640</v>
      </c>
      <c r="B5" s="524" t="s">
        <v>641</v>
      </c>
      <c r="C5" s="524" t="s">
        <v>2</v>
      </c>
      <c r="D5" s="524" t="s">
        <v>642</v>
      </c>
      <c r="E5" s="525" t="s">
        <v>4</v>
      </c>
      <c r="F5" s="526"/>
    </row>
    <row r="6" spans="1:6">
      <c r="A6" s="527"/>
      <c r="B6" s="528" t="s">
        <v>643</v>
      </c>
      <c r="C6" s="528"/>
      <c r="D6" s="529"/>
      <c r="E6" s="530"/>
      <c r="F6" s="526"/>
    </row>
    <row r="7" spans="1:6" ht="16">
      <c r="A7" s="531"/>
      <c r="B7" s="532" t="s">
        <v>644</v>
      </c>
      <c r="C7" s="533"/>
      <c r="D7" s="534"/>
      <c r="E7" s="535"/>
      <c r="F7" s="536"/>
    </row>
    <row r="8" spans="1:6" ht="24" customHeight="1">
      <c r="A8" s="537" t="s">
        <v>6</v>
      </c>
      <c r="B8" s="538">
        <v>-122962.35843000002</v>
      </c>
      <c r="C8" s="538">
        <v>440701.41487999994</v>
      </c>
      <c r="D8" s="538">
        <v>82646.259860000107</v>
      </c>
      <c r="E8" s="539">
        <v>1.1875334570516505</v>
      </c>
      <c r="F8" s="540"/>
    </row>
    <row r="9" spans="1:6" ht="24" customHeight="1">
      <c r="A9" s="541" t="s">
        <v>85</v>
      </c>
      <c r="B9" s="542">
        <v>211671.70000000112</v>
      </c>
      <c r="C9" s="542">
        <v>522723.2</v>
      </c>
      <c r="D9" s="542">
        <v>156460.60000000108</v>
      </c>
      <c r="E9" s="543">
        <v>1.2993182625144648</v>
      </c>
      <c r="F9" s="544"/>
    </row>
    <row r="10" spans="1:6" ht="24" customHeight="1">
      <c r="A10" s="541" t="s">
        <v>86</v>
      </c>
      <c r="B10" s="542">
        <v>12768.879639999475</v>
      </c>
      <c r="C10" s="542">
        <v>124147.68662999998</v>
      </c>
      <c r="D10" s="542">
        <v>30855.399549999478</v>
      </c>
      <c r="E10" s="545">
        <v>1.2485378534837985</v>
      </c>
      <c r="F10" s="544"/>
    </row>
    <row r="11" spans="1:6" ht="24" customHeight="1">
      <c r="A11" s="541" t="s">
        <v>87</v>
      </c>
      <c r="B11" s="542">
        <v>15932.5</v>
      </c>
      <c r="C11" s="542">
        <v>24774</v>
      </c>
      <c r="D11" s="542">
        <v>925.20000000000073</v>
      </c>
      <c r="E11" s="545">
        <v>1.0373456042625333</v>
      </c>
      <c r="F11" s="544"/>
    </row>
    <row r="12" spans="1:6" ht="24" customHeight="1">
      <c r="A12" s="541" t="s">
        <v>88</v>
      </c>
      <c r="B12" s="542">
        <v>-211104</v>
      </c>
      <c r="C12" s="542">
        <v>72695</v>
      </c>
      <c r="D12" s="542">
        <v>-207769</v>
      </c>
      <c r="E12" s="545" t="s">
        <v>89</v>
      </c>
      <c r="F12" s="544"/>
    </row>
    <row r="13" spans="1:6" ht="24" customHeight="1">
      <c r="A13" s="541" t="s">
        <v>90</v>
      </c>
      <c r="B13" s="542">
        <v>-3751</v>
      </c>
      <c r="C13" s="542">
        <v>24523</v>
      </c>
      <c r="D13" s="542">
        <v>-22948</v>
      </c>
      <c r="E13" s="545">
        <v>6.4225421033315661E-2</v>
      </c>
      <c r="F13" s="544"/>
    </row>
    <row r="14" spans="1:6" ht="24" customHeight="1">
      <c r="A14" s="541" t="s">
        <v>91</v>
      </c>
      <c r="B14" s="542">
        <v>-1379.3999999999651</v>
      </c>
      <c r="C14" s="542">
        <v>13532.499999999998</v>
      </c>
      <c r="D14" s="542">
        <v>3532.7000000000353</v>
      </c>
      <c r="E14" s="545">
        <v>1.2610530205061914</v>
      </c>
      <c r="F14" s="544"/>
    </row>
    <row r="15" spans="1:6" ht="24" customHeight="1">
      <c r="A15" s="541" t="s">
        <v>92</v>
      </c>
      <c r="B15" s="542">
        <v>14587</v>
      </c>
      <c r="C15" s="542">
        <v>21530</v>
      </c>
      <c r="D15" s="542">
        <v>12577</v>
      </c>
      <c r="E15" s="545">
        <v>1.5841616349280074</v>
      </c>
      <c r="F15" s="544"/>
    </row>
    <row r="16" spans="1:6" ht="24" customHeight="1">
      <c r="A16" s="541" t="s">
        <v>93</v>
      </c>
      <c r="B16" s="542">
        <v>-138993.04294000007</v>
      </c>
      <c r="C16" s="542">
        <v>93408.259920000011</v>
      </c>
      <c r="D16" s="542">
        <v>-162962.15657000008</v>
      </c>
      <c r="E16" s="545" t="s">
        <v>89</v>
      </c>
      <c r="F16" s="544"/>
    </row>
    <row r="17" spans="1:6" ht="24" customHeight="1">
      <c r="A17" s="541" t="s">
        <v>95</v>
      </c>
      <c r="B17" s="542">
        <v>248</v>
      </c>
      <c r="C17" s="542">
        <v>117422</v>
      </c>
      <c r="D17" s="542">
        <v>-851</v>
      </c>
      <c r="E17" s="545">
        <v>0.99275263579227058</v>
      </c>
      <c r="F17" s="544"/>
    </row>
    <row r="18" spans="1:6" ht="24" customHeight="1">
      <c r="A18" s="541" t="s">
        <v>140</v>
      </c>
      <c r="B18" s="542">
        <v>-134854.30000000005</v>
      </c>
      <c r="C18" s="542">
        <v>87372.199999999983</v>
      </c>
      <c r="D18" s="542">
        <v>-152059.00000000003</v>
      </c>
      <c r="E18" s="543" t="s">
        <v>89</v>
      </c>
      <c r="F18" s="544"/>
    </row>
    <row r="19" spans="1:6" ht="24" customHeight="1">
      <c r="A19" s="541" t="s">
        <v>645</v>
      </c>
      <c r="B19" s="542">
        <v>179308.78399999999</v>
      </c>
      <c r="C19" s="542">
        <v>270339.24599999998</v>
      </c>
      <c r="D19" s="542">
        <v>86113.568000000028</v>
      </c>
      <c r="E19" s="543">
        <v>1.3185389072217804</v>
      </c>
      <c r="F19" s="544"/>
    </row>
    <row r="20" spans="1:6" ht="24" customHeight="1">
      <c r="A20" s="541" t="s">
        <v>646</v>
      </c>
      <c r="B20" s="542">
        <v>-1170288.1000000001</v>
      </c>
      <c r="C20" s="542">
        <v>180549.99999999997</v>
      </c>
      <c r="D20" s="542">
        <v>-1287710.2000000002</v>
      </c>
      <c r="E20" s="545" t="s">
        <v>89</v>
      </c>
      <c r="F20" s="544"/>
    </row>
    <row r="21" spans="1:6" ht="24" customHeight="1">
      <c r="A21" s="541" t="s">
        <v>141</v>
      </c>
      <c r="B21" s="542">
        <v>-22674.29019999993</v>
      </c>
      <c r="C21" s="542">
        <v>18459.164784999997</v>
      </c>
      <c r="D21" s="542">
        <v>-23891.298874999928</v>
      </c>
      <c r="E21" s="545" t="s">
        <v>89</v>
      </c>
      <c r="F21" s="544"/>
    </row>
    <row r="22" spans="1:6" ht="24" customHeight="1">
      <c r="A22" s="541" t="s">
        <v>647</v>
      </c>
      <c r="B22" s="542">
        <v>-10135.840000000026</v>
      </c>
      <c r="C22" s="542">
        <v>20268.699999999997</v>
      </c>
      <c r="D22" s="542">
        <v>-24089.140000000021</v>
      </c>
      <c r="E22" s="545" t="s">
        <v>89</v>
      </c>
      <c r="F22" s="544"/>
    </row>
    <row r="23" spans="1:6" ht="24" customHeight="1">
      <c r="A23" s="541" t="s">
        <v>142</v>
      </c>
      <c r="B23" s="542">
        <v>697.30000000004657</v>
      </c>
      <c r="C23" s="542">
        <v>2233.8999999999996</v>
      </c>
      <c r="D23" s="542">
        <v>9698.3000000000466</v>
      </c>
      <c r="E23" s="545">
        <v>5.3414208335198747</v>
      </c>
      <c r="F23" s="544"/>
    </row>
    <row r="24" spans="1:6" ht="24" customHeight="1">
      <c r="A24" s="541" t="s">
        <v>144</v>
      </c>
      <c r="B24" s="542">
        <v>23799.299999999814</v>
      </c>
      <c r="C24" s="542">
        <v>380865.3</v>
      </c>
      <c r="D24" s="542">
        <v>-307362.40000000014</v>
      </c>
      <c r="E24" s="545">
        <v>0.19298922742502356</v>
      </c>
      <c r="F24" s="544"/>
    </row>
    <row r="25" spans="1:6" ht="24" customHeight="1">
      <c r="A25" s="541" t="s">
        <v>145</v>
      </c>
      <c r="B25" s="542">
        <v>55157</v>
      </c>
      <c r="C25" s="542">
        <v>128020</v>
      </c>
      <c r="D25" s="542">
        <v>60601</v>
      </c>
      <c r="E25" s="545">
        <v>1.4733713482268396</v>
      </c>
      <c r="F25" s="544"/>
    </row>
    <row r="26" spans="1:6" ht="24" customHeight="1">
      <c r="A26" s="541" t="s">
        <v>146</v>
      </c>
      <c r="B26" s="542">
        <v>-74640.402010000311</v>
      </c>
      <c r="C26" s="542">
        <v>153663.07814999999</v>
      </c>
      <c r="D26" s="542">
        <v>-53602.914650000312</v>
      </c>
      <c r="E26" s="545">
        <v>0.65116594503153702</v>
      </c>
      <c r="F26" s="544"/>
    </row>
    <row r="27" spans="1:6" ht="24" customHeight="1">
      <c r="A27" s="541" t="s">
        <v>147</v>
      </c>
      <c r="B27" s="542">
        <v>-5088</v>
      </c>
      <c r="C27" s="542">
        <v>72535</v>
      </c>
      <c r="D27" s="542">
        <v>-35417</v>
      </c>
      <c r="E27" s="545">
        <v>0.51172537395739992</v>
      </c>
      <c r="F27" s="544"/>
    </row>
    <row r="28" spans="1:6" ht="24" customHeight="1">
      <c r="A28" s="541" t="s">
        <v>648</v>
      </c>
      <c r="B28" s="542">
        <v>-128019.07020000089</v>
      </c>
      <c r="C28" s="542">
        <v>208480.79371</v>
      </c>
      <c r="D28" s="542">
        <v>-172400.13865000088</v>
      </c>
      <c r="E28" s="545">
        <v>0.17306464743312458</v>
      </c>
      <c r="F28" s="544"/>
    </row>
    <row r="29" spans="1:6" ht="24" customHeight="1">
      <c r="A29" s="541" t="s">
        <v>148</v>
      </c>
      <c r="B29" s="542">
        <v>81186.544590000063</v>
      </c>
      <c r="C29" s="542">
        <v>343313.54297000001</v>
      </c>
      <c r="D29" s="542">
        <v>196232.26013999997</v>
      </c>
      <c r="E29" s="543">
        <v>1.5715832193580184</v>
      </c>
      <c r="F29" s="544"/>
    </row>
    <row r="30" spans="1:6" ht="24" customHeight="1">
      <c r="A30" s="541" t="s">
        <v>150</v>
      </c>
      <c r="B30" s="542">
        <v>-83922.499999999069</v>
      </c>
      <c r="C30" s="542">
        <v>174960.99999999994</v>
      </c>
      <c r="D30" s="542">
        <v>-84233.199999999022</v>
      </c>
      <c r="E30" s="545">
        <v>0.51856013625894315</v>
      </c>
      <c r="F30" s="544"/>
    </row>
    <row r="31" spans="1:6" ht="24" customHeight="1">
      <c r="A31" s="541" t="s">
        <v>151</v>
      </c>
      <c r="B31" s="542">
        <v>73.184999999590218</v>
      </c>
      <c r="C31" s="542">
        <v>48796.084000000003</v>
      </c>
      <c r="D31" s="542">
        <v>7809.4919999995909</v>
      </c>
      <c r="E31" s="545">
        <v>1.1600434165987499</v>
      </c>
      <c r="F31" s="544"/>
    </row>
    <row r="32" spans="1:6" ht="24" customHeight="1">
      <c r="A32" s="541" t="s">
        <v>649</v>
      </c>
      <c r="B32" s="542">
        <v>5125.4112399993464</v>
      </c>
      <c r="C32" s="542">
        <v>555999.55212000001</v>
      </c>
      <c r="D32" s="542">
        <v>-100769.94989000063</v>
      </c>
      <c r="E32" s="545">
        <v>0.81875893693480584</v>
      </c>
      <c r="F32" s="546"/>
    </row>
    <row r="33" spans="1:6" ht="24" customHeight="1">
      <c r="A33" s="547" t="s">
        <v>152</v>
      </c>
      <c r="B33" s="548">
        <v>507.03813999996055</v>
      </c>
      <c r="C33" s="548">
        <v>36918.987630000003</v>
      </c>
      <c r="D33" s="548">
        <v>2795.7795099999566</v>
      </c>
      <c r="E33" s="549">
        <v>1.0757274153348706</v>
      </c>
      <c r="F33" s="550"/>
    </row>
    <row r="34" spans="1:6" ht="16">
      <c r="A34" s="551"/>
      <c r="B34" s="552"/>
      <c r="C34" s="552"/>
      <c r="D34" s="552"/>
      <c r="E34" s="553"/>
      <c r="F34" s="554"/>
    </row>
    <row r="35" spans="1:6" ht="16">
      <c r="A35" s="555" t="s">
        <v>154</v>
      </c>
      <c r="B35" s="556">
        <v>-1506749.6611700011</v>
      </c>
      <c r="C35" s="557">
        <v>4138233.6107949992</v>
      </c>
      <c r="D35" s="556">
        <v>-1985817.8395750008</v>
      </c>
      <c r="E35" s="558">
        <v>0.52012911151395747</v>
      </c>
      <c r="F35" s="554"/>
    </row>
    <row r="36" spans="1:6" ht="17" thickBot="1">
      <c r="A36" s="559">
        <v>0</v>
      </c>
      <c r="B36" s="560"/>
      <c r="C36" s="560"/>
      <c r="D36" s="560"/>
      <c r="E36" s="560"/>
      <c r="F36" s="561"/>
    </row>
    <row r="37" spans="1:6" ht="17" thickTop="1">
      <c r="A37" s="517" t="s">
        <v>650</v>
      </c>
      <c r="B37" s="517"/>
      <c r="C37" s="517"/>
      <c r="D37" s="517"/>
      <c r="E37" s="562"/>
      <c r="F37" s="562"/>
    </row>
    <row r="38" spans="1:6">
      <c r="A38" s="517" t="s">
        <v>651</v>
      </c>
      <c r="B38" s="517"/>
      <c r="C38" s="517"/>
      <c r="D38" s="517"/>
      <c r="E38" s="517"/>
      <c r="F38" s="517"/>
    </row>
    <row r="39" spans="1:6">
      <c r="A39" s="516" t="s">
        <v>652</v>
      </c>
      <c r="B39" s="517"/>
      <c r="C39" s="517"/>
      <c r="D39" s="517"/>
      <c r="E39" s="517"/>
      <c r="F39" s="517"/>
    </row>
    <row r="40" spans="1:6">
      <c r="B40" s="517"/>
      <c r="C40" s="517"/>
      <c r="D40" s="517"/>
      <c r="E40" s="517"/>
      <c r="F40" s="517"/>
    </row>
    <row r="41" spans="1:6">
      <c r="A41" s="563"/>
      <c r="B41" s="563"/>
      <c r="C41" s="563"/>
      <c r="D41" s="563"/>
      <c r="E41" s="563"/>
    </row>
    <row r="46" spans="1:6">
      <c r="A46" s="564"/>
    </row>
    <row r="47" spans="1:6">
      <c r="A47" s="565"/>
    </row>
  </sheetData>
  <pageMargins left="0.6692913385826772" right="0.55118110236220474" top="0.98425196850393704" bottom="0.74803149606299213" header="0.51181102362204722" footer="0.47244094488188981"/>
  <pageSetup paperSize="9" scale="95" orientation="portrait" horizontalDpi="300" verticalDpi="300" r:id="rId1"/>
  <headerFooter alignWithMargins="0">
    <oddHeader>&amp;LFachgruppe für kantonale Finanzfragen (FkF)
Groupe d'étude pour les finances cantonales&amp;RZürich, 26.04.2016</oddHeader>
    <oddFooter>&amp;LQuelle: FkF Mai 2016&amp;RBlatt &amp;P /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F40"/>
  <sheetViews>
    <sheetView view="pageLayout" topLeftCell="A28" zoomScaleNormal="100" workbookViewId="0">
      <selection activeCell="E10" sqref="E10"/>
    </sheetView>
  </sheetViews>
  <sheetFormatPr baseColWidth="10" defaultColWidth="11.5" defaultRowHeight="13"/>
  <cols>
    <col min="1" max="1" width="25.1640625" style="516" customWidth="1"/>
    <col min="2" max="2" width="15.33203125" style="516" customWidth="1"/>
    <col min="3" max="3" width="16.6640625" style="516" customWidth="1"/>
    <col min="4" max="4" width="14.6640625" style="516" customWidth="1"/>
    <col min="5" max="5" width="17.83203125" style="516" customWidth="1"/>
    <col min="6" max="6" width="2.1640625" style="516" customWidth="1"/>
    <col min="7" max="16384" width="11.5" style="516"/>
  </cols>
  <sheetData>
    <row r="1" spans="1:6">
      <c r="B1" s="517"/>
      <c r="C1" s="517"/>
      <c r="D1" s="517"/>
      <c r="E1" s="517"/>
      <c r="F1" s="517"/>
    </row>
    <row r="2" spans="1:6" ht="20.25" customHeight="1">
      <c r="A2" s="518" t="s">
        <v>653</v>
      </c>
    </row>
    <row r="3" spans="1:6" ht="17.25" customHeight="1" thickBot="1">
      <c r="A3" s="518" t="s">
        <v>654</v>
      </c>
      <c r="B3" s="517"/>
      <c r="C3" s="517"/>
      <c r="D3" s="517"/>
      <c r="E3" s="517"/>
      <c r="F3" s="517"/>
    </row>
    <row r="4" spans="1:6" ht="14" thickTop="1">
      <c r="A4" s="519" t="s">
        <v>637</v>
      </c>
      <c r="B4" s="520" t="s">
        <v>638</v>
      </c>
      <c r="C4" s="520" t="s">
        <v>1</v>
      </c>
      <c r="D4" s="520" t="s">
        <v>639</v>
      </c>
      <c r="E4" s="521" t="s">
        <v>3</v>
      </c>
      <c r="F4" s="522"/>
    </row>
    <row r="5" spans="1:6">
      <c r="A5" s="523" t="s">
        <v>640</v>
      </c>
      <c r="B5" s="524" t="s">
        <v>641</v>
      </c>
      <c r="C5" s="524" t="s">
        <v>2</v>
      </c>
      <c r="D5" s="524" t="s">
        <v>642</v>
      </c>
      <c r="E5" s="525" t="s">
        <v>4</v>
      </c>
      <c r="F5" s="526"/>
    </row>
    <row r="6" spans="1:6">
      <c r="A6" s="527"/>
      <c r="B6" s="528" t="s">
        <v>643</v>
      </c>
      <c r="C6" s="528"/>
      <c r="D6" s="529"/>
      <c r="E6" s="530"/>
      <c r="F6" s="526"/>
    </row>
    <row r="7" spans="1:6" ht="24.5" customHeight="1">
      <c r="A7" s="531"/>
      <c r="B7" s="566" t="s">
        <v>644</v>
      </c>
      <c r="C7" s="567"/>
      <c r="D7" s="567"/>
      <c r="E7" s="535"/>
      <c r="F7" s="536"/>
    </row>
    <row r="8" spans="1:6" ht="24" customHeight="1">
      <c r="A8" s="541" t="s">
        <v>6</v>
      </c>
      <c r="B8" s="542">
        <v>26554.366350002587</v>
      </c>
      <c r="C8" s="542">
        <v>1205136.5</v>
      </c>
      <c r="D8" s="542">
        <v>-553024.77964999748</v>
      </c>
      <c r="E8" s="545">
        <v>0.54111025626557863</v>
      </c>
      <c r="F8" s="544"/>
    </row>
    <row r="9" spans="1:6" ht="24" customHeight="1">
      <c r="A9" s="541" t="s">
        <v>85</v>
      </c>
      <c r="B9" s="542">
        <v>124320.29999999888</v>
      </c>
      <c r="C9" s="542">
        <v>603671</v>
      </c>
      <c r="D9" s="542">
        <v>7004.6999999989057</v>
      </c>
      <c r="E9" s="543">
        <v>1.0116035058831696</v>
      </c>
      <c r="F9" s="544"/>
    </row>
    <row r="10" spans="1:6" ht="24" customHeight="1">
      <c r="A10" s="541" t="s">
        <v>86</v>
      </c>
      <c r="B10" s="542">
        <v>-24255.360500000883</v>
      </c>
      <c r="C10" s="542">
        <v>137414.266</v>
      </c>
      <c r="D10" s="542">
        <v>-20161.160300000891</v>
      </c>
      <c r="E10" s="545">
        <v>0.85328189796537657</v>
      </c>
      <c r="F10" s="544"/>
    </row>
    <row r="11" spans="1:6" ht="24" customHeight="1">
      <c r="A11" s="541" t="s">
        <v>87</v>
      </c>
      <c r="B11" s="542">
        <v>5391.8999999999651</v>
      </c>
      <c r="C11" s="542">
        <v>23417.1</v>
      </c>
      <c r="D11" s="542">
        <v>-5802.4000000000342</v>
      </c>
      <c r="E11" s="545">
        <v>0.75221526149693885</v>
      </c>
      <c r="F11" s="544"/>
    </row>
    <row r="12" spans="1:6" ht="24" customHeight="1">
      <c r="A12" s="541" t="s">
        <v>88</v>
      </c>
      <c r="B12" s="542">
        <v>-65534</v>
      </c>
      <c r="C12" s="542">
        <v>95174</v>
      </c>
      <c r="D12" s="542">
        <v>-82956</v>
      </c>
      <c r="E12" s="545">
        <v>0.12837539664194003</v>
      </c>
      <c r="F12" s="544"/>
    </row>
    <row r="13" spans="1:6" ht="24" customHeight="1">
      <c r="A13" s="541" t="s">
        <v>90</v>
      </c>
      <c r="B13" s="542">
        <v>-7943</v>
      </c>
      <c r="C13" s="542">
        <v>14330</v>
      </c>
      <c r="D13" s="542">
        <v>-14877</v>
      </c>
      <c r="E13" s="545" t="s">
        <v>89</v>
      </c>
      <c r="F13" s="544"/>
    </row>
    <row r="14" spans="1:6" ht="24" customHeight="1">
      <c r="A14" s="541" t="s">
        <v>91</v>
      </c>
      <c r="B14" s="542">
        <v>-11759</v>
      </c>
      <c r="C14" s="542">
        <v>20956</v>
      </c>
      <c r="D14" s="542">
        <v>-19257</v>
      </c>
      <c r="E14" s="545">
        <v>8.1074632563466309E-2</v>
      </c>
      <c r="F14" s="544"/>
    </row>
    <row r="15" spans="1:6" ht="24" customHeight="1">
      <c r="A15" s="541" t="s">
        <v>92</v>
      </c>
      <c r="B15" s="542">
        <v>-4863</v>
      </c>
      <c r="C15" s="542">
        <v>17994</v>
      </c>
      <c r="D15" s="542">
        <v>-9225</v>
      </c>
      <c r="E15" s="545">
        <v>0.4873291097032344</v>
      </c>
      <c r="F15" s="544"/>
    </row>
    <row r="16" spans="1:6" ht="24" customHeight="1">
      <c r="A16" s="541" t="s">
        <v>93</v>
      </c>
      <c r="B16" s="542">
        <v>-129163.02560000028</v>
      </c>
      <c r="C16" s="542">
        <v>89263.665000000008</v>
      </c>
      <c r="D16" s="542">
        <v>-182259.69060000029</v>
      </c>
      <c r="E16" s="545" t="s">
        <v>89</v>
      </c>
      <c r="F16" s="544"/>
    </row>
    <row r="17" spans="1:6" ht="24" customHeight="1">
      <c r="A17" s="541" t="s">
        <v>95</v>
      </c>
      <c r="B17" s="542">
        <v>174</v>
      </c>
      <c r="C17" s="542">
        <v>139246</v>
      </c>
      <c r="D17" s="542">
        <v>-17262</v>
      </c>
      <c r="E17" s="545">
        <v>0.87603234563290866</v>
      </c>
      <c r="F17" s="544"/>
    </row>
    <row r="18" spans="1:6" ht="24" customHeight="1">
      <c r="A18" s="541" t="s">
        <v>140</v>
      </c>
      <c r="B18" s="542">
        <v>-73660.670000000158</v>
      </c>
      <c r="C18" s="542">
        <v>131133</v>
      </c>
      <c r="D18" s="542">
        <v>-138375.27000000016</v>
      </c>
      <c r="E18" s="543" t="s">
        <v>89</v>
      </c>
      <c r="F18" s="544"/>
    </row>
    <row r="19" spans="1:6" ht="24" customHeight="1">
      <c r="A19" s="541" t="s">
        <v>645</v>
      </c>
      <c r="B19" s="542">
        <v>35907.12799999956</v>
      </c>
      <c r="C19" s="542">
        <v>476070.56700000004</v>
      </c>
      <c r="D19" s="542">
        <v>-259354.04200000051</v>
      </c>
      <c r="E19" s="543">
        <v>0.45521933096107475</v>
      </c>
      <c r="F19" s="544"/>
    </row>
    <row r="20" spans="1:6" ht="24" customHeight="1">
      <c r="A20" s="541" t="s">
        <v>646</v>
      </c>
      <c r="B20" s="542">
        <v>-34983.700000000186</v>
      </c>
      <c r="C20" s="542">
        <v>204031</v>
      </c>
      <c r="D20" s="542">
        <v>-178574.10000000018</v>
      </c>
      <c r="E20" s="545">
        <v>0.12476976537878955</v>
      </c>
      <c r="F20" s="544"/>
    </row>
    <row r="21" spans="1:6" ht="24" customHeight="1">
      <c r="A21" s="541" t="s">
        <v>141</v>
      </c>
      <c r="B21" s="542">
        <v>-10021</v>
      </c>
      <c r="C21" s="542">
        <v>22172</v>
      </c>
      <c r="D21" s="542">
        <v>-13330.3</v>
      </c>
      <c r="E21" s="545">
        <v>0.39877773768717306</v>
      </c>
      <c r="F21" s="544"/>
    </row>
    <row r="22" spans="1:6" ht="24" customHeight="1">
      <c r="A22" s="541" t="s">
        <v>647</v>
      </c>
      <c r="B22" s="542">
        <v>12300</v>
      </c>
      <c r="C22" s="542">
        <v>25271.4</v>
      </c>
      <c r="D22" s="542">
        <v>-10492.300000000001</v>
      </c>
      <c r="E22" s="545">
        <v>0.58481524569275933</v>
      </c>
      <c r="F22" s="544"/>
    </row>
    <row r="23" spans="1:6" ht="24" customHeight="1">
      <c r="A23" s="541" t="s">
        <v>142</v>
      </c>
      <c r="B23" s="542">
        <v>-4849.2999999999884</v>
      </c>
      <c r="C23" s="542">
        <v>16506</v>
      </c>
      <c r="D23" s="542">
        <v>-18762.299999999988</v>
      </c>
      <c r="E23" s="545" t="s">
        <v>89</v>
      </c>
      <c r="F23" s="544"/>
    </row>
    <row r="24" spans="1:6" ht="24" customHeight="1">
      <c r="A24" s="541" t="s">
        <v>144</v>
      </c>
      <c r="B24" s="542">
        <v>-25194.5</v>
      </c>
      <c r="C24" s="542">
        <v>274895.59999999998</v>
      </c>
      <c r="D24" s="542">
        <v>-196557.59999999998</v>
      </c>
      <c r="E24" s="545">
        <v>0.28497364090221888</v>
      </c>
      <c r="F24" s="544"/>
    </row>
    <row r="25" spans="1:6" ht="24" customHeight="1">
      <c r="A25" s="541" t="s">
        <v>145</v>
      </c>
      <c r="B25" s="542">
        <v>-54917</v>
      </c>
      <c r="C25" s="542">
        <v>207669</v>
      </c>
      <c r="D25" s="542">
        <v>-85913</v>
      </c>
      <c r="E25" s="545">
        <v>0.58629838830061298</v>
      </c>
      <c r="F25" s="544"/>
    </row>
    <row r="26" spans="1:6" ht="24" customHeight="1">
      <c r="A26" s="541" t="s">
        <v>146</v>
      </c>
      <c r="B26" s="542">
        <v>-1143.0336100002751</v>
      </c>
      <c r="C26" s="542">
        <v>217592.82</v>
      </c>
      <c r="D26" s="542">
        <v>13066.341929999704</v>
      </c>
      <c r="E26" s="545">
        <v>1.0600495086648525</v>
      </c>
      <c r="F26" s="544"/>
    </row>
    <row r="27" spans="1:6" ht="24" customHeight="1">
      <c r="A27" s="541" t="s">
        <v>147</v>
      </c>
      <c r="B27" s="542">
        <v>-3152</v>
      </c>
      <c r="C27" s="542">
        <v>64984</v>
      </c>
      <c r="D27" s="542">
        <v>-32924</v>
      </c>
      <c r="E27" s="545">
        <v>0.49335220977471378</v>
      </c>
      <c r="F27" s="544"/>
    </row>
    <row r="28" spans="1:6" ht="24" customHeight="1">
      <c r="A28" s="541" t="s">
        <v>648</v>
      </c>
      <c r="B28" s="542">
        <v>-120426.69000000041</v>
      </c>
      <c r="C28" s="542">
        <v>210619.05</v>
      </c>
      <c r="D28" s="542">
        <v>-151265.7400000004</v>
      </c>
      <c r="E28" s="545">
        <v>0.28180409132032264</v>
      </c>
      <c r="F28" s="544"/>
    </row>
    <row r="29" spans="1:6" ht="24" customHeight="1">
      <c r="A29" s="541" t="s">
        <v>148</v>
      </c>
      <c r="B29" s="542">
        <v>26191</v>
      </c>
      <c r="C29" s="542">
        <v>421474</v>
      </c>
      <c r="D29" s="542">
        <v>-187692.5</v>
      </c>
      <c r="E29" s="543">
        <v>0.55467597052249962</v>
      </c>
      <c r="F29" s="544"/>
    </row>
    <row r="30" spans="1:6" ht="24" customHeight="1">
      <c r="A30" s="541" t="s">
        <v>150</v>
      </c>
      <c r="B30" s="542">
        <v>5818.5999999996275</v>
      </c>
      <c r="C30" s="542">
        <v>190559.90000000002</v>
      </c>
      <c r="D30" s="542">
        <v>28009.699999999604</v>
      </c>
      <c r="E30" s="545">
        <v>1.1469863281834194</v>
      </c>
      <c r="F30" s="544"/>
    </row>
    <row r="31" spans="1:6" ht="24" customHeight="1">
      <c r="A31" s="541" t="s">
        <v>151</v>
      </c>
      <c r="B31" s="542">
        <v>-11272.680999999866</v>
      </c>
      <c r="C31" s="542">
        <v>57021.241000000002</v>
      </c>
      <c r="D31" s="542">
        <v>-16961.466999999866</v>
      </c>
      <c r="E31" s="545">
        <v>0.70254125125056699</v>
      </c>
      <c r="F31" s="544"/>
    </row>
    <row r="32" spans="1:6" ht="24" customHeight="1">
      <c r="A32" s="541" t="s">
        <v>649</v>
      </c>
      <c r="B32" s="542">
        <v>13759.528999999166</v>
      </c>
      <c r="C32" s="542">
        <v>735706.15600000008</v>
      </c>
      <c r="D32" s="542">
        <v>-281452.39700000093</v>
      </c>
      <c r="E32" s="545">
        <v>0.61743911654858996</v>
      </c>
      <c r="F32" s="546"/>
    </row>
    <row r="33" spans="1:6" ht="24" customHeight="1">
      <c r="A33" s="547" t="s">
        <v>152</v>
      </c>
      <c r="B33" s="548">
        <v>-4072.3499999999767</v>
      </c>
      <c r="C33" s="548">
        <v>39488.700000000004</v>
      </c>
      <c r="D33" s="548">
        <v>-7582.0499999999811</v>
      </c>
      <c r="E33" s="549">
        <v>0.8079944389154371</v>
      </c>
      <c r="F33" s="550"/>
    </row>
    <row r="34" spans="1:6" ht="16">
      <c r="A34" s="551"/>
      <c r="B34" s="552"/>
      <c r="C34" s="552"/>
      <c r="D34" s="552"/>
      <c r="E34" s="553"/>
      <c r="F34" s="554"/>
    </row>
    <row r="35" spans="1:6" ht="16">
      <c r="A35" s="555" t="s">
        <v>154</v>
      </c>
      <c r="B35" s="556">
        <v>-336793.48736000224</v>
      </c>
      <c r="C35" s="557">
        <v>5641796.9650000017</v>
      </c>
      <c r="D35" s="556">
        <v>-2435981.3546200022</v>
      </c>
      <c r="E35" s="558">
        <v>0.5682259801740307</v>
      </c>
      <c r="F35" s="554"/>
    </row>
    <row r="36" spans="1:6" ht="17" thickBot="1">
      <c r="A36" s="559">
        <v>0</v>
      </c>
      <c r="B36" s="560"/>
      <c r="C36" s="560"/>
      <c r="D36" s="560"/>
      <c r="E36" s="560"/>
      <c r="F36" s="561"/>
    </row>
    <row r="37" spans="1:6" ht="17" thickTop="1">
      <c r="A37" s="517" t="s">
        <v>650</v>
      </c>
      <c r="B37" s="562"/>
      <c r="C37" s="562"/>
      <c r="D37" s="562"/>
      <c r="E37" s="562"/>
      <c r="F37" s="562"/>
    </row>
    <row r="38" spans="1:6">
      <c r="A38" s="517" t="s">
        <v>651</v>
      </c>
      <c r="B38" s="568"/>
      <c r="C38" s="568"/>
      <c r="D38" s="568"/>
      <c r="E38" s="568"/>
      <c r="F38" s="517"/>
    </row>
    <row r="39" spans="1:6">
      <c r="A39" s="516" t="s">
        <v>652</v>
      </c>
      <c r="B39" s="568"/>
      <c r="C39" s="568"/>
      <c r="D39" s="568"/>
      <c r="E39" s="568"/>
      <c r="F39" s="517"/>
    </row>
    <row r="40" spans="1:6">
      <c r="B40" s="568"/>
      <c r="C40" s="568"/>
      <c r="D40" s="568"/>
      <c r="E40" s="568"/>
      <c r="F40" s="517"/>
    </row>
  </sheetData>
  <pageMargins left="0.6692913385826772" right="0.55118110236220474" top="0.98425196850393704" bottom="0.74803149606299213" header="0.51181102362204722" footer="0.47244094488188981"/>
  <pageSetup paperSize="9" scale="91" orientation="portrait" horizontalDpi="300" verticalDpi="300" r:id="rId1"/>
  <headerFooter alignWithMargins="0">
    <oddHeader>&amp;LFachgruppe für kantonale Finanzfragen (FkF)
Groupe d'étude pour les finances cantonales&amp;RZürich, 26.04.2016</oddHeader>
    <oddFooter>&amp;LQuelle: FkF Mai 2016&amp;RBlatt &amp;P /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G46"/>
  <sheetViews>
    <sheetView view="pageLayout" zoomScaleNormal="100" workbookViewId="0">
      <selection activeCell="E10" sqref="E10"/>
    </sheetView>
  </sheetViews>
  <sheetFormatPr baseColWidth="10" defaultColWidth="11.5" defaultRowHeight="13"/>
  <cols>
    <col min="1" max="1" width="23.83203125" style="516" customWidth="1"/>
    <col min="2" max="2" width="15.5" style="516" customWidth="1"/>
    <col min="3" max="4" width="16.6640625" style="516" customWidth="1"/>
    <col min="5" max="5" width="18.33203125" style="516" customWidth="1"/>
    <col min="6" max="6" width="2.1640625" style="516" customWidth="1"/>
    <col min="7" max="16384" width="11.5" style="516"/>
  </cols>
  <sheetData>
    <row r="1" spans="1:7">
      <c r="B1" s="517"/>
      <c r="C1" s="517"/>
      <c r="D1" s="517"/>
      <c r="E1" s="517"/>
      <c r="F1" s="517"/>
    </row>
    <row r="2" spans="1:7" ht="18" customHeight="1">
      <c r="A2" s="518" t="s">
        <v>668</v>
      </c>
    </row>
    <row r="3" spans="1:7" ht="20.25" customHeight="1" thickBot="1">
      <c r="A3" s="518" t="s">
        <v>655</v>
      </c>
      <c r="B3" s="517"/>
      <c r="C3" s="517"/>
      <c r="D3" s="517"/>
      <c r="E3" s="517"/>
      <c r="F3" s="517"/>
    </row>
    <row r="4" spans="1:7" ht="14" thickTop="1">
      <c r="A4" s="519" t="s">
        <v>637</v>
      </c>
      <c r="B4" s="520" t="s">
        <v>638</v>
      </c>
      <c r="C4" s="520" t="s">
        <v>1</v>
      </c>
      <c r="D4" s="520" t="s">
        <v>639</v>
      </c>
      <c r="E4" s="521" t="s">
        <v>3</v>
      </c>
      <c r="F4" s="522"/>
    </row>
    <row r="5" spans="1:7">
      <c r="A5" s="523" t="s">
        <v>640</v>
      </c>
      <c r="B5" s="524" t="s">
        <v>641</v>
      </c>
      <c r="C5" s="524" t="s">
        <v>2</v>
      </c>
      <c r="D5" s="524" t="s">
        <v>642</v>
      </c>
      <c r="E5" s="525" t="s">
        <v>4</v>
      </c>
      <c r="F5" s="526"/>
    </row>
    <row r="6" spans="1:7">
      <c r="A6" s="527"/>
      <c r="B6" s="528" t="s">
        <v>643</v>
      </c>
      <c r="C6" s="528"/>
      <c r="D6" s="529"/>
      <c r="E6" s="530"/>
      <c r="F6" s="526"/>
    </row>
    <row r="7" spans="1:7" ht="24.5" customHeight="1">
      <c r="A7" s="531"/>
      <c r="B7" s="566" t="s">
        <v>644</v>
      </c>
      <c r="C7" s="567"/>
      <c r="D7" s="567"/>
      <c r="E7" s="535"/>
      <c r="F7" s="536"/>
    </row>
    <row r="8" spans="1:7" ht="24" customHeight="1">
      <c r="A8" s="537" t="s">
        <v>6</v>
      </c>
      <c r="B8" s="538">
        <v>17915.973540000618</v>
      </c>
      <c r="C8" s="538">
        <v>1081234.9402300001</v>
      </c>
      <c r="D8" s="538">
        <v>-421646.22465999937</v>
      </c>
      <c r="E8" s="539">
        <v>0.61003274221761006</v>
      </c>
      <c r="F8" s="540"/>
      <c r="G8" s="516" t="s">
        <v>0</v>
      </c>
    </row>
    <row r="9" spans="1:7" ht="24" customHeight="1">
      <c r="A9" s="541" t="s">
        <v>85</v>
      </c>
      <c r="B9" s="542">
        <v>169731.70882000029</v>
      </c>
      <c r="C9" s="542">
        <v>479863.61940999998</v>
      </c>
      <c r="D9" s="542">
        <v>97147.335220000299</v>
      </c>
      <c r="E9" s="543">
        <v>1.2024478024390441</v>
      </c>
      <c r="F9" s="544"/>
    </row>
    <row r="10" spans="1:7" ht="24" customHeight="1">
      <c r="A10" s="541" t="s">
        <v>86</v>
      </c>
      <c r="B10" s="542">
        <v>23304.560000000056</v>
      </c>
      <c r="C10" s="542">
        <v>128271.39136000002</v>
      </c>
      <c r="D10" s="542">
        <v>31062.525640000051</v>
      </c>
      <c r="E10" s="545">
        <v>1.2421625376528547</v>
      </c>
      <c r="F10" s="544"/>
      <c r="G10" s="516" t="s">
        <v>0</v>
      </c>
    </row>
    <row r="11" spans="1:7" ht="24" customHeight="1">
      <c r="A11" s="541" t="s">
        <v>87</v>
      </c>
      <c r="B11" s="542">
        <v>21076.700000000012</v>
      </c>
      <c r="C11" s="542">
        <v>22339.5</v>
      </c>
      <c r="D11" s="542">
        <v>13575.400000000009</v>
      </c>
      <c r="E11" s="545">
        <v>1.6076859374650287</v>
      </c>
      <c r="F11" s="544"/>
    </row>
    <row r="12" spans="1:7" ht="24" customHeight="1">
      <c r="A12" s="541" t="s">
        <v>88</v>
      </c>
      <c r="B12" s="542">
        <v>10398.59999999986</v>
      </c>
      <c r="C12" s="542">
        <v>64305.8</v>
      </c>
      <c r="D12" s="542">
        <v>27176.699999999852</v>
      </c>
      <c r="E12" s="545">
        <v>1.4226166224508496</v>
      </c>
      <c r="F12" s="544"/>
    </row>
    <row r="13" spans="1:7" ht="24" customHeight="1">
      <c r="A13" s="541" t="s">
        <v>90</v>
      </c>
      <c r="B13" s="542">
        <v>-2500</v>
      </c>
      <c r="C13" s="542">
        <v>11642</v>
      </c>
      <c r="D13" s="542">
        <v>24284</v>
      </c>
      <c r="E13" s="545">
        <v>3.0858958941762582</v>
      </c>
      <c r="F13" s="544"/>
    </row>
    <row r="14" spans="1:7" ht="24" customHeight="1">
      <c r="A14" s="541" t="s">
        <v>91</v>
      </c>
      <c r="B14" s="542">
        <v>554.09999999991851</v>
      </c>
      <c r="C14" s="542">
        <v>13186.1</v>
      </c>
      <c r="D14" s="542">
        <v>36431.199999999917</v>
      </c>
      <c r="E14" s="545">
        <v>3.7628487574036229</v>
      </c>
      <c r="F14" s="544"/>
      <c r="G14" s="516" t="s">
        <v>0</v>
      </c>
    </row>
    <row r="15" spans="1:7" ht="24" customHeight="1">
      <c r="A15" s="541" t="s">
        <v>92</v>
      </c>
      <c r="B15" s="542">
        <v>2385.7999999999302</v>
      </c>
      <c r="C15" s="542">
        <v>22911.599999999995</v>
      </c>
      <c r="D15" s="542">
        <v>1914.4999999999345</v>
      </c>
      <c r="E15" s="545">
        <v>1.0835602926028709</v>
      </c>
      <c r="F15" s="544"/>
    </row>
    <row r="16" spans="1:7" ht="24" customHeight="1">
      <c r="A16" s="541" t="s">
        <v>93</v>
      </c>
      <c r="B16" s="542">
        <v>-87943.500000000233</v>
      </c>
      <c r="C16" s="542">
        <v>77813.799999999988</v>
      </c>
      <c r="D16" s="542">
        <v>-136646.10000000021</v>
      </c>
      <c r="E16" s="545" t="s">
        <v>89</v>
      </c>
      <c r="F16" s="544"/>
    </row>
    <row r="17" spans="1:7" ht="24" customHeight="1">
      <c r="A17" s="541" t="s">
        <v>95</v>
      </c>
      <c r="B17" s="542">
        <v>24008</v>
      </c>
      <c r="C17" s="542">
        <v>126706</v>
      </c>
      <c r="D17" s="542">
        <v>7263</v>
      </c>
      <c r="E17" s="545">
        <v>1.0573216737960318</v>
      </c>
      <c r="F17" s="544"/>
      <c r="G17" s="516" t="s">
        <v>0</v>
      </c>
    </row>
    <row r="18" spans="1:7" ht="24" customHeight="1">
      <c r="A18" s="541" t="s">
        <v>140</v>
      </c>
      <c r="B18" s="542">
        <v>-1127552.0000000002</v>
      </c>
      <c r="C18" s="542">
        <v>98542.200000000012</v>
      </c>
      <c r="D18" s="542">
        <v>-1127955.8000000003</v>
      </c>
      <c r="E18" s="543" t="s">
        <v>89</v>
      </c>
      <c r="F18" s="544"/>
      <c r="G18" s="516" t="s">
        <v>0</v>
      </c>
    </row>
    <row r="19" spans="1:7" ht="24" customHeight="1">
      <c r="A19" s="541" t="s">
        <v>645</v>
      </c>
      <c r="B19" s="542">
        <v>432447.03149999958</v>
      </c>
      <c r="C19" s="542">
        <v>497866.50500000006</v>
      </c>
      <c r="D19" s="542">
        <v>115222.77449999953</v>
      </c>
      <c r="E19" s="543">
        <v>1.2314330716021948</v>
      </c>
      <c r="F19" s="544"/>
    </row>
    <row r="20" spans="1:7" ht="24" customHeight="1">
      <c r="A20" s="541" t="s">
        <v>646</v>
      </c>
      <c r="B20" s="542">
        <v>-25974.499999999534</v>
      </c>
      <c r="C20" s="542">
        <v>148477.1</v>
      </c>
      <c r="D20" s="542">
        <v>-116048.79999999955</v>
      </c>
      <c r="E20" s="545">
        <v>0.21840607070046802</v>
      </c>
      <c r="F20" s="544"/>
      <c r="G20" s="516" t="s">
        <v>0</v>
      </c>
    </row>
    <row r="21" spans="1:7" ht="24" customHeight="1">
      <c r="A21" s="541" t="s">
        <v>141</v>
      </c>
      <c r="B21" s="542">
        <v>4963.4661700002616</v>
      </c>
      <c r="C21" s="542">
        <v>22011.822779999999</v>
      </c>
      <c r="D21" s="542">
        <v>488.25552000026437</v>
      </c>
      <c r="E21" s="545">
        <v>1.0221815124026845</v>
      </c>
      <c r="F21" s="544"/>
    </row>
    <row r="22" spans="1:7" ht="24" customHeight="1">
      <c r="A22" s="541" t="s">
        <v>647</v>
      </c>
      <c r="B22" s="542">
        <v>11119.100000000093</v>
      </c>
      <c r="C22" s="542">
        <v>16575.599999999999</v>
      </c>
      <c r="D22" s="542">
        <v>-3680.8999999999069</v>
      </c>
      <c r="E22" s="545">
        <v>0.77793262385675888</v>
      </c>
      <c r="F22" s="544"/>
    </row>
    <row r="23" spans="1:7" ht="24" customHeight="1">
      <c r="A23" s="541" t="s">
        <v>142</v>
      </c>
      <c r="B23" s="542">
        <v>4698.5999999999767</v>
      </c>
      <c r="C23" s="542">
        <v>10164.299999999999</v>
      </c>
      <c r="D23" s="542">
        <v>2419.9999999999782</v>
      </c>
      <c r="E23" s="545">
        <v>1.2380882106982261</v>
      </c>
      <c r="F23" s="544"/>
    </row>
    <row r="24" spans="1:7" ht="24" customHeight="1">
      <c r="A24" s="541" t="s">
        <v>144</v>
      </c>
      <c r="B24" s="542">
        <v>154495.29999999888</v>
      </c>
      <c r="C24" s="542">
        <v>142630.10000000003</v>
      </c>
      <c r="D24" s="542">
        <v>97938.099999998871</v>
      </c>
      <c r="E24" s="545">
        <v>1.6866580055682416</v>
      </c>
      <c r="F24" s="544"/>
      <c r="G24" s="516" t="s">
        <v>0</v>
      </c>
    </row>
    <row r="25" spans="1:7" ht="24" customHeight="1">
      <c r="A25" s="541" t="s">
        <v>145</v>
      </c>
      <c r="B25" s="542">
        <v>16688.299999999348</v>
      </c>
      <c r="C25" s="542">
        <v>163279.29999999996</v>
      </c>
      <c r="D25" s="542">
        <v>92494.799999999377</v>
      </c>
      <c r="E25" s="545">
        <v>1.566482095403394</v>
      </c>
      <c r="F25" s="544"/>
      <c r="G25" s="516" t="s">
        <v>0</v>
      </c>
    </row>
    <row r="26" spans="1:7" ht="24" customHeight="1">
      <c r="A26" s="541" t="s">
        <v>146</v>
      </c>
      <c r="B26" s="542">
        <v>-27979.605440000072</v>
      </c>
      <c r="C26" s="542">
        <v>163563.61800000002</v>
      </c>
      <c r="D26" s="542">
        <v>-42671.784440000076</v>
      </c>
      <c r="E26" s="545">
        <v>0.73911200448011571</v>
      </c>
      <c r="F26" s="544"/>
      <c r="G26" s="516" t="s">
        <v>0</v>
      </c>
    </row>
    <row r="27" spans="1:7" ht="24" customHeight="1">
      <c r="A27" s="541" t="s">
        <v>147</v>
      </c>
      <c r="B27" s="542">
        <v>7827</v>
      </c>
      <c r="C27" s="542">
        <v>52609</v>
      </c>
      <c r="D27" s="542">
        <v>12484</v>
      </c>
      <c r="E27" s="545">
        <v>1.2372978007565245</v>
      </c>
      <c r="F27" s="544"/>
    </row>
    <row r="28" spans="1:7" ht="24" customHeight="1">
      <c r="A28" s="541" t="s">
        <v>648</v>
      </c>
      <c r="B28" s="542">
        <v>-90504.896970001049</v>
      </c>
      <c r="C28" s="542">
        <v>205686.63953000004</v>
      </c>
      <c r="D28" s="542">
        <v>-124977.84745000111</v>
      </c>
      <c r="E28" s="545">
        <v>0.39238713931260133</v>
      </c>
      <c r="F28" s="544"/>
    </row>
    <row r="29" spans="1:7" ht="24" customHeight="1">
      <c r="A29" s="541" t="s">
        <v>148</v>
      </c>
      <c r="B29" s="542">
        <v>359353.59808000177</v>
      </c>
      <c r="C29" s="542">
        <v>334275.45699999999</v>
      </c>
      <c r="D29" s="542">
        <v>555687.58883000189</v>
      </c>
      <c r="E29" s="543">
        <v>2.6623643082178234</v>
      </c>
      <c r="F29" s="544"/>
      <c r="G29" s="516" t="s">
        <v>0</v>
      </c>
    </row>
    <row r="30" spans="1:7" ht="24" customHeight="1">
      <c r="A30" s="541" t="s">
        <v>150</v>
      </c>
      <c r="B30" s="542">
        <v>95701.200000000186</v>
      </c>
      <c r="C30" s="542">
        <v>181261.89999999997</v>
      </c>
      <c r="D30" s="542">
        <v>97203.200000000244</v>
      </c>
      <c r="E30" s="545">
        <v>1.5362583091096378</v>
      </c>
      <c r="F30" s="544"/>
      <c r="G30" s="516" t="s">
        <v>0</v>
      </c>
    </row>
    <row r="31" spans="1:7" ht="24" customHeight="1">
      <c r="A31" s="541" t="s">
        <v>151</v>
      </c>
      <c r="B31" s="542">
        <v>59.688459999393672</v>
      </c>
      <c r="C31" s="542">
        <v>47300.251999999993</v>
      </c>
      <c r="D31" s="542">
        <v>4340.7343899994012</v>
      </c>
      <c r="E31" s="545">
        <v>1.0917697941651432</v>
      </c>
      <c r="F31" s="544"/>
      <c r="G31" s="516" t="s">
        <v>0</v>
      </c>
    </row>
    <row r="32" spans="1:7" ht="24" customHeight="1">
      <c r="A32" s="541" t="s">
        <v>649</v>
      </c>
      <c r="B32" s="542">
        <v>-20824.160380000249</v>
      </c>
      <c r="C32" s="542">
        <v>493414.52964999998</v>
      </c>
      <c r="D32" s="542">
        <v>-49789.55928000022</v>
      </c>
      <c r="E32" s="545">
        <v>0.89909182586228642</v>
      </c>
      <c r="F32" s="546"/>
    </row>
    <row r="33" spans="1:6" ht="24" customHeight="1">
      <c r="A33" s="547" t="s">
        <v>152</v>
      </c>
      <c r="B33" s="548">
        <v>1002.9690800000681</v>
      </c>
      <c r="C33" s="548">
        <v>34034.161719999996</v>
      </c>
      <c r="D33" s="548">
        <v>19815.456360000069</v>
      </c>
      <c r="E33" s="549">
        <v>1.5822225481274488</v>
      </c>
      <c r="F33" s="550"/>
    </row>
    <row r="34" spans="1:6" ht="16">
      <c r="A34" s="551"/>
      <c r="B34" s="552"/>
      <c r="C34" s="552"/>
      <c r="D34" s="552"/>
      <c r="E34" s="553"/>
      <c r="F34" s="554"/>
    </row>
    <row r="35" spans="1:6" ht="16">
      <c r="A35" s="555" t="s">
        <v>154</v>
      </c>
      <c r="B35" s="556">
        <v>-25546.967140001128</v>
      </c>
      <c r="C35" s="557">
        <v>4639967.236680001</v>
      </c>
      <c r="D35" s="556">
        <v>-786467.4453700009</v>
      </c>
      <c r="E35" s="558">
        <v>0.88239362566060364</v>
      </c>
      <c r="F35" s="554"/>
    </row>
    <row r="36" spans="1:6" ht="17" thickBot="1">
      <c r="A36" s="569">
        <v>0</v>
      </c>
      <c r="B36" s="560"/>
      <c r="C36" s="560"/>
      <c r="D36" s="560"/>
      <c r="E36" s="560"/>
      <c r="F36" s="561"/>
    </row>
    <row r="37" spans="1:6" ht="17" thickTop="1">
      <c r="A37" s="517" t="s">
        <v>650</v>
      </c>
      <c r="B37" s="562"/>
      <c r="C37" s="562"/>
      <c r="D37" s="562"/>
      <c r="E37" s="562"/>
      <c r="F37" s="562"/>
    </row>
    <row r="38" spans="1:6">
      <c r="A38" s="517" t="s">
        <v>651</v>
      </c>
      <c r="B38" s="517"/>
      <c r="C38" s="517"/>
      <c r="D38" s="517"/>
      <c r="E38" s="517"/>
      <c r="F38" s="517"/>
    </row>
    <row r="39" spans="1:6">
      <c r="A39" s="517" t="s">
        <v>652</v>
      </c>
      <c r="B39" s="517"/>
      <c r="C39" s="517"/>
      <c r="D39" s="517"/>
      <c r="E39" s="517"/>
      <c r="F39" s="517"/>
    </row>
    <row r="40" spans="1:6">
      <c r="A40" s="517"/>
      <c r="B40" s="517"/>
      <c r="C40" s="517"/>
      <c r="D40" s="517"/>
      <c r="E40" s="517"/>
      <c r="F40" s="517"/>
    </row>
    <row r="41" spans="1:6">
      <c r="A41" s="517"/>
      <c r="B41" s="517"/>
      <c r="C41" s="517"/>
      <c r="D41" s="517"/>
      <c r="E41" s="517"/>
    </row>
    <row r="42" spans="1:6">
      <c r="B42" s="517"/>
      <c r="C42" s="517"/>
      <c r="D42" s="517"/>
      <c r="E42" s="517"/>
    </row>
    <row r="43" spans="1:6">
      <c r="B43" s="517"/>
      <c r="C43" s="517"/>
      <c r="D43" s="517"/>
      <c r="E43" s="517"/>
    </row>
    <row r="44" spans="1:6">
      <c r="B44" s="517"/>
      <c r="C44" s="517"/>
      <c r="D44" s="517"/>
      <c r="E44" s="517"/>
    </row>
    <row r="45" spans="1:6">
      <c r="B45" s="517"/>
      <c r="C45" s="517"/>
      <c r="D45" s="517"/>
      <c r="E45" s="517"/>
    </row>
    <row r="46" spans="1:6">
      <c r="A46" s="517"/>
      <c r="B46" s="517"/>
      <c r="C46" s="517"/>
      <c r="D46" s="517"/>
      <c r="E46" s="517"/>
    </row>
  </sheetData>
  <pageMargins left="0.6692913385826772" right="0.55118110236220474" top="0.98425196850393704" bottom="0.74803149606299213" header="0.51181102362204722" footer="0.47244094488188981"/>
  <pageSetup paperSize="9" scale="91" orientation="portrait" horizontalDpi="300" verticalDpi="300" r:id="rId1"/>
  <headerFooter alignWithMargins="0">
    <oddHeader>&amp;LFachgruppe für kantonale Finanzfragen (FkF)
Groupe d'étude pour les finances cantonales&amp;RZürich, 26.04.2016</oddHeader>
    <oddFooter>&amp;LQuelle: FkF Mai 2016&amp;RBlatt &amp;P /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F40"/>
  <sheetViews>
    <sheetView view="pageLayout" topLeftCell="A22" zoomScaleNormal="100" workbookViewId="0">
      <selection activeCell="E10" sqref="E10"/>
    </sheetView>
  </sheetViews>
  <sheetFormatPr baseColWidth="10" defaultColWidth="11.5" defaultRowHeight="13"/>
  <cols>
    <col min="1" max="1" width="28.5" style="516" customWidth="1"/>
    <col min="2" max="2" width="17.1640625" style="516" customWidth="1"/>
    <col min="3" max="3" width="13.5" style="516" customWidth="1"/>
    <col min="4" max="4" width="14.83203125" style="516" customWidth="1"/>
    <col min="5" max="5" width="19" style="516" bestFit="1" customWidth="1"/>
    <col min="6" max="6" width="2.1640625" style="516" customWidth="1"/>
    <col min="7" max="16384" width="11.5" style="516"/>
  </cols>
  <sheetData>
    <row r="1" spans="1:6">
      <c r="B1" s="517"/>
      <c r="C1" s="517"/>
      <c r="D1" s="517"/>
      <c r="E1" s="517"/>
      <c r="F1" s="517"/>
    </row>
    <row r="2" spans="1:6" ht="16">
      <c r="A2" s="518" t="s">
        <v>656</v>
      </c>
    </row>
    <row r="3" spans="1:6" ht="17" thickBot="1">
      <c r="A3" s="518" t="s">
        <v>657</v>
      </c>
      <c r="B3" s="517"/>
      <c r="C3" s="517"/>
      <c r="D3" s="517"/>
      <c r="E3" s="517"/>
      <c r="F3" s="517"/>
    </row>
    <row r="4" spans="1:6" ht="14" thickTop="1">
      <c r="A4" s="519" t="s">
        <v>637</v>
      </c>
      <c r="B4" s="520" t="s">
        <v>638</v>
      </c>
      <c r="C4" s="520" t="s">
        <v>1</v>
      </c>
      <c r="D4" s="520" t="s">
        <v>639</v>
      </c>
      <c r="E4" s="521" t="s">
        <v>3</v>
      </c>
      <c r="F4" s="522"/>
    </row>
    <row r="5" spans="1:6">
      <c r="A5" s="523" t="s">
        <v>640</v>
      </c>
      <c r="B5" s="524" t="s">
        <v>641</v>
      </c>
      <c r="C5" s="524" t="s">
        <v>2</v>
      </c>
      <c r="D5" s="524" t="s">
        <v>642</v>
      </c>
      <c r="E5" s="525" t="s">
        <v>4</v>
      </c>
      <c r="F5" s="526"/>
    </row>
    <row r="6" spans="1:6">
      <c r="A6" s="527"/>
      <c r="B6" s="528" t="s">
        <v>643</v>
      </c>
      <c r="C6" s="528"/>
      <c r="D6" s="529"/>
      <c r="E6" s="530"/>
      <c r="F6" s="526"/>
    </row>
    <row r="7" spans="1:6" ht="28.5" customHeight="1">
      <c r="A7" s="531"/>
      <c r="B7" s="566" t="s">
        <v>644</v>
      </c>
      <c r="C7" s="567"/>
      <c r="D7" s="567"/>
      <c r="E7" s="535"/>
      <c r="F7" s="536"/>
    </row>
    <row r="8" spans="1:6" ht="24" customHeight="1">
      <c r="A8" s="570" t="s">
        <v>6</v>
      </c>
      <c r="B8" s="571">
        <v>68506.496930001304</v>
      </c>
      <c r="C8" s="538">
        <v>958271.5</v>
      </c>
      <c r="D8" s="538">
        <v>-262966.07606999867</v>
      </c>
      <c r="E8" s="572">
        <v>0.72558291040691636</v>
      </c>
      <c r="F8" s="540"/>
    </row>
    <row r="9" spans="1:6" ht="24" customHeight="1">
      <c r="A9" s="541" t="s">
        <v>85</v>
      </c>
      <c r="B9" s="542">
        <v>219479.17033999972</v>
      </c>
      <c r="C9" s="542">
        <v>528723.42499999993</v>
      </c>
      <c r="D9" s="542">
        <v>131548.69591999985</v>
      </c>
      <c r="E9" s="543">
        <v>1.2488043648151204</v>
      </c>
      <c r="F9" s="544"/>
    </row>
    <row r="10" spans="1:6" ht="24" customHeight="1">
      <c r="A10" s="541" t="s">
        <v>86</v>
      </c>
      <c r="B10" s="542">
        <v>-21195.317000000738</v>
      </c>
      <c r="C10" s="542">
        <v>143154.87899999999</v>
      </c>
      <c r="D10" s="542">
        <v>-26707.654000000708</v>
      </c>
      <c r="E10" s="545">
        <v>0.81343525148031659</v>
      </c>
      <c r="F10" s="544"/>
    </row>
    <row r="11" spans="1:6" ht="24" customHeight="1">
      <c r="A11" s="541" t="s">
        <v>87</v>
      </c>
      <c r="B11" s="542">
        <v>319.09999999997672</v>
      </c>
      <c r="C11" s="542">
        <v>22435.300000000003</v>
      </c>
      <c r="D11" s="542">
        <v>-10689.900000000027</v>
      </c>
      <c r="E11" s="545">
        <v>0.52352319781772361</v>
      </c>
      <c r="F11" s="544"/>
    </row>
    <row r="12" spans="1:6" ht="24" customHeight="1">
      <c r="A12" s="541" t="s">
        <v>88</v>
      </c>
      <c r="B12" s="542">
        <v>-55237.199999999721</v>
      </c>
      <c r="C12" s="542">
        <v>45722</v>
      </c>
      <c r="D12" s="542">
        <v>-1172.1999999997206</v>
      </c>
      <c r="E12" s="543">
        <v>0.97436245133634314</v>
      </c>
      <c r="F12" s="544"/>
    </row>
    <row r="13" spans="1:6" ht="24" customHeight="1">
      <c r="A13" s="541" t="s">
        <v>90</v>
      </c>
      <c r="B13" s="542">
        <v>-7441</v>
      </c>
      <c r="C13" s="542">
        <v>14748</v>
      </c>
      <c r="D13" s="542">
        <v>-21485</v>
      </c>
      <c r="E13" s="545" t="s">
        <v>89</v>
      </c>
      <c r="F13" s="544"/>
    </row>
    <row r="14" spans="1:6" ht="24" customHeight="1">
      <c r="A14" s="541" t="s">
        <v>91</v>
      </c>
      <c r="B14" s="542">
        <v>-2067.7999999999884</v>
      </c>
      <c r="C14" s="542">
        <v>15516.3</v>
      </c>
      <c r="D14" s="542">
        <v>-16430.099999999988</v>
      </c>
      <c r="E14" s="545" t="s">
        <v>89</v>
      </c>
      <c r="F14" s="544"/>
    </row>
    <row r="15" spans="1:6" ht="24" customHeight="1">
      <c r="A15" s="541" t="s">
        <v>92</v>
      </c>
      <c r="B15" s="542">
        <v>-13086.29999999993</v>
      </c>
      <c r="C15" s="542">
        <v>18164</v>
      </c>
      <c r="D15" s="542">
        <v>-17895.999999999931</v>
      </c>
      <c r="E15" s="545">
        <v>1.4754459370186584E-2</v>
      </c>
      <c r="F15" s="544"/>
    </row>
    <row r="16" spans="1:6" ht="24" customHeight="1">
      <c r="A16" s="541" t="s">
        <v>93</v>
      </c>
      <c r="B16" s="542">
        <v>-170343.76</v>
      </c>
      <c r="C16" s="542">
        <v>110118.2</v>
      </c>
      <c r="D16" s="542">
        <v>-199581.96000000002</v>
      </c>
      <c r="E16" s="545" t="s">
        <v>89</v>
      </c>
      <c r="F16" s="544"/>
    </row>
    <row r="17" spans="1:6" ht="24" customHeight="1">
      <c r="A17" s="541" t="s">
        <v>95</v>
      </c>
      <c r="B17" s="542">
        <v>507</v>
      </c>
      <c r="C17" s="542">
        <v>129650</v>
      </c>
      <c r="D17" s="542">
        <v>-29231</v>
      </c>
      <c r="E17" s="545">
        <v>0.77453914384882372</v>
      </c>
      <c r="F17" s="544"/>
    </row>
    <row r="18" spans="1:6" ht="24" customHeight="1">
      <c r="A18" s="541" t="s">
        <v>140</v>
      </c>
      <c r="B18" s="542">
        <v>-65227.999999999534</v>
      </c>
      <c r="C18" s="542">
        <v>127043.4</v>
      </c>
      <c r="D18" s="542">
        <v>-91693.399999999529</v>
      </c>
      <c r="E18" s="543">
        <v>0.27825136921713733</v>
      </c>
      <c r="F18" s="544"/>
    </row>
    <row r="19" spans="1:6" ht="24" customHeight="1">
      <c r="A19" s="541" t="s">
        <v>645</v>
      </c>
      <c r="B19" s="542">
        <v>-952125.92800000031</v>
      </c>
      <c r="C19" s="542">
        <v>529588.32399999991</v>
      </c>
      <c r="D19" s="542">
        <v>-686073.15000000014</v>
      </c>
      <c r="E19" s="543" t="s">
        <v>89</v>
      </c>
      <c r="F19" s="544"/>
    </row>
    <row r="20" spans="1:6" ht="24" customHeight="1">
      <c r="A20" s="541" t="s">
        <v>646</v>
      </c>
      <c r="B20" s="542">
        <v>-41050.800000000279</v>
      </c>
      <c r="C20" s="542">
        <v>195143.8</v>
      </c>
      <c r="D20" s="542">
        <v>-176121.70000000027</v>
      </c>
      <c r="E20" s="545">
        <v>9.7477347474015139E-2</v>
      </c>
      <c r="F20" s="544"/>
    </row>
    <row r="21" spans="1:6" ht="24" customHeight="1">
      <c r="A21" s="541" t="s">
        <v>141</v>
      </c>
      <c r="B21" s="542">
        <v>-16123.199999999953</v>
      </c>
      <c r="C21" s="542">
        <v>25037.8</v>
      </c>
      <c r="D21" s="542">
        <v>-22735.299999999952</v>
      </c>
      <c r="E21" s="545">
        <v>9.1960955035987488E-2</v>
      </c>
      <c r="F21" s="544"/>
    </row>
    <row r="22" spans="1:6" ht="24" customHeight="1">
      <c r="A22" s="541" t="s">
        <v>647</v>
      </c>
      <c r="B22" s="542">
        <v>10912.399999999965</v>
      </c>
      <c r="C22" s="542">
        <v>27243.5</v>
      </c>
      <c r="D22" s="542">
        <v>-13777.200000000033</v>
      </c>
      <c r="E22" s="545">
        <v>0.4942940517921694</v>
      </c>
      <c r="F22" s="544"/>
    </row>
    <row r="23" spans="1:6" ht="24" customHeight="1">
      <c r="A23" s="541" t="s">
        <v>142</v>
      </c>
      <c r="B23" s="542">
        <v>-1968.5</v>
      </c>
      <c r="C23" s="542">
        <v>18795</v>
      </c>
      <c r="D23" s="542">
        <v>-17006.5</v>
      </c>
      <c r="E23" s="545">
        <v>9.5158286778398507E-2</v>
      </c>
      <c r="F23" s="544"/>
    </row>
    <row r="24" spans="1:6" ht="24" customHeight="1">
      <c r="A24" s="541" t="s">
        <v>144</v>
      </c>
      <c r="B24" s="542">
        <v>-30898.100000000559</v>
      </c>
      <c r="C24" s="542">
        <v>266249.8</v>
      </c>
      <c r="D24" s="542">
        <v>-151199.10000000053</v>
      </c>
      <c r="E24" s="545">
        <v>0.43211562975821755</v>
      </c>
      <c r="F24" s="544"/>
    </row>
    <row r="25" spans="1:6" ht="24" customHeight="1">
      <c r="A25" s="541" t="s">
        <v>145</v>
      </c>
      <c r="B25" s="542">
        <v>-50816</v>
      </c>
      <c r="C25" s="542">
        <v>247225</v>
      </c>
      <c r="D25" s="542">
        <v>-91575</v>
      </c>
      <c r="E25" s="545">
        <v>0.62958843159065625</v>
      </c>
      <c r="F25" s="544"/>
    </row>
    <row r="26" spans="1:6" ht="24" customHeight="1">
      <c r="A26" s="541" t="s">
        <v>146</v>
      </c>
      <c r="B26" s="542">
        <v>-27485.345000000671</v>
      </c>
      <c r="C26" s="542">
        <v>171014.59600000002</v>
      </c>
      <c r="D26" s="542">
        <v>-89987.248000000676</v>
      </c>
      <c r="E26" s="545">
        <v>0.47380369801884825</v>
      </c>
      <c r="F26" s="544"/>
    </row>
    <row r="27" spans="1:6" ht="24" customHeight="1">
      <c r="A27" s="541" t="s">
        <v>147</v>
      </c>
      <c r="B27" s="542">
        <v>-7866</v>
      </c>
      <c r="C27" s="542">
        <v>59406</v>
      </c>
      <c r="D27" s="542">
        <v>-53149</v>
      </c>
      <c r="E27" s="545">
        <v>0.10532606134060532</v>
      </c>
      <c r="F27" s="544"/>
    </row>
    <row r="28" spans="1:6" ht="24" customHeight="1">
      <c r="A28" s="541" t="s">
        <v>648</v>
      </c>
      <c r="B28" s="542">
        <v>-87887.689999999944</v>
      </c>
      <c r="C28" s="542">
        <v>210650.2</v>
      </c>
      <c r="D28" s="542">
        <v>-117257.88999999996</v>
      </c>
      <c r="E28" s="545">
        <v>0.44335258167331459</v>
      </c>
      <c r="F28" s="544"/>
    </row>
    <row r="29" spans="1:6" ht="24" customHeight="1">
      <c r="A29" s="541" t="s">
        <v>148</v>
      </c>
      <c r="B29" s="542">
        <v>1537.4999999981374</v>
      </c>
      <c r="C29" s="542">
        <v>437930</v>
      </c>
      <c r="D29" s="542">
        <v>-215842.90000000186</v>
      </c>
      <c r="E29" s="543">
        <v>0.50712922156508611</v>
      </c>
      <c r="F29" s="544"/>
    </row>
    <row r="30" spans="1:6" ht="24" customHeight="1">
      <c r="A30" s="541" t="s">
        <v>150</v>
      </c>
      <c r="B30" s="542">
        <v>0</v>
      </c>
      <c r="C30" s="542">
        <v>189954.09999999998</v>
      </c>
      <c r="D30" s="542">
        <v>42756.400000000023</v>
      </c>
      <c r="E30" s="545">
        <v>1.2250880607473069</v>
      </c>
      <c r="F30" s="544"/>
    </row>
    <row r="31" spans="1:6" ht="24" customHeight="1">
      <c r="A31" s="541" t="s">
        <v>151</v>
      </c>
      <c r="B31" s="542">
        <v>-14371.682909999974</v>
      </c>
      <c r="C31" s="542">
        <v>61487.840000000011</v>
      </c>
      <c r="D31" s="542">
        <v>-24739.402229999985</v>
      </c>
      <c r="E31" s="545">
        <v>0.59765374373209434</v>
      </c>
      <c r="F31" s="544"/>
    </row>
    <row r="32" spans="1:6" ht="24" customHeight="1">
      <c r="A32" s="541" t="s">
        <v>649</v>
      </c>
      <c r="B32" s="542">
        <v>9432.3549999995157</v>
      </c>
      <c r="C32" s="542">
        <v>770971.81500000018</v>
      </c>
      <c r="D32" s="542">
        <v>-316864.81700000068</v>
      </c>
      <c r="E32" s="509">
        <v>0.58900596515321302</v>
      </c>
      <c r="F32" s="546"/>
    </row>
    <row r="33" spans="1:6" ht="24" customHeight="1">
      <c r="A33" s="573" t="s">
        <v>152</v>
      </c>
      <c r="B33" s="548">
        <v>-6799.4000000001397</v>
      </c>
      <c r="C33" s="548">
        <v>35919.300000000003</v>
      </c>
      <c r="D33" s="548">
        <v>-17012.700000000143</v>
      </c>
      <c r="E33" s="549">
        <v>0.5263632643175078</v>
      </c>
      <c r="F33" s="550"/>
    </row>
    <row r="34" spans="1:6" ht="16">
      <c r="A34" s="551"/>
      <c r="B34" s="552"/>
      <c r="C34" s="552"/>
      <c r="D34" s="552"/>
      <c r="E34" s="553"/>
      <c r="F34" s="554"/>
    </row>
    <row r="35" spans="1:6" ht="16">
      <c r="A35" s="555" t="s">
        <v>154</v>
      </c>
      <c r="B35" s="556">
        <v>-1261298.0006400032</v>
      </c>
      <c r="C35" s="557">
        <v>5360164.078999999</v>
      </c>
      <c r="D35" s="556">
        <v>-2496890.1013800032</v>
      </c>
      <c r="E35" s="558">
        <v>0.65193783620573387</v>
      </c>
      <c r="F35" s="554"/>
    </row>
    <row r="36" spans="1:6" ht="17" thickBot="1">
      <c r="A36" s="559">
        <v>0</v>
      </c>
      <c r="B36" s="560"/>
      <c r="C36" s="560"/>
      <c r="D36" s="560"/>
      <c r="E36" s="560"/>
      <c r="F36" s="561"/>
    </row>
    <row r="37" spans="1:6" ht="17" thickTop="1">
      <c r="A37" s="517" t="s">
        <v>650</v>
      </c>
      <c r="B37" s="562"/>
      <c r="C37" s="562"/>
      <c r="D37" s="562"/>
      <c r="E37" s="562"/>
      <c r="F37" s="562"/>
    </row>
    <row r="38" spans="1:6">
      <c r="A38" s="516" t="s">
        <v>651</v>
      </c>
      <c r="B38" s="517"/>
      <c r="C38" s="517"/>
      <c r="D38" s="517"/>
      <c r="E38" s="517"/>
      <c r="F38" s="517"/>
    </row>
    <row r="39" spans="1:6">
      <c r="A39" s="516" t="s">
        <v>652</v>
      </c>
      <c r="B39" s="517"/>
      <c r="C39" s="517"/>
      <c r="D39" s="517"/>
      <c r="E39" s="517"/>
      <c r="F39" s="517"/>
    </row>
    <row r="40" spans="1:6">
      <c r="B40" s="517"/>
      <c r="C40" s="517"/>
      <c r="D40" s="517"/>
      <c r="E40" s="517"/>
      <c r="F40" s="517"/>
    </row>
  </sheetData>
  <pageMargins left="0.6692913385826772" right="0.55118110236220474" top="0.98425196850393704" bottom="0.74803149606299213" header="0.51181102362204722" footer="0.47244094488188981"/>
  <pageSetup paperSize="9" scale="91" orientation="portrait" horizontalDpi="300" verticalDpi="300" r:id="rId1"/>
  <headerFooter alignWithMargins="0">
    <oddHeader>&amp;LFachgruppe für kantonale Finanzfragen (FkF)
Groupe d'étude pour les finances cantonales&amp;RZürich, 26.04.2016</oddHeader>
    <oddFooter>&amp;LQuelle: FkF Mai 2016&amp;RBlatt &amp;P /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H62"/>
  <sheetViews>
    <sheetView view="pageLayout" topLeftCell="A25" zoomScaleNormal="100" workbookViewId="0">
      <selection activeCell="E11" sqref="E11"/>
    </sheetView>
  </sheetViews>
  <sheetFormatPr baseColWidth="10" defaultColWidth="11.5" defaultRowHeight="13"/>
  <cols>
    <col min="1" max="1" width="23.83203125" style="614" customWidth="1"/>
    <col min="2" max="2" width="14.6640625" style="615" customWidth="1"/>
    <col min="3" max="3" width="17.1640625" style="615" customWidth="1"/>
    <col min="4" max="4" width="13.6640625" style="615" customWidth="1"/>
    <col min="5" max="5" width="15.33203125" style="615" customWidth="1"/>
    <col min="6" max="6" width="13.5" style="615" customWidth="1"/>
    <col min="7" max="7" width="2.1640625" style="516" customWidth="1"/>
    <col min="8" max="8" width="11.5" style="579" customWidth="1"/>
    <col min="9" max="51" width="11.5" style="516" customWidth="1"/>
    <col min="52" max="16384" width="11.5" style="516"/>
  </cols>
  <sheetData>
    <row r="1" spans="1:8" s="575" customFormat="1" ht="37.5" customHeight="1" thickBot="1">
      <c r="A1" s="684" t="s">
        <v>658</v>
      </c>
      <c r="B1" s="685"/>
      <c r="C1" s="684"/>
      <c r="D1" s="684"/>
      <c r="E1" s="684"/>
      <c r="F1" s="684"/>
      <c r="G1" s="517"/>
      <c r="H1" s="574"/>
    </row>
    <row r="2" spans="1:8" ht="15" customHeight="1" thickTop="1">
      <c r="A2" s="576" t="s">
        <v>637</v>
      </c>
      <c r="B2" s="577" t="s">
        <v>9</v>
      </c>
      <c r="C2" s="577" t="s">
        <v>7</v>
      </c>
      <c r="D2" s="577" t="s">
        <v>659</v>
      </c>
      <c r="E2" s="577" t="s">
        <v>9</v>
      </c>
      <c r="F2" s="578" t="s">
        <v>659</v>
      </c>
      <c r="G2" s="522"/>
    </row>
    <row r="3" spans="1:8" ht="14">
      <c r="A3" s="580" t="s">
        <v>640</v>
      </c>
      <c r="B3" s="581" t="s">
        <v>9</v>
      </c>
      <c r="C3" s="581" t="s">
        <v>669</v>
      </c>
      <c r="D3" s="582" t="s">
        <v>670</v>
      </c>
      <c r="E3" s="581" t="s">
        <v>9</v>
      </c>
      <c r="F3" s="583" t="s">
        <v>667</v>
      </c>
      <c r="G3" s="584"/>
    </row>
    <row r="4" spans="1:8" ht="18" customHeight="1">
      <c r="A4" s="585">
        <v>0</v>
      </c>
      <c r="B4" s="586">
        <v>2015</v>
      </c>
      <c r="C4" s="586">
        <v>2015</v>
      </c>
      <c r="D4" s="587"/>
      <c r="E4" s="586">
        <v>2016</v>
      </c>
      <c r="F4" s="588"/>
      <c r="G4" s="589"/>
    </row>
    <row r="5" spans="1:8" s="596" customFormat="1" ht="25.5" customHeight="1">
      <c r="A5" s="590"/>
      <c r="B5" s="566"/>
      <c r="C5" s="566" t="s">
        <v>644</v>
      </c>
      <c r="D5" s="591"/>
      <c r="E5" s="592"/>
      <c r="F5" s="593"/>
      <c r="G5" s="594"/>
      <c r="H5" s="595"/>
    </row>
    <row r="6" spans="1:8" s="596" customFormat="1" ht="24" customHeight="1">
      <c r="A6" s="597" t="s">
        <v>6</v>
      </c>
      <c r="B6" s="598">
        <v>26554.366350002587</v>
      </c>
      <c r="C6" s="598">
        <v>17915.973540000618</v>
      </c>
      <c r="D6" s="598">
        <v>-8638.3928100019693</v>
      </c>
      <c r="E6" s="598">
        <v>68506.496930001304</v>
      </c>
      <c r="F6" s="598">
        <v>50590.523390000686</v>
      </c>
      <c r="G6" s="599"/>
      <c r="H6" s="595"/>
    </row>
    <row r="7" spans="1:8" s="596" customFormat="1" ht="24" customHeight="1">
      <c r="A7" s="570" t="s">
        <v>85</v>
      </c>
      <c r="B7" s="571">
        <v>124320.29999999888</v>
      </c>
      <c r="C7" s="571">
        <v>169731.70882000029</v>
      </c>
      <c r="D7" s="571">
        <v>45411.408820001408</v>
      </c>
      <c r="E7" s="571">
        <v>219479.17033999972</v>
      </c>
      <c r="F7" s="571">
        <v>49747.46151999943</v>
      </c>
      <c r="G7" s="544"/>
      <c r="H7" s="595"/>
    </row>
    <row r="8" spans="1:8" s="596" customFormat="1" ht="24" customHeight="1">
      <c r="A8" s="570" t="s">
        <v>86</v>
      </c>
      <c r="B8" s="571">
        <v>-24255.360500000883</v>
      </c>
      <c r="C8" s="571">
        <v>23304.560000000056</v>
      </c>
      <c r="D8" s="571">
        <v>47559.920500000939</v>
      </c>
      <c r="E8" s="571">
        <v>-21195.317000000738</v>
      </c>
      <c r="F8" s="571">
        <v>-44499.877000000793</v>
      </c>
      <c r="G8" s="544"/>
      <c r="H8" s="595"/>
    </row>
    <row r="9" spans="1:8" s="596" customFormat="1" ht="24" customHeight="1">
      <c r="A9" s="570" t="s">
        <v>87</v>
      </c>
      <c r="B9" s="571">
        <v>5391.8999999999651</v>
      </c>
      <c r="C9" s="571">
        <v>21076.700000000012</v>
      </c>
      <c r="D9" s="571">
        <v>15684.800000000047</v>
      </c>
      <c r="E9" s="571">
        <v>319.09999999997672</v>
      </c>
      <c r="F9" s="571">
        <v>-20757.600000000035</v>
      </c>
      <c r="G9" s="544"/>
      <c r="H9" s="595"/>
    </row>
    <row r="10" spans="1:8" s="596" customFormat="1" ht="24" customHeight="1">
      <c r="A10" s="570" t="s">
        <v>88</v>
      </c>
      <c r="B10" s="571">
        <v>-65534</v>
      </c>
      <c r="C10" s="571">
        <v>10398.59999999986</v>
      </c>
      <c r="D10" s="571">
        <v>75932.59999999986</v>
      </c>
      <c r="E10" s="571">
        <v>-55237.199999999721</v>
      </c>
      <c r="F10" s="571">
        <v>-65635.799999999581</v>
      </c>
      <c r="G10" s="544"/>
      <c r="H10" s="595"/>
    </row>
    <row r="11" spans="1:8" s="596" customFormat="1" ht="24" customHeight="1">
      <c r="A11" s="570" t="s">
        <v>90</v>
      </c>
      <c r="B11" s="571">
        <v>-7943</v>
      </c>
      <c r="C11" s="571">
        <v>-2500</v>
      </c>
      <c r="D11" s="571">
        <v>5443</v>
      </c>
      <c r="E11" s="571">
        <v>-7441</v>
      </c>
      <c r="F11" s="571">
        <v>-4941</v>
      </c>
      <c r="G11" s="544"/>
      <c r="H11" s="595"/>
    </row>
    <row r="12" spans="1:8" s="596" customFormat="1" ht="24" customHeight="1">
      <c r="A12" s="570" t="s">
        <v>91</v>
      </c>
      <c r="B12" s="571">
        <v>-11759</v>
      </c>
      <c r="C12" s="571">
        <v>554.09999999991851</v>
      </c>
      <c r="D12" s="571">
        <v>12313.099999999919</v>
      </c>
      <c r="E12" s="571">
        <v>-2067.7999999999884</v>
      </c>
      <c r="F12" s="571">
        <v>-2621.8999999999069</v>
      </c>
      <c r="G12" s="544"/>
      <c r="H12" s="595"/>
    </row>
    <row r="13" spans="1:8" s="596" customFormat="1" ht="24" customHeight="1">
      <c r="A13" s="570" t="s">
        <v>92</v>
      </c>
      <c r="B13" s="571">
        <v>-4863</v>
      </c>
      <c r="C13" s="571">
        <v>2385.7999999999302</v>
      </c>
      <c r="D13" s="571">
        <v>7248.7999999999302</v>
      </c>
      <c r="E13" s="571">
        <v>-13086.29999999993</v>
      </c>
      <c r="F13" s="571">
        <v>-15472.09999999986</v>
      </c>
      <c r="G13" s="544"/>
      <c r="H13" s="595"/>
    </row>
    <row r="14" spans="1:8" s="596" customFormat="1" ht="24" customHeight="1">
      <c r="A14" s="570" t="s">
        <v>93</v>
      </c>
      <c r="B14" s="571">
        <v>-129163.02560000028</v>
      </c>
      <c r="C14" s="571">
        <v>-87943.500000000233</v>
      </c>
      <c r="D14" s="571">
        <v>41219.525600000052</v>
      </c>
      <c r="E14" s="571">
        <v>-170343.76</v>
      </c>
      <c r="F14" s="571">
        <v>-82400.259999999776</v>
      </c>
      <c r="G14" s="544"/>
      <c r="H14" s="595"/>
    </row>
    <row r="15" spans="1:8" s="596" customFormat="1" ht="24" customHeight="1">
      <c r="A15" s="570" t="s">
        <v>95</v>
      </c>
      <c r="B15" s="571">
        <v>174</v>
      </c>
      <c r="C15" s="571">
        <v>24008</v>
      </c>
      <c r="D15" s="571">
        <v>23834</v>
      </c>
      <c r="E15" s="571">
        <v>507</v>
      </c>
      <c r="F15" s="571">
        <v>-23501</v>
      </c>
      <c r="G15" s="544"/>
      <c r="H15" s="595"/>
    </row>
    <row r="16" spans="1:8" s="596" customFormat="1" ht="24" customHeight="1">
      <c r="A16" s="570" t="s">
        <v>140</v>
      </c>
      <c r="B16" s="571">
        <v>-73660.670000000158</v>
      </c>
      <c r="C16" s="571">
        <v>-1127552.0000000002</v>
      </c>
      <c r="D16" s="571">
        <v>-1053891.33</v>
      </c>
      <c r="E16" s="571">
        <v>-65227.999999999534</v>
      </c>
      <c r="F16" s="571">
        <v>1062324.0000000007</v>
      </c>
      <c r="G16" s="544"/>
      <c r="H16" s="595"/>
    </row>
    <row r="17" spans="1:8" s="596" customFormat="1" ht="24" customHeight="1">
      <c r="A17" s="570" t="s">
        <v>645</v>
      </c>
      <c r="B17" s="571">
        <v>35907.12799999956</v>
      </c>
      <c r="C17" s="571">
        <v>432447.03149999958</v>
      </c>
      <c r="D17" s="571">
        <v>396539.90350000001</v>
      </c>
      <c r="E17" s="571">
        <v>-952125.92800000031</v>
      </c>
      <c r="F17" s="571">
        <v>-1384572.9594999999</v>
      </c>
      <c r="G17" s="544"/>
      <c r="H17" s="595"/>
    </row>
    <row r="18" spans="1:8" s="596" customFormat="1" ht="24" customHeight="1">
      <c r="A18" s="570" t="s">
        <v>646</v>
      </c>
      <c r="B18" s="571">
        <v>-34983.700000000186</v>
      </c>
      <c r="C18" s="571">
        <v>-25974.499999999534</v>
      </c>
      <c r="D18" s="571">
        <v>9009.2000000006519</v>
      </c>
      <c r="E18" s="571">
        <v>-41050.800000000279</v>
      </c>
      <c r="F18" s="571">
        <v>-15076.300000000745</v>
      </c>
      <c r="G18" s="544"/>
      <c r="H18" s="595"/>
    </row>
    <row r="19" spans="1:8" s="596" customFormat="1" ht="24" customHeight="1">
      <c r="A19" s="570" t="s">
        <v>141</v>
      </c>
      <c r="B19" s="571">
        <v>-10021</v>
      </c>
      <c r="C19" s="571">
        <v>4963.4661700002616</v>
      </c>
      <c r="D19" s="571">
        <v>14984.466170000262</v>
      </c>
      <c r="E19" s="571">
        <v>-16123.199999999953</v>
      </c>
      <c r="F19" s="571">
        <v>-21086.666170000215</v>
      </c>
      <c r="G19" s="544"/>
      <c r="H19" s="595"/>
    </row>
    <row r="20" spans="1:8" s="596" customFormat="1" ht="24" customHeight="1">
      <c r="A20" s="570" t="s">
        <v>647</v>
      </c>
      <c r="B20" s="571">
        <v>12300</v>
      </c>
      <c r="C20" s="571">
        <v>11119.100000000093</v>
      </c>
      <c r="D20" s="571">
        <v>-1180.8999999999069</v>
      </c>
      <c r="E20" s="571">
        <v>10912.399999999965</v>
      </c>
      <c r="F20" s="571">
        <v>-206.70000000012806</v>
      </c>
      <c r="G20" s="544"/>
      <c r="H20" s="595"/>
    </row>
    <row r="21" spans="1:8" s="596" customFormat="1" ht="24" customHeight="1">
      <c r="A21" s="570" t="s">
        <v>142</v>
      </c>
      <c r="B21" s="571">
        <v>-4849.2999999999884</v>
      </c>
      <c r="C21" s="571">
        <v>4698.5999999999767</v>
      </c>
      <c r="D21" s="571">
        <v>9547.8999999999651</v>
      </c>
      <c r="E21" s="571">
        <v>-1968.5</v>
      </c>
      <c r="F21" s="571">
        <v>-6667.0999999999767</v>
      </c>
      <c r="G21" s="544"/>
      <c r="H21" s="595"/>
    </row>
    <row r="22" spans="1:8" s="596" customFormat="1" ht="24" customHeight="1">
      <c r="A22" s="570" t="s">
        <v>144</v>
      </c>
      <c r="B22" s="571">
        <v>-25194.5</v>
      </c>
      <c r="C22" s="571">
        <v>154495.29999999888</v>
      </c>
      <c r="D22" s="571">
        <v>179689.79999999888</v>
      </c>
      <c r="E22" s="571">
        <v>-30898.100000000559</v>
      </c>
      <c r="F22" s="571">
        <v>-185393.39999999944</v>
      </c>
      <c r="G22" s="544"/>
      <c r="H22" s="595"/>
    </row>
    <row r="23" spans="1:8" s="596" customFormat="1" ht="24" customHeight="1">
      <c r="A23" s="570" t="s">
        <v>145</v>
      </c>
      <c r="B23" s="571">
        <v>-54917</v>
      </c>
      <c r="C23" s="571">
        <v>16688.299999999348</v>
      </c>
      <c r="D23" s="571">
        <v>71605.299999999348</v>
      </c>
      <c r="E23" s="571">
        <v>-50816</v>
      </c>
      <c r="F23" s="571">
        <v>-67504.299999999348</v>
      </c>
      <c r="G23" s="544"/>
      <c r="H23" s="595"/>
    </row>
    <row r="24" spans="1:8" s="596" customFormat="1" ht="24" customHeight="1">
      <c r="A24" s="570" t="s">
        <v>146</v>
      </c>
      <c r="B24" s="571">
        <v>-1143.0336100002751</v>
      </c>
      <c r="C24" s="571">
        <v>-27979.605440000072</v>
      </c>
      <c r="D24" s="571">
        <v>-26836.571829999797</v>
      </c>
      <c r="E24" s="571">
        <v>-27485.345000000671</v>
      </c>
      <c r="F24" s="571">
        <v>494.26043999940157</v>
      </c>
      <c r="G24" s="544"/>
      <c r="H24" s="595"/>
    </row>
    <row r="25" spans="1:8" s="596" customFormat="1" ht="24" customHeight="1">
      <c r="A25" s="570" t="s">
        <v>147</v>
      </c>
      <c r="B25" s="571">
        <v>-3152</v>
      </c>
      <c r="C25" s="571">
        <v>7827</v>
      </c>
      <c r="D25" s="571">
        <v>10979</v>
      </c>
      <c r="E25" s="571">
        <v>-7866</v>
      </c>
      <c r="F25" s="571">
        <v>-15693</v>
      </c>
      <c r="G25" s="544"/>
      <c r="H25" s="595"/>
    </row>
    <row r="26" spans="1:8" s="596" customFormat="1" ht="24" customHeight="1">
      <c r="A26" s="570" t="s">
        <v>648</v>
      </c>
      <c r="B26" s="571">
        <v>-120426.69000000041</v>
      </c>
      <c r="C26" s="571">
        <v>-90504.896970001049</v>
      </c>
      <c r="D26" s="571">
        <v>29921.79302999936</v>
      </c>
      <c r="E26" s="571">
        <v>-87887.689999999944</v>
      </c>
      <c r="F26" s="571">
        <v>2617.2069700011052</v>
      </c>
      <c r="G26" s="544"/>
      <c r="H26" s="595"/>
    </row>
    <row r="27" spans="1:8" s="596" customFormat="1" ht="24" customHeight="1">
      <c r="A27" s="570" t="s">
        <v>148</v>
      </c>
      <c r="B27" s="571">
        <v>26191</v>
      </c>
      <c r="C27" s="571">
        <v>359353.59808000177</v>
      </c>
      <c r="D27" s="571">
        <v>333162.59808000177</v>
      </c>
      <c r="E27" s="571">
        <v>1537.4999999981374</v>
      </c>
      <c r="F27" s="571">
        <v>-357816.09808000363</v>
      </c>
      <c r="G27" s="544"/>
      <c r="H27" s="595"/>
    </row>
    <row r="28" spans="1:8" s="596" customFormat="1" ht="24" customHeight="1">
      <c r="A28" s="570" t="s">
        <v>150</v>
      </c>
      <c r="B28" s="571">
        <v>5818.5999999996275</v>
      </c>
      <c r="C28" s="571">
        <v>95701.200000000186</v>
      </c>
      <c r="D28" s="571">
        <v>89882.600000000559</v>
      </c>
      <c r="E28" s="571">
        <v>0</v>
      </c>
      <c r="F28" s="571">
        <v>-95701.200000000186</v>
      </c>
      <c r="G28" s="544"/>
      <c r="H28" s="595"/>
    </row>
    <row r="29" spans="1:8" s="596" customFormat="1" ht="24" customHeight="1">
      <c r="A29" s="570" t="s">
        <v>151</v>
      </c>
      <c r="B29" s="571">
        <v>-11272.680999999866</v>
      </c>
      <c r="C29" s="571">
        <v>59.688459999393672</v>
      </c>
      <c r="D29" s="571">
        <v>11332.36945999926</v>
      </c>
      <c r="E29" s="571">
        <v>-14371.682909999974</v>
      </c>
      <c r="F29" s="571">
        <v>-14431.371369999368</v>
      </c>
      <c r="G29" s="544"/>
      <c r="H29" s="595"/>
    </row>
    <row r="30" spans="1:8" s="596" customFormat="1" ht="24" customHeight="1">
      <c r="A30" s="570" t="s">
        <v>649</v>
      </c>
      <c r="B30" s="571">
        <v>13759.528999999166</v>
      </c>
      <c r="C30" s="571">
        <v>-20824.160380000249</v>
      </c>
      <c r="D30" s="571">
        <v>-34583.689379999414</v>
      </c>
      <c r="E30" s="571">
        <v>9432.3549999995157</v>
      </c>
      <c r="F30" s="571">
        <v>30256.515379999764</v>
      </c>
      <c r="G30" s="544"/>
      <c r="H30" s="595"/>
    </row>
    <row r="31" spans="1:8" s="596" customFormat="1" ht="24" customHeight="1">
      <c r="A31" s="600" t="s">
        <v>152</v>
      </c>
      <c r="B31" s="601">
        <v>-4072.3499999999767</v>
      </c>
      <c r="C31" s="601">
        <v>1002.9690800000681</v>
      </c>
      <c r="D31" s="601">
        <v>5075.3190800000448</v>
      </c>
      <c r="E31" s="601">
        <v>-6799.4000000001397</v>
      </c>
      <c r="F31" s="601">
        <v>-7802.3690800002078</v>
      </c>
      <c r="G31" s="602"/>
      <c r="H31" s="595"/>
    </row>
    <row r="32" spans="1:8" s="596" customFormat="1" ht="25.5" customHeight="1">
      <c r="A32" s="603" t="s">
        <v>154</v>
      </c>
      <c r="B32" s="604">
        <v>-336793.48736000224</v>
      </c>
      <c r="C32" s="604">
        <v>-25546.967140001128</v>
      </c>
      <c r="D32" s="604">
        <v>311246.52022000111</v>
      </c>
      <c r="E32" s="604">
        <v>-1261298.0006400032</v>
      </c>
      <c r="F32" s="604">
        <v>-1235751.0335000022</v>
      </c>
      <c r="G32" s="605"/>
      <c r="H32" s="595"/>
    </row>
    <row r="33" spans="1:8" s="596" customFormat="1" ht="12" customHeight="1" thickBot="1">
      <c r="A33" s="606"/>
      <c r="B33" s="607"/>
      <c r="C33" s="607"/>
      <c r="D33" s="607"/>
      <c r="E33" s="607"/>
      <c r="F33" s="608"/>
      <c r="G33" s="561"/>
      <c r="H33" s="595"/>
    </row>
    <row r="34" spans="1:8" ht="17" thickTop="1">
      <c r="A34" s="609" t="s">
        <v>660</v>
      </c>
      <c r="B34" s="610"/>
      <c r="C34" s="610"/>
      <c r="D34" s="610"/>
      <c r="E34" s="610"/>
      <c r="F34" s="611"/>
      <c r="G34" s="562"/>
    </row>
    <row r="35" spans="1:8" ht="16">
      <c r="A35" s="596"/>
      <c r="B35" s="612"/>
      <c r="C35" s="612"/>
      <c r="D35" s="612"/>
      <c r="E35" s="612"/>
      <c r="F35" s="611"/>
      <c r="G35" s="517"/>
    </row>
    <row r="36" spans="1:8">
      <c r="A36" s="565"/>
      <c r="B36" s="613"/>
      <c r="C36" s="613"/>
      <c r="D36" s="613"/>
      <c r="E36" s="613"/>
      <c r="F36" s="613"/>
      <c r="G36" s="517"/>
    </row>
    <row r="37" spans="1:8">
      <c r="A37" s="565"/>
      <c r="B37" s="613"/>
      <c r="C37" s="613"/>
      <c r="D37" s="613"/>
      <c r="E37" s="613"/>
      <c r="F37" s="613"/>
      <c r="G37" s="517"/>
    </row>
    <row r="38" spans="1:8">
      <c r="A38" s="565"/>
      <c r="B38" s="613"/>
      <c r="C38" s="613"/>
      <c r="D38" s="613"/>
      <c r="E38" s="613"/>
      <c r="F38" s="613"/>
    </row>
    <row r="39" spans="1:8">
      <c r="A39" s="565"/>
      <c r="B39" s="613"/>
      <c r="C39" s="613"/>
      <c r="D39" s="613"/>
      <c r="E39" s="613"/>
      <c r="F39" s="613"/>
    </row>
    <row r="40" spans="1:8">
      <c r="A40" s="565"/>
      <c r="B40" s="613"/>
      <c r="C40" s="613"/>
      <c r="D40" s="613"/>
      <c r="E40" s="613"/>
      <c r="F40" s="613"/>
    </row>
    <row r="41" spans="1:8">
      <c r="A41" s="565"/>
      <c r="B41" s="613"/>
      <c r="C41" s="613"/>
      <c r="D41" s="613"/>
      <c r="E41" s="613"/>
      <c r="F41" s="613"/>
    </row>
    <row r="42" spans="1:8">
      <c r="B42" s="613"/>
      <c r="C42" s="613"/>
      <c r="D42" s="613"/>
      <c r="E42" s="613"/>
      <c r="F42" s="613"/>
    </row>
    <row r="43" spans="1:8">
      <c r="A43" s="565"/>
      <c r="B43" s="613"/>
      <c r="C43" s="613"/>
      <c r="D43" s="613"/>
      <c r="E43" s="613"/>
      <c r="F43" s="613"/>
    </row>
    <row r="44" spans="1:8">
      <c r="B44" s="613"/>
      <c r="C44" s="613"/>
      <c r="D44" s="613"/>
      <c r="E44" s="613"/>
      <c r="F44" s="613"/>
    </row>
    <row r="45" spans="1:8">
      <c r="B45" s="613"/>
      <c r="C45" s="613"/>
      <c r="D45" s="613"/>
      <c r="E45" s="613"/>
      <c r="F45" s="613"/>
    </row>
    <row r="46" spans="1:8">
      <c r="B46" s="613"/>
      <c r="C46" s="613"/>
      <c r="D46" s="613"/>
      <c r="E46" s="613"/>
      <c r="F46" s="613"/>
    </row>
    <row r="47" spans="1:8">
      <c r="B47" s="613"/>
      <c r="C47" s="613"/>
      <c r="D47" s="613"/>
      <c r="E47" s="613"/>
      <c r="F47" s="613"/>
    </row>
    <row r="48" spans="1:8">
      <c r="B48" s="613"/>
      <c r="C48" s="613"/>
      <c r="D48" s="613"/>
      <c r="E48" s="613"/>
      <c r="F48" s="613"/>
    </row>
    <row r="49" spans="1:6">
      <c r="A49" s="565"/>
      <c r="B49" s="613"/>
      <c r="C49" s="613"/>
      <c r="D49" s="613"/>
      <c r="E49" s="613"/>
      <c r="F49" s="613"/>
    </row>
    <row r="50" spans="1:6">
      <c r="A50" s="565"/>
      <c r="B50" s="613"/>
      <c r="C50" s="613"/>
      <c r="D50" s="613"/>
      <c r="E50" s="613"/>
      <c r="F50" s="613"/>
    </row>
    <row r="51" spans="1:6">
      <c r="A51" s="565"/>
      <c r="B51" s="613"/>
      <c r="C51" s="613"/>
      <c r="D51" s="613"/>
      <c r="E51" s="613"/>
      <c r="F51" s="613"/>
    </row>
    <row r="52" spans="1:6">
      <c r="B52" s="613"/>
      <c r="C52" s="613"/>
      <c r="D52" s="613"/>
      <c r="E52" s="613"/>
      <c r="F52" s="613"/>
    </row>
    <row r="53" spans="1:6">
      <c r="B53" s="613"/>
      <c r="C53" s="613"/>
      <c r="D53" s="613"/>
      <c r="E53" s="613"/>
      <c r="F53" s="613"/>
    </row>
    <row r="54" spans="1:6">
      <c r="B54" s="613"/>
      <c r="C54" s="613"/>
      <c r="D54" s="613"/>
      <c r="E54" s="613"/>
      <c r="F54" s="613"/>
    </row>
    <row r="55" spans="1:6">
      <c r="B55" s="613"/>
      <c r="C55" s="613"/>
      <c r="D55" s="613"/>
      <c r="E55" s="613"/>
      <c r="F55" s="613"/>
    </row>
    <row r="56" spans="1:6">
      <c r="B56" s="613"/>
      <c r="C56" s="613"/>
      <c r="D56" s="613"/>
      <c r="E56" s="613"/>
      <c r="F56" s="613"/>
    </row>
    <row r="57" spans="1:6">
      <c r="B57" s="613"/>
      <c r="C57" s="613"/>
      <c r="D57" s="613"/>
      <c r="E57" s="613"/>
      <c r="F57" s="613"/>
    </row>
    <row r="58" spans="1:6">
      <c r="B58" s="613"/>
      <c r="C58" s="613"/>
      <c r="D58" s="613"/>
      <c r="E58" s="613"/>
      <c r="F58" s="613"/>
    </row>
    <row r="59" spans="1:6">
      <c r="B59" s="613"/>
      <c r="C59" s="613"/>
      <c r="D59" s="613"/>
      <c r="E59" s="613"/>
      <c r="F59" s="613"/>
    </row>
    <row r="60" spans="1:6">
      <c r="B60" s="613"/>
      <c r="C60" s="613"/>
      <c r="D60" s="613"/>
      <c r="E60" s="613"/>
      <c r="F60" s="613"/>
    </row>
    <row r="61" spans="1:6">
      <c r="B61" s="613"/>
      <c r="C61" s="613"/>
      <c r="D61" s="613"/>
      <c r="E61" s="613"/>
      <c r="F61" s="613"/>
    </row>
    <row r="62" spans="1:6">
      <c r="A62" s="565"/>
      <c r="B62" s="613"/>
      <c r="C62" s="613"/>
      <c r="D62" s="613"/>
      <c r="E62" s="613"/>
      <c r="F62" s="613"/>
    </row>
  </sheetData>
  <mergeCells count="1">
    <mergeCell ref="A1:F1"/>
  </mergeCells>
  <pageMargins left="0.6692913385826772" right="0.55118110236220474" top="0.98425196850393704" bottom="0.74803149606299213" header="0.51181102362204722" footer="0.47244094488188981"/>
  <pageSetup paperSize="9" scale="91" orientation="portrait" horizontalDpi="300" verticalDpi="300" r:id="rId1"/>
  <headerFooter alignWithMargins="0">
    <oddHeader>&amp;LFachgruppe für kantonale Finanzfragen (FkF)
Groupe d'étude pour les finances cantonales&amp;RZürich, 26.04.2016</oddHeader>
    <oddFooter>&amp;LQuelle: FkF Mai 2016&amp;RBlatt &amp;P /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O62"/>
  <sheetViews>
    <sheetView zoomScaleNormal="100" workbookViewId="0">
      <selection activeCell="E10" sqref="E10"/>
    </sheetView>
  </sheetViews>
  <sheetFormatPr baseColWidth="10" defaultColWidth="11.5" defaultRowHeight="13"/>
  <cols>
    <col min="1" max="1" width="19.6640625" style="614" customWidth="1"/>
    <col min="2" max="4" width="15.33203125" style="615" customWidth="1"/>
    <col min="5" max="5" width="15.33203125" style="515" customWidth="1"/>
    <col min="6" max="6" width="15.83203125" style="615" customWidth="1"/>
    <col min="7" max="7" width="2.1640625" style="516" customWidth="1"/>
    <col min="8" max="8" width="11.5" style="579" customWidth="1"/>
    <col min="9" max="9" width="25.6640625" style="615" customWidth="1"/>
    <col min="10" max="10" width="14.83203125" style="579" customWidth="1"/>
    <col min="11" max="11" width="16.6640625" style="579" customWidth="1"/>
    <col min="12" max="12" width="18.6640625" style="579" customWidth="1"/>
    <col min="13" max="13" width="13.6640625" style="579" customWidth="1"/>
    <col min="14" max="14" width="13.6640625" style="579" hidden="1" customWidth="1"/>
    <col min="15" max="15" width="13.5" style="579" customWidth="1"/>
    <col min="16" max="62" width="11.5" style="516" customWidth="1"/>
    <col min="63" max="16384" width="11.5" style="516"/>
  </cols>
  <sheetData>
    <row r="1" spans="1:15" s="575" customFormat="1" ht="36" customHeight="1" thickBot="1">
      <c r="A1" s="684" t="s">
        <v>661</v>
      </c>
      <c r="B1" s="685"/>
      <c r="C1" s="684"/>
      <c r="D1" s="684"/>
      <c r="E1" s="684"/>
      <c r="F1" s="684"/>
      <c r="G1" s="517"/>
      <c r="H1" s="574"/>
      <c r="I1" s="616"/>
      <c r="J1" s="574"/>
      <c r="K1" s="574"/>
      <c r="L1" s="574"/>
      <c r="M1" s="574"/>
      <c r="N1" s="574"/>
      <c r="O1" s="574"/>
    </row>
    <row r="2" spans="1:15" ht="15" customHeight="1" thickTop="1">
      <c r="A2" s="576" t="s">
        <v>637</v>
      </c>
      <c r="B2" s="577" t="s">
        <v>9</v>
      </c>
      <c r="C2" s="577" t="s">
        <v>7</v>
      </c>
      <c r="D2" s="577" t="s">
        <v>659</v>
      </c>
      <c r="E2" s="577" t="s">
        <v>9</v>
      </c>
      <c r="F2" s="578" t="s">
        <v>659</v>
      </c>
      <c r="G2" s="522"/>
      <c r="I2" s="617"/>
      <c r="J2" s="525"/>
      <c r="K2" s="525"/>
      <c r="L2" s="525"/>
      <c r="M2" s="525"/>
      <c r="N2" s="525"/>
    </row>
    <row r="3" spans="1:15" ht="14">
      <c r="A3" s="580" t="s">
        <v>640</v>
      </c>
      <c r="B3" s="581" t="s">
        <v>9</v>
      </c>
      <c r="C3" s="581" t="s">
        <v>96</v>
      </c>
      <c r="D3" s="582" t="s">
        <v>666</v>
      </c>
      <c r="E3" s="581" t="s">
        <v>9</v>
      </c>
      <c r="F3" s="618" t="s">
        <v>667</v>
      </c>
      <c r="G3" s="584"/>
      <c r="I3" s="617"/>
      <c r="J3" s="525"/>
      <c r="K3" s="525"/>
      <c r="L3" s="525"/>
      <c r="M3" s="525"/>
      <c r="N3" s="525"/>
    </row>
    <row r="4" spans="1:15">
      <c r="A4" s="585">
        <v>0</v>
      </c>
      <c r="B4" s="586">
        <v>2015</v>
      </c>
      <c r="C4" s="586">
        <v>2015</v>
      </c>
      <c r="D4" s="587">
        <v>0</v>
      </c>
      <c r="E4" s="586">
        <v>2016</v>
      </c>
      <c r="F4" s="588">
        <v>0</v>
      </c>
      <c r="G4" s="589"/>
      <c r="I4" s="617"/>
      <c r="J4" s="525"/>
      <c r="K4" s="525"/>
      <c r="L4" s="525"/>
      <c r="M4" s="525"/>
      <c r="N4" s="525"/>
    </row>
    <row r="5" spans="1:15" s="596" customFormat="1" ht="28.5" customHeight="1">
      <c r="A5" s="619" t="s">
        <v>644</v>
      </c>
      <c r="B5" s="620">
        <v>0</v>
      </c>
      <c r="C5" s="621">
        <v>0</v>
      </c>
      <c r="D5" s="622">
        <v>0</v>
      </c>
      <c r="E5" s="623">
        <v>0</v>
      </c>
      <c r="F5" s="624">
        <v>0</v>
      </c>
      <c r="G5" s="625"/>
      <c r="H5" s="595"/>
      <c r="I5" s="612"/>
      <c r="J5" s="525"/>
      <c r="K5" s="626"/>
      <c r="L5" s="626"/>
      <c r="M5" s="626"/>
      <c r="N5" s="627"/>
      <c r="O5" s="595"/>
    </row>
    <row r="6" spans="1:15" s="596" customFormat="1" ht="24" customHeight="1">
      <c r="A6" s="628" t="s">
        <v>6</v>
      </c>
      <c r="B6" s="629">
        <v>-553024.77964999748</v>
      </c>
      <c r="C6" s="629">
        <v>-421646.22465999937</v>
      </c>
      <c r="D6" s="630">
        <v>131378.55498999811</v>
      </c>
      <c r="E6" s="510">
        <v>-262966.07606999867</v>
      </c>
      <c r="F6" s="631">
        <v>158680.1485900007</v>
      </c>
      <c r="G6" s="632"/>
      <c r="H6" s="595"/>
      <c r="I6" s="612"/>
      <c r="J6" s="633"/>
      <c r="K6" s="633"/>
      <c r="L6" s="633"/>
      <c r="M6" s="634"/>
      <c r="N6" s="627"/>
      <c r="O6" s="595"/>
    </row>
    <row r="7" spans="1:15" s="596" customFormat="1" ht="24" customHeight="1">
      <c r="A7" s="635" t="s">
        <v>85</v>
      </c>
      <c r="B7" s="636">
        <v>7004.6999999989057</v>
      </c>
      <c r="C7" s="636">
        <v>97147.335220000299</v>
      </c>
      <c r="D7" s="636">
        <v>90142.635220001393</v>
      </c>
      <c r="E7" s="637">
        <v>131548.69591999985</v>
      </c>
      <c r="F7" s="638">
        <v>34401.360699999554</v>
      </c>
      <c r="G7" s="544"/>
      <c r="H7" s="595"/>
      <c r="I7" s="612"/>
      <c r="J7" s="633"/>
      <c r="K7" s="633"/>
      <c r="L7" s="633"/>
      <c r="M7" s="639"/>
      <c r="N7" s="627"/>
      <c r="O7" s="595"/>
    </row>
    <row r="8" spans="1:15" s="596" customFormat="1" ht="24" customHeight="1">
      <c r="A8" s="635" t="s">
        <v>86</v>
      </c>
      <c r="B8" s="636">
        <v>-20161.160300000891</v>
      </c>
      <c r="C8" s="636">
        <v>31062.525640000051</v>
      </c>
      <c r="D8" s="636">
        <v>51223.685940000942</v>
      </c>
      <c r="E8" s="640">
        <v>-26707.654000000708</v>
      </c>
      <c r="F8" s="638">
        <v>-57770.179640000759</v>
      </c>
      <c r="G8" s="544"/>
      <c r="H8" s="595"/>
      <c r="I8" s="612"/>
      <c r="J8" s="633"/>
      <c r="K8" s="633"/>
      <c r="L8" s="633"/>
      <c r="M8" s="634"/>
      <c r="N8" s="627"/>
      <c r="O8" s="595"/>
    </row>
    <row r="9" spans="1:15" s="596" customFormat="1" ht="24" customHeight="1">
      <c r="A9" s="635" t="s">
        <v>87</v>
      </c>
      <c r="B9" s="636">
        <v>-5802.4000000000342</v>
      </c>
      <c r="C9" s="636">
        <v>13575.400000000009</v>
      </c>
      <c r="D9" s="636">
        <v>19377.800000000043</v>
      </c>
      <c r="E9" s="640">
        <v>-10689.900000000027</v>
      </c>
      <c r="F9" s="638">
        <v>-24265.300000000036</v>
      </c>
      <c r="G9" s="544"/>
      <c r="H9" s="595"/>
      <c r="I9" s="612"/>
      <c r="J9" s="633"/>
      <c r="K9" s="633"/>
      <c r="L9" s="633"/>
      <c r="M9" s="634"/>
      <c r="N9" s="627"/>
      <c r="O9" s="595"/>
    </row>
    <row r="10" spans="1:15" s="596" customFormat="1" ht="24" customHeight="1">
      <c r="A10" s="635" t="s">
        <v>88</v>
      </c>
      <c r="B10" s="636">
        <v>-82956</v>
      </c>
      <c r="C10" s="636">
        <v>27176.699999999852</v>
      </c>
      <c r="D10" s="636">
        <v>110132.69999999985</v>
      </c>
      <c r="E10" s="636">
        <v>-1172.1999999997206</v>
      </c>
      <c r="F10" s="638">
        <v>-28348.899999999572</v>
      </c>
      <c r="G10" s="544"/>
      <c r="H10" s="595"/>
      <c r="I10" s="612"/>
      <c r="J10" s="633"/>
      <c r="K10" s="633"/>
      <c r="L10" s="633"/>
      <c r="M10" s="634"/>
      <c r="N10" s="627"/>
      <c r="O10" s="595"/>
    </row>
    <row r="11" spans="1:15" s="596" customFormat="1" ht="24" customHeight="1">
      <c r="A11" s="635" t="s">
        <v>90</v>
      </c>
      <c r="B11" s="636">
        <v>-14877</v>
      </c>
      <c r="C11" s="636">
        <v>24284</v>
      </c>
      <c r="D11" s="636">
        <v>39161</v>
      </c>
      <c r="E11" s="636">
        <v>-21485</v>
      </c>
      <c r="F11" s="638">
        <v>-45769</v>
      </c>
      <c r="G11" s="544"/>
      <c r="H11" s="595"/>
      <c r="I11" s="612"/>
      <c r="J11" s="633"/>
      <c r="K11" s="633"/>
      <c r="L11" s="633"/>
      <c r="M11" s="634"/>
      <c r="N11" s="627"/>
      <c r="O11" s="595"/>
    </row>
    <row r="12" spans="1:15" s="596" customFormat="1" ht="24" customHeight="1">
      <c r="A12" s="635" t="s">
        <v>91</v>
      </c>
      <c r="B12" s="640">
        <v>-19257</v>
      </c>
      <c r="C12" s="640">
        <v>36431.199999999917</v>
      </c>
      <c r="D12" s="636">
        <v>55688.199999999917</v>
      </c>
      <c r="E12" s="640">
        <v>-16430.099999999988</v>
      </c>
      <c r="F12" s="638">
        <v>-52861.299999999901</v>
      </c>
      <c r="G12" s="544"/>
      <c r="H12" s="595"/>
      <c r="I12" s="612"/>
      <c r="J12" s="633"/>
      <c r="K12" s="633"/>
      <c r="L12" s="633"/>
      <c r="M12" s="634"/>
      <c r="N12" s="627"/>
      <c r="O12" s="595"/>
    </row>
    <row r="13" spans="1:15" s="596" customFormat="1" ht="24" customHeight="1">
      <c r="A13" s="635" t="s">
        <v>92</v>
      </c>
      <c r="B13" s="636">
        <v>-9225</v>
      </c>
      <c r="C13" s="636">
        <v>1914.4999999999345</v>
      </c>
      <c r="D13" s="636">
        <v>11139.499999999935</v>
      </c>
      <c r="E13" s="640">
        <v>-17895.999999999931</v>
      </c>
      <c r="F13" s="638">
        <v>-19810.499999999865</v>
      </c>
      <c r="G13" s="544"/>
      <c r="H13" s="595"/>
      <c r="I13" s="612"/>
      <c r="J13" s="633"/>
      <c r="K13" s="633"/>
      <c r="L13" s="633"/>
      <c r="M13" s="634"/>
      <c r="N13" s="627"/>
      <c r="O13" s="595"/>
    </row>
    <row r="14" spans="1:15" s="596" customFormat="1" ht="24" customHeight="1">
      <c r="A14" s="635" t="s">
        <v>93</v>
      </c>
      <c r="B14" s="636">
        <v>-182259.69060000029</v>
      </c>
      <c r="C14" s="636">
        <v>-136646.10000000021</v>
      </c>
      <c r="D14" s="636">
        <v>45613.590600000083</v>
      </c>
      <c r="E14" s="640">
        <v>-199581.96000000002</v>
      </c>
      <c r="F14" s="638">
        <v>-62935.859999999811</v>
      </c>
      <c r="G14" s="544"/>
      <c r="H14" s="595"/>
      <c r="I14" s="612"/>
      <c r="J14" s="633"/>
      <c r="K14" s="633"/>
      <c r="L14" s="633"/>
      <c r="M14" s="634"/>
      <c r="N14" s="627"/>
      <c r="O14" s="595"/>
    </row>
    <row r="15" spans="1:15" s="596" customFormat="1" ht="24" customHeight="1">
      <c r="A15" s="635" t="s">
        <v>95</v>
      </c>
      <c r="B15" s="640">
        <v>-17262</v>
      </c>
      <c r="C15" s="640">
        <v>7263</v>
      </c>
      <c r="D15" s="636">
        <v>24525</v>
      </c>
      <c r="E15" s="640">
        <v>-29231</v>
      </c>
      <c r="F15" s="638">
        <v>-36494</v>
      </c>
      <c r="G15" s="544"/>
      <c r="H15" s="595"/>
      <c r="I15" s="612"/>
      <c r="J15" s="633"/>
      <c r="K15" s="633"/>
      <c r="L15" s="633"/>
      <c r="M15" s="634"/>
      <c r="N15" s="627"/>
      <c r="O15" s="595"/>
    </row>
    <row r="16" spans="1:15" s="596" customFormat="1" ht="24" customHeight="1">
      <c r="A16" s="641" t="s">
        <v>140</v>
      </c>
      <c r="B16" s="636">
        <v>-138375.27000000016</v>
      </c>
      <c r="C16" s="636">
        <v>-1127955.8000000003</v>
      </c>
      <c r="D16" s="636">
        <v>-989580.53000000014</v>
      </c>
      <c r="E16" s="642">
        <v>-91693.399999999529</v>
      </c>
      <c r="F16" s="643">
        <v>1036262.4000000007</v>
      </c>
      <c r="G16" s="544"/>
      <c r="H16" s="595"/>
      <c r="I16" s="612"/>
      <c r="J16" s="633"/>
      <c r="K16" s="633"/>
      <c r="L16" s="633"/>
      <c r="M16" s="639"/>
      <c r="N16" s="627"/>
      <c r="O16" s="595"/>
    </row>
    <row r="17" spans="1:15" s="596" customFormat="1" ht="24" customHeight="1">
      <c r="A17" s="641" t="s">
        <v>645</v>
      </c>
      <c r="B17" s="636">
        <v>-259354.04200000051</v>
      </c>
      <c r="C17" s="636">
        <v>115222.77449999953</v>
      </c>
      <c r="D17" s="636">
        <v>374576.81650000007</v>
      </c>
      <c r="E17" s="644">
        <v>-686073.15000000014</v>
      </c>
      <c r="F17" s="643">
        <v>-801295.92449999973</v>
      </c>
      <c r="G17" s="544"/>
      <c r="H17" s="595"/>
      <c r="I17" s="612"/>
      <c r="J17" s="633"/>
      <c r="K17" s="633"/>
      <c r="L17" s="633"/>
      <c r="M17" s="639"/>
      <c r="N17" s="627"/>
      <c r="O17" s="595"/>
    </row>
    <row r="18" spans="1:15" s="596" customFormat="1" ht="24" customHeight="1">
      <c r="A18" s="641" t="s">
        <v>646</v>
      </c>
      <c r="B18" s="640">
        <v>-178574.10000000018</v>
      </c>
      <c r="C18" s="640">
        <v>-116048.79999999955</v>
      </c>
      <c r="D18" s="636">
        <v>62525.300000000629</v>
      </c>
      <c r="E18" s="645">
        <v>-176121.70000000027</v>
      </c>
      <c r="F18" s="643">
        <v>-60072.900000000722</v>
      </c>
      <c r="G18" s="544"/>
      <c r="H18" s="595"/>
      <c r="I18" s="612"/>
      <c r="J18" s="633"/>
      <c r="K18" s="633"/>
      <c r="L18" s="633"/>
      <c r="M18" s="634"/>
      <c r="N18" s="627"/>
      <c r="O18" s="595"/>
    </row>
    <row r="19" spans="1:15" s="596" customFormat="1" ht="24" customHeight="1">
      <c r="A19" s="641" t="s">
        <v>141</v>
      </c>
      <c r="B19" s="636">
        <v>-13330.3</v>
      </c>
      <c r="C19" s="636">
        <v>488.25552000026437</v>
      </c>
      <c r="D19" s="636">
        <v>13818.555520000264</v>
      </c>
      <c r="E19" s="643">
        <v>-22735.299999999952</v>
      </c>
      <c r="F19" s="643">
        <v>-23223.555520000216</v>
      </c>
      <c r="G19" s="544"/>
      <c r="H19" s="595"/>
      <c r="I19" s="612"/>
      <c r="J19" s="633"/>
      <c r="K19" s="633"/>
      <c r="L19" s="633"/>
      <c r="M19" s="634"/>
      <c r="N19" s="627"/>
      <c r="O19" s="595"/>
    </row>
    <row r="20" spans="1:15" s="596" customFormat="1" ht="24" customHeight="1">
      <c r="A20" s="641" t="s">
        <v>647</v>
      </c>
      <c r="B20" s="636">
        <v>-10492.300000000001</v>
      </c>
      <c r="C20" s="636">
        <v>-3680.8999999999069</v>
      </c>
      <c r="D20" s="636">
        <v>6811.4000000000942</v>
      </c>
      <c r="E20" s="643">
        <v>-13777.200000000033</v>
      </c>
      <c r="F20" s="643">
        <v>-10096.300000000127</v>
      </c>
      <c r="G20" s="544"/>
      <c r="H20" s="595"/>
      <c r="I20" s="612"/>
      <c r="J20" s="633"/>
      <c r="K20" s="633"/>
      <c r="L20" s="633"/>
      <c r="M20" s="634"/>
      <c r="N20" s="627"/>
      <c r="O20" s="595"/>
    </row>
    <row r="21" spans="1:15" s="596" customFormat="1" ht="24" customHeight="1">
      <c r="A21" s="641" t="s">
        <v>142</v>
      </c>
      <c r="B21" s="636">
        <v>-18762.299999999988</v>
      </c>
      <c r="C21" s="636">
        <v>2419.9999999999782</v>
      </c>
      <c r="D21" s="636">
        <v>21182.299999999967</v>
      </c>
      <c r="E21" s="643">
        <v>-17006.5</v>
      </c>
      <c r="F21" s="643">
        <v>-19426.499999999978</v>
      </c>
      <c r="G21" s="544"/>
      <c r="H21" s="595"/>
      <c r="I21" s="612"/>
      <c r="J21" s="633"/>
      <c r="K21" s="633"/>
      <c r="L21" s="633"/>
      <c r="M21" s="634"/>
      <c r="N21" s="627"/>
      <c r="O21" s="595"/>
    </row>
    <row r="22" spans="1:15" s="596" customFormat="1" ht="24" customHeight="1">
      <c r="A22" s="641" t="s">
        <v>144</v>
      </c>
      <c r="B22" s="636">
        <v>-196557.59999999998</v>
      </c>
      <c r="C22" s="636">
        <v>97938.099999998871</v>
      </c>
      <c r="D22" s="636">
        <v>294495.69999999885</v>
      </c>
      <c r="E22" s="643">
        <v>-151199.10000000053</v>
      </c>
      <c r="F22" s="643">
        <v>-249137.1999999994</v>
      </c>
      <c r="G22" s="544"/>
      <c r="H22" s="595"/>
      <c r="I22" s="612"/>
      <c r="J22" s="633"/>
      <c r="K22" s="633"/>
      <c r="L22" s="633"/>
      <c r="M22" s="634"/>
      <c r="N22" s="627"/>
      <c r="O22" s="595"/>
    </row>
    <row r="23" spans="1:15" s="596" customFormat="1" ht="24" customHeight="1">
      <c r="A23" s="641" t="s">
        <v>145</v>
      </c>
      <c r="B23" s="636">
        <v>-85913</v>
      </c>
      <c r="C23" s="636">
        <v>92494.799999999377</v>
      </c>
      <c r="D23" s="636">
        <v>178407.79999999938</v>
      </c>
      <c r="E23" s="643">
        <v>-91575</v>
      </c>
      <c r="F23" s="643">
        <v>-184069.79999999938</v>
      </c>
      <c r="G23" s="544"/>
      <c r="H23" s="595"/>
      <c r="I23" s="612"/>
      <c r="J23" s="633"/>
      <c r="K23" s="633"/>
      <c r="L23" s="633"/>
      <c r="M23" s="634"/>
      <c r="N23" s="627"/>
      <c r="O23" s="595"/>
    </row>
    <row r="24" spans="1:15" s="596" customFormat="1" ht="24" customHeight="1">
      <c r="A24" s="641" t="s">
        <v>146</v>
      </c>
      <c r="B24" s="636">
        <v>13066.341929999704</v>
      </c>
      <c r="C24" s="636">
        <v>-42671.784440000076</v>
      </c>
      <c r="D24" s="636">
        <v>-55738.12636999978</v>
      </c>
      <c r="E24" s="643">
        <v>-89987.248000000676</v>
      </c>
      <c r="F24" s="643">
        <v>-47315.4635600006</v>
      </c>
      <c r="G24" s="544"/>
      <c r="H24" s="595"/>
      <c r="I24" s="612"/>
      <c r="J24" s="633"/>
      <c r="K24" s="633"/>
      <c r="L24" s="633"/>
      <c r="M24" s="634"/>
      <c r="N24" s="627"/>
      <c r="O24" s="595"/>
    </row>
    <row r="25" spans="1:15" s="596" customFormat="1" ht="24" customHeight="1">
      <c r="A25" s="641" t="s">
        <v>147</v>
      </c>
      <c r="B25" s="636">
        <v>-32924</v>
      </c>
      <c r="C25" s="636">
        <v>12484</v>
      </c>
      <c r="D25" s="636">
        <v>45408</v>
      </c>
      <c r="E25" s="645">
        <v>-53149</v>
      </c>
      <c r="F25" s="643">
        <v>-65633</v>
      </c>
      <c r="G25" s="544"/>
      <c r="H25" s="595"/>
      <c r="I25" s="612"/>
      <c r="J25" s="633"/>
      <c r="K25" s="633"/>
      <c r="L25" s="633"/>
      <c r="M25" s="634"/>
      <c r="N25" s="627"/>
      <c r="O25" s="595"/>
    </row>
    <row r="26" spans="1:15" s="596" customFormat="1" ht="24" customHeight="1">
      <c r="A26" s="641" t="s">
        <v>648</v>
      </c>
      <c r="B26" s="636">
        <v>-151265.7400000004</v>
      </c>
      <c r="C26" s="636">
        <v>-124977.84745000111</v>
      </c>
      <c r="D26" s="636">
        <v>26287.892549999291</v>
      </c>
      <c r="E26" s="643">
        <v>-117257.88999999996</v>
      </c>
      <c r="F26" s="643">
        <v>7719.9574500011513</v>
      </c>
      <c r="G26" s="544"/>
      <c r="H26" s="595"/>
      <c r="I26" s="612"/>
      <c r="J26" s="633"/>
      <c r="K26" s="633"/>
      <c r="L26" s="633"/>
      <c r="M26" s="634"/>
      <c r="N26" s="627"/>
      <c r="O26" s="595"/>
    </row>
    <row r="27" spans="1:15" s="596" customFormat="1" ht="24" customHeight="1">
      <c r="A27" s="641" t="s">
        <v>148</v>
      </c>
      <c r="B27" s="636">
        <v>-187692.5</v>
      </c>
      <c r="C27" s="636">
        <v>555687.58883000189</v>
      </c>
      <c r="D27" s="636">
        <v>743380.08883000189</v>
      </c>
      <c r="E27" s="644">
        <v>-215842.90000000186</v>
      </c>
      <c r="F27" s="643">
        <v>-771530.48883000377</v>
      </c>
      <c r="G27" s="544"/>
      <c r="H27" s="595"/>
      <c r="I27" s="612"/>
      <c r="J27" s="633"/>
      <c r="K27" s="633"/>
      <c r="L27" s="633"/>
      <c r="M27" s="639"/>
      <c r="N27" s="627"/>
      <c r="O27" s="595"/>
    </row>
    <row r="28" spans="1:15" s="596" customFormat="1" ht="24" customHeight="1">
      <c r="A28" s="641" t="s">
        <v>150</v>
      </c>
      <c r="B28" s="636">
        <v>28009.699999999604</v>
      </c>
      <c r="C28" s="636">
        <v>97203.200000000244</v>
      </c>
      <c r="D28" s="636">
        <v>69193.50000000064</v>
      </c>
      <c r="E28" s="643">
        <v>42756.400000000023</v>
      </c>
      <c r="F28" s="643">
        <v>-54446.800000000221</v>
      </c>
      <c r="G28" s="544"/>
      <c r="H28" s="595"/>
      <c r="I28" s="612"/>
      <c r="J28" s="633"/>
      <c r="K28" s="633"/>
      <c r="L28" s="633"/>
      <c r="M28" s="634"/>
      <c r="N28" s="627"/>
      <c r="O28" s="595"/>
    </row>
    <row r="29" spans="1:15" s="596" customFormat="1" ht="24" customHeight="1">
      <c r="A29" s="641" t="s">
        <v>151</v>
      </c>
      <c r="B29" s="636">
        <v>-16961.466999999866</v>
      </c>
      <c r="C29" s="636">
        <v>4340.7343899994012</v>
      </c>
      <c r="D29" s="636">
        <v>21302.201389999267</v>
      </c>
      <c r="E29" s="643">
        <v>-24739.402229999985</v>
      </c>
      <c r="F29" s="643">
        <v>-29080.136619999386</v>
      </c>
      <c r="G29" s="544"/>
      <c r="H29" s="595"/>
      <c r="I29" s="612"/>
      <c r="J29" s="633"/>
      <c r="K29" s="633"/>
      <c r="L29" s="633"/>
      <c r="M29" s="634"/>
      <c r="N29" s="627"/>
      <c r="O29" s="595"/>
    </row>
    <row r="30" spans="1:15" s="596" customFormat="1" ht="24" customHeight="1">
      <c r="A30" s="641" t="s">
        <v>649</v>
      </c>
      <c r="B30" s="636">
        <v>-281452.39700000093</v>
      </c>
      <c r="C30" s="636">
        <v>-49789.55928000022</v>
      </c>
      <c r="D30" s="636">
        <v>231662.83772000071</v>
      </c>
      <c r="E30" s="644">
        <v>-316864.81700000068</v>
      </c>
      <c r="F30" s="643">
        <v>-267075.25772000046</v>
      </c>
      <c r="G30" s="544"/>
      <c r="H30" s="595"/>
      <c r="I30" s="612"/>
      <c r="J30" s="633"/>
      <c r="K30" s="633"/>
      <c r="L30" s="633"/>
      <c r="M30" s="639"/>
      <c r="N30" s="639"/>
      <c r="O30" s="595"/>
    </row>
    <row r="31" spans="1:15" s="596" customFormat="1" ht="24" customHeight="1">
      <c r="A31" s="641" t="s">
        <v>152</v>
      </c>
      <c r="B31" s="636">
        <v>-7582.0499999999811</v>
      </c>
      <c r="C31" s="636">
        <v>19815.456360000069</v>
      </c>
      <c r="D31" s="636">
        <v>27397.50636000005</v>
      </c>
      <c r="E31" s="645">
        <v>-17012.700000000143</v>
      </c>
      <c r="F31" s="643">
        <v>-36828.156360000212</v>
      </c>
      <c r="G31" s="602"/>
      <c r="H31" s="595"/>
      <c r="I31" s="612"/>
      <c r="J31" s="633"/>
      <c r="K31" s="633"/>
      <c r="L31" s="633"/>
      <c r="M31" s="634"/>
      <c r="N31" s="627"/>
      <c r="O31" s="595"/>
    </row>
    <row r="32" spans="1:15" s="596" customFormat="1" ht="26.25" customHeight="1">
      <c r="A32" s="646" t="s">
        <v>154</v>
      </c>
      <c r="B32" s="630">
        <v>-2435981.3546200022</v>
      </c>
      <c r="C32" s="630">
        <v>-786467.4453700009</v>
      </c>
      <c r="D32" s="630">
        <v>1649513.9092500014</v>
      </c>
      <c r="E32" s="511">
        <v>-2496890.1013800032</v>
      </c>
      <c r="F32" s="647">
        <v>-1710422.6560100024</v>
      </c>
      <c r="G32" s="648"/>
      <c r="H32" s="595"/>
      <c r="I32" s="612"/>
      <c r="J32" s="633"/>
      <c r="K32" s="633"/>
      <c r="L32" s="633"/>
      <c r="M32" s="634"/>
      <c r="N32" s="627"/>
      <c r="O32" s="595"/>
    </row>
    <row r="33" spans="1:15" s="596" customFormat="1" ht="20.25" customHeight="1" thickBot="1">
      <c r="A33" s="649" t="s">
        <v>662</v>
      </c>
      <c r="B33" s="650"/>
      <c r="C33" s="650"/>
      <c r="D33" s="651" t="s">
        <v>663</v>
      </c>
      <c r="E33" s="512"/>
      <c r="F33" s="652"/>
      <c r="G33" s="561"/>
      <c r="H33" s="595"/>
      <c r="I33" s="613"/>
      <c r="J33" s="626"/>
      <c r="K33" s="626"/>
      <c r="L33" s="626"/>
      <c r="M33" s="626"/>
      <c r="N33" s="627"/>
      <c r="O33" s="595"/>
    </row>
    <row r="34" spans="1:15" ht="17" thickTop="1">
      <c r="A34" s="653" t="s">
        <v>660</v>
      </c>
      <c r="B34" s="612"/>
      <c r="C34" s="612"/>
      <c r="D34" s="612"/>
      <c r="E34" s="513"/>
      <c r="F34" s="612"/>
      <c r="G34" s="562"/>
      <c r="J34" s="626"/>
      <c r="K34" s="626"/>
      <c r="L34" s="626"/>
      <c r="M34" s="626"/>
      <c r="N34" s="626"/>
    </row>
    <row r="35" spans="1:15">
      <c r="A35" s="564"/>
      <c r="B35" s="613"/>
      <c r="C35" s="613"/>
      <c r="D35" s="613"/>
      <c r="E35" s="514"/>
      <c r="F35" s="613"/>
      <c r="G35" s="517"/>
      <c r="J35" s="595"/>
      <c r="K35" s="595"/>
      <c r="L35" s="595"/>
      <c r="M35" s="595"/>
      <c r="N35" s="595"/>
    </row>
    <row r="36" spans="1:15">
      <c r="A36" s="565"/>
      <c r="B36" s="613"/>
      <c r="C36" s="613"/>
      <c r="D36" s="613"/>
      <c r="E36" s="514"/>
      <c r="F36" s="613"/>
      <c r="G36" s="517"/>
      <c r="I36" s="613"/>
    </row>
    <row r="37" spans="1:15">
      <c r="B37" s="613"/>
      <c r="C37" s="613"/>
      <c r="D37" s="613"/>
      <c r="E37" s="514"/>
      <c r="F37" s="613"/>
      <c r="G37" s="517"/>
    </row>
    <row r="38" spans="1:15">
      <c r="B38" s="613"/>
      <c r="C38" s="613"/>
      <c r="D38" s="613"/>
      <c r="E38" s="514"/>
      <c r="F38" s="613"/>
    </row>
    <row r="39" spans="1:15">
      <c r="B39" s="613"/>
      <c r="C39" s="613"/>
      <c r="D39" s="613"/>
      <c r="E39" s="514"/>
      <c r="F39" s="613"/>
    </row>
    <row r="40" spans="1:15">
      <c r="A40" s="565"/>
      <c r="B40" s="613"/>
      <c r="C40" s="613"/>
      <c r="D40" s="613"/>
      <c r="E40" s="514"/>
      <c r="F40" s="613"/>
    </row>
    <row r="41" spans="1:15">
      <c r="A41" s="565"/>
      <c r="B41" s="613"/>
      <c r="C41" s="613"/>
      <c r="D41" s="613"/>
      <c r="E41" s="514"/>
      <c r="F41" s="613"/>
    </row>
    <row r="42" spans="1:15">
      <c r="B42" s="613"/>
      <c r="C42" s="613"/>
      <c r="D42" s="613"/>
      <c r="E42" s="514"/>
      <c r="F42" s="613"/>
    </row>
    <row r="43" spans="1:15">
      <c r="A43" s="565"/>
      <c r="B43" s="613"/>
      <c r="C43" s="613"/>
      <c r="D43" s="613"/>
      <c r="E43" s="514"/>
      <c r="F43" s="613"/>
    </row>
    <row r="44" spans="1:15">
      <c r="B44" s="613"/>
      <c r="C44" s="613"/>
      <c r="D44" s="613"/>
      <c r="E44" s="514"/>
      <c r="F44" s="613"/>
      <c r="I44" s="613"/>
    </row>
    <row r="45" spans="1:15">
      <c r="B45" s="613"/>
      <c r="C45" s="613"/>
      <c r="D45" s="613"/>
      <c r="E45" s="514"/>
      <c r="F45" s="613"/>
      <c r="I45" s="613"/>
    </row>
    <row r="46" spans="1:15">
      <c r="B46" s="613"/>
      <c r="C46" s="613"/>
      <c r="D46" s="613"/>
      <c r="E46" s="514"/>
      <c r="F46" s="613"/>
      <c r="I46" s="613"/>
    </row>
    <row r="47" spans="1:15">
      <c r="B47" s="613"/>
      <c r="C47" s="613"/>
      <c r="D47" s="613"/>
      <c r="E47" s="514"/>
      <c r="F47" s="613"/>
    </row>
    <row r="48" spans="1:15">
      <c r="B48" s="613"/>
      <c r="C48" s="613"/>
      <c r="D48" s="613"/>
      <c r="E48" s="514"/>
      <c r="F48" s="613"/>
    </row>
    <row r="49" spans="1:6">
      <c r="A49" s="565"/>
      <c r="B49" s="613"/>
      <c r="C49" s="613"/>
      <c r="D49" s="613"/>
      <c r="E49" s="514"/>
      <c r="F49" s="613"/>
    </row>
    <row r="50" spans="1:6">
      <c r="A50" s="565"/>
      <c r="B50" s="613"/>
      <c r="C50" s="613"/>
      <c r="D50" s="613"/>
      <c r="E50" s="514"/>
      <c r="F50" s="613"/>
    </row>
    <row r="51" spans="1:6">
      <c r="A51" s="565"/>
      <c r="B51" s="613"/>
      <c r="C51" s="613"/>
      <c r="D51" s="613"/>
      <c r="E51" s="514"/>
      <c r="F51" s="613"/>
    </row>
    <row r="52" spans="1:6">
      <c r="B52" s="613"/>
      <c r="C52" s="613"/>
      <c r="D52" s="613"/>
      <c r="E52" s="514"/>
      <c r="F52" s="613"/>
    </row>
    <row r="53" spans="1:6">
      <c r="B53" s="613"/>
      <c r="C53" s="613"/>
      <c r="D53" s="613"/>
      <c r="E53" s="514"/>
      <c r="F53" s="613"/>
    </row>
    <row r="54" spans="1:6">
      <c r="B54" s="613"/>
      <c r="C54" s="613"/>
      <c r="D54" s="613"/>
      <c r="E54" s="514"/>
      <c r="F54" s="613"/>
    </row>
    <row r="55" spans="1:6">
      <c r="B55" s="613"/>
      <c r="C55" s="613"/>
      <c r="D55" s="613"/>
      <c r="E55" s="514"/>
      <c r="F55" s="613"/>
    </row>
    <row r="56" spans="1:6">
      <c r="B56" s="613"/>
      <c r="C56" s="613"/>
      <c r="D56" s="613"/>
      <c r="E56" s="514"/>
      <c r="F56" s="613"/>
    </row>
    <row r="57" spans="1:6">
      <c r="B57" s="613"/>
      <c r="C57" s="613"/>
      <c r="D57" s="613"/>
      <c r="E57" s="514"/>
      <c r="F57" s="613"/>
    </row>
    <row r="58" spans="1:6">
      <c r="B58" s="613"/>
      <c r="C58" s="613"/>
      <c r="D58" s="613"/>
      <c r="E58" s="514"/>
      <c r="F58" s="613"/>
    </row>
    <row r="59" spans="1:6">
      <c r="B59" s="613"/>
      <c r="C59" s="613"/>
      <c r="D59" s="613"/>
      <c r="E59" s="514"/>
      <c r="F59" s="613"/>
    </row>
    <row r="60" spans="1:6">
      <c r="B60" s="613"/>
      <c r="C60" s="613"/>
      <c r="D60" s="613"/>
      <c r="E60" s="514"/>
      <c r="F60" s="613"/>
    </row>
    <row r="61" spans="1:6">
      <c r="B61" s="613"/>
      <c r="C61" s="613"/>
      <c r="D61" s="613"/>
      <c r="E61" s="514"/>
      <c r="F61" s="613"/>
    </row>
    <row r="62" spans="1:6">
      <c r="A62" s="565"/>
      <c r="B62" s="613"/>
      <c r="C62" s="613"/>
      <c r="D62" s="613"/>
      <c r="E62" s="514"/>
      <c r="F62" s="613"/>
    </row>
  </sheetData>
  <mergeCells count="1">
    <mergeCell ref="A1:F1"/>
  </mergeCells>
  <pageMargins left="0.6692913385826772" right="0.55118110236220474" top="0.98425196850393704" bottom="0.74803149606299213" header="0.51181102362204722" footer="0.47244094488188981"/>
  <pageSetup paperSize="9" scale="91" orientation="portrait" horizontalDpi="300" verticalDpi="300" r:id="rId1"/>
  <headerFooter alignWithMargins="0">
    <oddHeader>&amp;LFachgruppe für kantonale Finanzfragen (FkF)
Groupe d'étude pour les finances cantonales&amp;RZürich, 26.04.2016</oddHeader>
    <oddFooter>&amp;LQuelle: FkF Mai 2016&amp;RBlatt &amp;P /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O55"/>
  <sheetViews>
    <sheetView zoomScaleNormal="100" workbookViewId="0">
      <selection activeCell="E10" sqref="E10"/>
    </sheetView>
  </sheetViews>
  <sheetFormatPr baseColWidth="10" defaultColWidth="11.5" defaultRowHeight="16"/>
  <cols>
    <col min="1" max="1" width="21.33203125" style="614" customWidth="1"/>
    <col min="2" max="2" width="12.33203125" style="615" customWidth="1"/>
    <col min="3" max="3" width="13" style="615" customWidth="1"/>
    <col min="4" max="4" width="12.6640625" style="615" customWidth="1"/>
    <col min="5" max="5" width="12.5" style="615" customWidth="1"/>
    <col min="6" max="6" width="15" style="616" customWidth="1"/>
    <col min="7" max="7" width="2.1640625" style="516" customWidth="1"/>
    <col min="8" max="8" width="11.5" style="579" customWidth="1"/>
    <col min="9" max="9" width="25.6640625" style="579" customWidth="1"/>
    <col min="10" max="10" width="14.83203125" style="579" customWidth="1"/>
    <col min="11" max="11" width="16.6640625" style="579" customWidth="1"/>
    <col min="12" max="12" width="18.6640625" style="579" customWidth="1"/>
    <col min="13" max="13" width="13.6640625" style="579" customWidth="1"/>
    <col min="14" max="14" width="13.6640625" style="579" hidden="1" customWidth="1"/>
    <col min="15" max="15" width="13.5" style="579" customWidth="1"/>
    <col min="16" max="62" width="11.5" style="516" customWidth="1"/>
    <col min="63" max="16384" width="11.5" style="516"/>
  </cols>
  <sheetData>
    <row r="1" spans="1:15" s="575" customFormat="1" ht="37.5" customHeight="1" thickBot="1">
      <c r="A1" s="685" t="s">
        <v>664</v>
      </c>
      <c r="B1" s="686"/>
      <c r="C1" s="686"/>
      <c r="D1" s="686"/>
      <c r="E1" s="686"/>
      <c r="F1" s="686"/>
      <c r="G1" s="517"/>
      <c r="H1" s="574"/>
      <c r="I1" s="574"/>
      <c r="J1" s="574"/>
      <c r="K1" s="574"/>
      <c r="L1" s="574"/>
      <c r="M1" s="574"/>
      <c r="N1" s="574"/>
      <c r="O1" s="574"/>
    </row>
    <row r="2" spans="1:15" ht="15" customHeight="1" thickTop="1">
      <c r="A2" s="576" t="s">
        <v>637</v>
      </c>
      <c r="B2" s="577" t="s">
        <v>9</v>
      </c>
      <c r="C2" s="577" t="s">
        <v>7</v>
      </c>
      <c r="D2" s="577" t="s">
        <v>659</v>
      </c>
      <c r="E2" s="577" t="s">
        <v>9</v>
      </c>
      <c r="F2" s="578" t="s">
        <v>659</v>
      </c>
      <c r="G2" s="522"/>
      <c r="I2" s="525"/>
      <c r="J2" s="525"/>
      <c r="K2" s="525"/>
      <c r="L2" s="525"/>
      <c r="M2" s="525"/>
      <c r="N2" s="525"/>
    </row>
    <row r="3" spans="1:15" ht="14">
      <c r="A3" s="580" t="s">
        <v>640</v>
      </c>
      <c r="B3" s="581" t="s">
        <v>9</v>
      </c>
      <c r="C3" s="581" t="s">
        <v>96</v>
      </c>
      <c r="D3" s="582" t="s">
        <v>666</v>
      </c>
      <c r="E3" s="581" t="s">
        <v>9</v>
      </c>
      <c r="F3" s="618" t="s">
        <v>667</v>
      </c>
      <c r="G3" s="584"/>
      <c r="I3" s="525"/>
      <c r="J3" s="525"/>
      <c r="K3" s="525"/>
      <c r="L3" s="525"/>
      <c r="M3" s="525"/>
      <c r="N3" s="525"/>
    </row>
    <row r="4" spans="1:15" ht="13">
      <c r="A4" s="585">
        <v>0</v>
      </c>
      <c r="B4" s="586">
        <v>2015</v>
      </c>
      <c r="C4" s="586">
        <v>2015</v>
      </c>
      <c r="D4" s="587">
        <v>0</v>
      </c>
      <c r="E4" s="586">
        <v>2016</v>
      </c>
      <c r="F4" s="588">
        <v>0</v>
      </c>
      <c r="G4" s="589"/>
      <c r="I4" s="525"/>
      <c r="J4" s="525"/>
      <c r="K4" s="525"/>
      <c r="L4" s="525"/>
      <c r="M4" s="525"/>
      <c r="N4" s="525"/>
    </row>
    <row r="5" spans="1:15" s="596" customFormat="1" ht="27" customHeight="1">
      <c r="A5" s="654" t="s">
        <v>644</v>
      </c>
      <c r="B5" s="620">
        <v>0</v>
      </c>
      <c r="C5" s="621">
        <v>0</v>
      </c>
      <c r="D5" s="622">
        <v>0</v>
      </c>
      <c r="E5" s="655">
        <v>0</v>
      </c>
      <c r="F5" s="656">
        <v>0</v>
      </c>
      <c r="G5" s="625"/>
      <c r="H5" s="595"/>
      <c r="I5" s="626"/>
      <c r="J5" s="525" t="s">
        <v>0</v>
      </c>
      <c r="K5" s="626"/>
      <c r="L5" s="626"/>
      <c r="M5" s="626"/>
      <c r="N5" s="627"/>
      <c r="O5" s="595"/>
    </row>
    <row r="6" spans="1:15" s="596" customFormat="1" ht="24" customHeight="1">
      <c r="A6" s="657" t="s">
        <v>6</v>
      </c>
      <c r="B6" s="658">
        <v>0.54111025626557863</v>
      </c>
      <c r="C6" s="658">
        <v>0.61003274221761006</v>
      </c>
      <c r="D6" s="659">
        <v>6.8922485952031431E-2</v>
      </c>
      <c r="E6" s="658">
        <v>0.72558291040691636</v>
      </c>
      <c r="F6" s="660">
        <v>0.1155501681893063</v>
      </c>
      <c r="G6" s="632"/>
      <c r="H6" s="595"/>
      <c r="I6" s="626"/>
      <c r="J6" s="633"/>
      <c r="K6" s="633"/>
      <c r="L6" s="633"/>
      <c r="M6" s="634"/>
      <c r="N6" s="627"/>
      <c r="O6" s="595"/>
    </row>
    <row r="7" spans="1:15" s="596" customFormat="1" ht="24" customHeight="1">
      <c r="A7" s="635" t="s">
        <v>85</v>
      </c>
      <c r="B7" s="661">
        <v>1.0116035058831696</v>
      </c>
      <c r="C7" s="661">
        <v>1.2024478024390441</v>
      </c>
      <c r="D7" s="661">
        <v>0.19084429655587454</v>
      </c>
      <c r="E7" s="662">
        <v>1.2488043648151204</v>
      </c>
      <c r="F7" s="663">
        <v>4.6356562376076216E-2</v>
      </c>
      <c r="G7" s="544"/>
      <c r="H7" s="595"/>
      <c r="I7" s="626"/>
      <c r="J7" s="633"/>
      <c r="K7" s="633"/>
      <c r="L7" s="633"/>
      <c r="M7" s="639"/>
      <c r="N7" s="627"/>
      <c r="O7" s="595"/>
    </row>
    <row r="8" spans="1:15" s="596" customFormat="1" ht="24" customHeight="1">
      <c r="A8" s="635" t="s">
        <v>86</v>
      </c>
      <c r="B8" s="661">
        <v>0.85328189796537657</v>
      </c>
      <c r="C8" s="661">
        <v>1.2421625376528547</v>
      </c>
      <c r="D8" s="661">
        <v>0.3888806396874781</v>
      </c>
      <c r="E8" s="664">
        <v>0.81343525148031659</v>
      </c>
      <c r="F8" s="663">
        <v>-0.42872728617253808</v>
      </c>
      <c r="G8" s="544"/>
      <c r="H8" s="595"/>
      <c r="I8" s="626"/>
      <c r="J8" s="633"/>
      <c r="K8" s="633"/>
      <c r="L8" s="633"/>
      <c r="M8" s="634"/>
      <c r="N8" s="627"/>
      <c r="O8" s="595"/>
    </row>
    <row r="9" spans="1:15" s="596" customFormat="1" ht="24" customHeight="1">
      <c r="A9" s="635" t="s">
        <v>87</v>
      </c>
      <c r="B9" s="661">
        <v>0.75221526149693885</v>
      </c>
      <c r="C9" s="661">
        <v>1.6076859374650287</v>
      </c>
      <c r="D9" s="661">
        <v>0.8554706759680899</v>
      </c>
      <c r="E9" s="664">
        <v>0.52352319781772361</v>
      </c>
      <c r="F9" s="663">
        <v>-1.0841627396473053</v>
      </c>
      <c r="G9" s="544"/>
      <c r="H9" s="595"/>
      <c r="I9" s="626"/>
      <c r="J9" s="633"/>
      <c r="K9" s="633"/>
      <c r="L9" s="633"/>
      <c r="M9" s="634"/>
      <c r="N9" s="627"/>
      <c r="O9" s="595"/>
    </row>
    <row r="10" spans="1:15" s="596" customFormat="1" ht="24" customHeight="1">
      <c r="A10" s="635" t="s">
        <v>88</v>
      </c>
      <c r="B10" s="661">
        <v>0.12837539664194003</v>
      </c>
      <c r="C10" s="661">
        <v>1.4226166224508496</v>
      </c>
      <c r="D10" s="662">
        <v>1.2942412258089095</v>
      </c>
      <c r="E10" s="661">
        <v>0.97436245133634314</v>
      </c>
      <c r="F10" s="665">
        <v>-0.44825417111450649</v>
      </c>
      <c r="G10" s="544"/>
      <c r="H10" s="595"/>
      <c r="I10" s="626"/>
      <c r="J10" s="633"/>
      <c r="K10" s="633"/>
      <c r="L10" s="633"/>
      <c r="M10" s="634"/>
      <c r="N10" s="627"/>
      <c r="O10" s="595"/>
    </row>
    <row r="11" spans="1:15" s="596" customFormat="1" ht="24" customHeight="1">
      <c r="A11" s="635" t="s">
        <v>90</v>
      </c>
      <c r="B11" s="661" t="s">
        <v>89</v>
      </c>
      <c r="C11" s="661">
        <v>3.0858958941762582</v>
      </c>
      <c r="D11" s="661" t="s">
        <v>665</v>
      </c>
      <c r="E11" s="661" t="s">
        <v>89</v>
      </c>
      <c r="F11" s="663" t="s">
        <v>665</v>
      </c>
      <c r="G11" s="544"/>
      <c r="H11" s="595"/>
      <c r="I11" s="626"/>
      <c r="J11" s="633"/>
      <c r="K11" s="633"/>
      <c r="L11" s="633"/>
      <c r="M11" s="634"/>
      <c r="N11" s="627"/>
      <c r="O11" s="595"/>
    </row>
    <row r="12" spans="1:15" s="596" customFormat="1" ht="24" customHeight="1">
      <c r="A12" s="635" t="s">
        <v>91</v>
      </c>
      <c r="B12" s="664">
        <v>8.1074632563466309E-2</v>
      </c>
      <c r="C12" s="664">
        <v>3.7628487574036229</v>
      </c>
      <c r="D12" s="661">
        <v>3.6817741248401568</v>
      </c>
      <c r="E12" s="664" t="s">
        <v>89</v>
      </c>
      <c r="F12" s="663" t="s">
        <v>665</v>
      </c>
      <c r="G12" s="544"/>
      <c r="H12" s="595"/>
      <c r="I12" s="626"/>
      <c r="J12" s="633"/>
      <c r="K12" s="633"/>
      <c r="L12" s="633"/>
      <c r="M12" s="634"/>
      <c r="N12" s="627"/>
      <c r="O12" s="595"/>
    </row>
    <row r="13" spans="1:15" s="596" customFormat="1" ht="24" customHeight="1">
      <c r="A13" s="635" t="s">
        <v>92</v>
      </c>
      <c r="B13" s="664">
        <v>0.4873291097032344</v>
      </c>
      <c r="C13" s="664">
        <v>1.0835602926028709</v>
      </c>
      <c r="D13" s="662">
        <v>0.5962311828996365</v>
      </c>
      <c r="E13" s="664">
        <v>1.4754459370186584E-2</v>
      </c>
      <c r="F13" s="665">
        <v>-1.0688058332326844</v>
      </c>
      <c r="G13" s="544"/>
      <c r="H13" s="595"/>
      <c r="I13" s="626"/>
      <c r="J13" s="633"/>
      <c r="K13" s="633"/>
      <c r="L13" s="633"/>
      <c r="M13" s="634"/>
      <c r="N13" s="627"/>
      <c r="O13" s="595"/>
    </row>
    <row r="14" spans="1:15" s="596" customFormat="1" ht="24" customHeight="1">
      <c r="A14" s="635" t="s">
        <v>93</v>
      </c>
      <c r="B14" s="661" t="s">
        <v>89</v>
      </c>
      <c r="C14" s="661" t="s">
        <v>89</v>
      </c>
      <c r="D14" s="661" t="s">
        <v>665</v>
      </c>
      <c r="E14" s="664" t="s">
        <v>89</v>
      </c>
      <c r="F14" s="663" t="s">
        <v>665</v>
      </c>
      <c r="G14" s="544"/>
      <c r="H14" s="595"/>
      <c r="I14" s="626"/>
      <c r="J14" s="633"/>
      <c r="K14" s="633"/>
      <c r="L14" s="633"/>
      <c r="M14" s="634"/>
      <c r="N14" s="627"/>
      <c r="O14" s="595"/>
    </row>
    <row r="15" spans="1:15" s="596" customFormat="1" ht="24" customHeight="1">
      <c r="A15" s="635" t="s">
        <v>95</v>
      </c>
      <c r="B15" s="664">
        <v>0.87603234563290866</v>
      </c>
      <c r="C15" s="664">
        <v>1.0573216737960318</v>
      </c>
      <c r="D15" s="661">
        <v>0.18128932816312315</v>
      </c>
      <c r="E15" s="664">
        <v>0.77453914384882372</v>
      </c>
      <c r="F15" s="663">
        <v>-0.28278252994720809</v>
      </c>
      <c r="G15" s="544"/>
      <c r="H15" s="595"/>
      <c r="I15" s="626"/>
      <c r="J15" s="633"/>
      <c r="K15" s="633"/>
      <c r="L15" s="633"/>
      <c r="M15" s="634"/>
      <c r="N15" s="627"/>
      <c r="O15" s="595"/>
    </row>
    <row r="16" spans="1:15" s="596" customFormat="1" ht="24" customHeight="1">
      <c r="A16" s="635" t="s">
        <v>140</v>
      </c>
      <c r="B16" s="661" t="s">
        <v>89</v>
      </c>
      <c r="C16" s="661" t="s">
        <v>89</v>
      </c>
      <c r="D16" s="661" t="s">
        <v>665</v>
      </c>
      <c r="E16" s="666">
        <v>0.27825136921713733</v>
      </c>
      <c r="F16" s="663" t="s">
        <v>665</v>
      </c>
      <c r="G16" s="544"/>
      <c r="H16" s="595"/>
      <c r="I16" s="626"/>
      <c r="J16" s="633"/>
      <c r="K16" s="633"/>
      <c r="L16" s="633"/>
      <c r="M16" s="639"/>
      <c r="N16" s="627"/>
      <c r="O16" s="595"/>
    </row>
    <row r="17" spans="1:15" s="596" customFormat="1" ht="24" customHeight="1">
      <c r="A17" s="635" t="s">
        <v>645</v>
      </c>
      <c r="B17" s="661">
        <v>0.45521933096107475</v>
      </c>
      <c r="C17" s="661">
        <v>1.2314330716021948</v>
      </c>
      <c r="D17" s="661">
        <v>0.77621374064112003</v>
      </c>
      <c r="E17" s="662" t="s">
        <v>89</v>
      </c>
      <c r="F17" s="663" t="s">
        <v>665</v>
      </c>
      <c r="G17" s="544"/>
      <c r="H17" s="595"/>
      <c r="I17" s="626"/>
      <c r="J17" s="633"/>
      <c r="K17" s="633"/>
      <c r="L17" s="633"/>
      <c r="M17" s="639"/>
      <c r="N17" s="627"/>
      <c r="O17" s="595"/>
    </row>
    <row r="18" spans="1:15" s="596" customFormat="1" ht="24" customHeight="1">
      <c r="A18" s="635" t="s">
        <v>646</v>
      </c>
      <c r="B18" s="664">
        <v>0.12476976537878955</v>
      </c>
      <c r="C18" s="664">
        <v>0.21840607070046802</v>
      </c>
      <c r="D18" s="661">
        <v>9.3636305321678479E-2</v>
      </c>
      <c r="E18" s="664">
        <v>9.7477347474015139E-2</v>
      </c>
      <c r="F18" s="663">
        <v>-0.12092872322645289</v>
      </c>
      <c r="G18" s="544"/>
      <c r="H18" s="595"/>
      <c r="I18" s="626"/>
      <c r="J18" s="633"/>
      <c r="K18" s="633"/>
      <c r="L18" s="633"/>
      <c r="M18" s="634"/>
      <c r="N18" s="627"/>
      <c r="O18" s="595"/>
    </row>
    <row r="19" spans="1:15" s="596" customFormat="1" ht="24" customHeight="1">
      <c r="A19" s="641" t="s">
        <v>141</v>
      </c>
      <c r="B19" s="661">
        <v>0.39877773768717306</v>
      </c>
      <c r="C19" s="661">
        <v>1.0221815124026845</v>
      </c>
      <c r="D19" s="661">
        <v>0.62340377471551145</v>
      </c>
      <c r="E19" s="661">
        <v>9.1960955035987488E-2</v>
      </c>
      <c r="F19" s="667">
        <v>-0.93022055736669707</v>
      </c>
      <c r="G19" s="544"/>
      <c r="H19" s="595"/>
      <c r="I19" s="626"/>
      <c r="J19" s="633"/>
      <c r="K19" s="633"/>
      <c r="L19" s="633"/>
      <c r="M19" s="634"/>
      <c r="N19" s="627"/>
      <c r="O19" s="595"/>
    </row>
    <row r="20" spans="1:15" s="596" customFormat="1" ht="24" customHeight="1">
      <c r="A20" s="641" t="s">
        <v>647</v>
      </c>
      <c r="B20" s="661">
        <v>0.58481524569275933</v>
      </c>
      <c r="C20" s="661">
        <v>0.77793262385675888</v>
      </c>
      <c r="D20" s="662">
        <v>0.19311737816399954</v>
      </c>
      <c r="E20" s="661">
        <v>0.4942940517921694</v>
      </c>
      <c r="F20" s="667">
        <v>-0.28363857206458948</v>
      </c>
      <c r="G20" s="544"/>
      <c r="H20" s="595"/>
      <c r="I20" s="626"/>
      <c r="J20" s="633"/>
      <c r="K20" s="633"/>
      <c r="L20" s="633"/>
      <c r="M20" s="634"/>
      <c r="N20" s="627"/>
      <c r="O20" s="595"/>
    </row>
    <row r="21" spans="1:15" s="596" customFormat="1" ht="24" customHeight="1">
      <c r="A21" s="641" t="s">
        <v>142</v>
      </c>
      <c r="B21" s="661" t="s">
        <v>89</v>
      </c>
      <c r="C21" s="661">
        <v>1.2380882106982261</v>
      </c>
      <c r="D21" s="661" t="s">
        <v>665</v>
      </c>
      <c r="E21" s="661">
        <v>9.5158286778398507E-2</v>
      </c>
      <c r="F21" s="668">
        <v>-1.1429299239198276</v>
      </c>
      <c r="G21" s="544"/>
      <c r="H21" s="595"/>
      <c r="I21" s="626"/>
      <c r="J21" s="633"/>
      <c r="K21" s="633"/>
      <c r="L21" s="633"/>
      <c r="M21" s="634"/>
      <c r="N21" s="627"/>
      <c r="O21" s="595"/>
    </row>
    <row r="22" spans="1:15" s="596" customFormat="1" ht="24" customHeight="1">
      <c r="A22" s="641" t="s">
        <v>144</v>
      </c>
      <c r="B22" s="661">
        <v>0.28497364090221888</v>
      </c>
      <c r="C22" s="661">
        <v>1.6866580055682416</v>
      </c>
      <c r="D22" s="661">
        <v>1.4016843646660226</v>
      </c>
      <c r="E22" s="661">
        <v>0.43211562975821755</v>
      </c>
      <c r="F22" s="667">
        <v>-1.254542375810024</v>
      </c>
      <c r="G22" s="544"/>
      <c r="H22" s="595"/>
      <c r="I22" s="626"/>
      <c r="J22" s="633"/>
      <c r="K22" s="633"/>
      <c r="L22" s="633"/>
      <c r="M22" s="634"/>
      <c r="N22" s="627"/>
      <c r="O22" s="595"/>
    </row>
    <row r="23" spans="1:15" s="596" customFormat="1" ht="24" customHeight="1">
      <c r="A23" s="641" t="s">
        <v>145</v>
      </c>
      <c r="B23" s="661">
        <v>0.58629838830061298</v>
      </c>
      <c r="C23" s="661">
        <v>1.566482095403394</v>
      </c>
      <c r="D23" s="661">
        <v>0.98018370710278102</v>
      </c>
      <c r="E23" s="661">
        <v>0.62958843159065625</v>
      </c>
      <c r="F23" s="667">
        <v>-0.93689366381273775</v>
      </c>
      <c r="G23" s="544"/>
      <c r="H23" s="595"/>
      <c r="I23" s="626"/>
      <c r="J23" s="633"/>
      <c r="K23" s="633"/>
      <c r="L23" s="633"/>
      <c r="M23" s="634"/>
      <c r="N23" s="627"/>
      <c r="O23" s="595"/>
    </row>
    <row r="24" spans="1:15" s="596" customFormat="1" ht="24" customHeight="1">
      <c r="A24" s="641" t="s">
        <v>146</v>
      </c>
      <c r="B24" s="661">
        <v>1.0600495086648525</v>
      </c>
      <c r="C24" s="661">
        <v>0.73911200448011571</v>
      </c>
      <c r="D24" s="661">
        <v>-0.32093750418473677</v>
      </c>
      <c r="E24" s="661">
        <v>0.47380369801884825</v>
      </c>
      <c r="F24" s="667">
        <v>-0.26530830646126746</v>
      </c>
      <c r="G24" s="544"/>
      <c r="H24" s="595"/>
      <c r="I24" s="626"/>
      <c r="J24" s="633"/>
      <c r="K24" s="633"/>
      <c r="L24" s="633"/>
      <c r="M24" s="634"/>
      <c r="N24" s="627"/>
      <c r="O24" s="595"/>
    </row>
    <row r="25" spans="1:15" s="596" customFormat="1" ht="24" customHeight="1">
      <c r="A25" s="641" t="s">
        <v>147</v>
      </c>
      <c r="B25" s="661">
        <v>0.49335220977471378</v>
      </c>
      <c r="C25" s="661">
        <v>1.2372978007565245</v>
      </c>
      <c r="D25" s="661">
        <v>0.74394559098181068</v>
      </c>
      <c r="E25" s="664">
        <v>0.10532606134060532</v>
      </c>
      <c r="F25" s="667">
        <v>-1.1319717394159192</v>
      </c>
      <c r="G25" s="544"/>
      <c r="H25" s="595"/>
      <c r="I25" s="626"/>
      <c r="J25" s="633"/>
      <c r="K25" s="633"/>
      <c r="L25" s="633"/>
      <c r="M25" s="634"/>
      <c r="N25" s="627"/>
      <c r="O25" s="595"/>
    </row>
    <row r="26" spans="1:15" s="596" customFormat="1" ht="24" customHeight="1">
      <c r="A26" s="641" t="s">
        <v>648</v>
      </c>
      <c r="B26" s="661">
        <v>0.28180409132032264</v>
      </c>
      <c r="C26" s="661">
        <v>0.39238713931260133</v>
      </c>
      <c r="D26" s="662">
        <v>0.11058304799227869</v>
      </c>
      <c r="E26" s="661">
        <v>0.44335258167331459</v>
      </c>
      <c r="F26" s="668">
        <v>5.0965442360713265E-2</v>
      </c>
      <c r="G26" s="544"/>
      <c r="H26" s="595"/>
      <c r="I26" s="626"/>
      <c r="J26" s="633"/>
      <c r="K26" s="633"/>
      <c r="L26" s="633"/>
      <c r="M26" s="634"/>
      <c r="N26" s="627"/>
      <c r="O26" s="595"/>
    </row>
    <row r="27" spans="1:15" s="596" customFormat="1" ht="24" customHeight="1">
      <c r="A27" s="641" t="s">
        <v>148</v>
      </c>
      <c r="B27" s="661">
        <v>0.55467597052249962</v>
      </c>
      <c r="C27" s="661">
        <v>2.6623643082178234</v>
      </c>
      <c r="D27" s="661">
        <v>2.1076883376953237</v>
      </c>
      <c r="E27" s="662">
        <v>0.50712922156508611</v>
      </c>
      <c r="F27" s="668">
        <v>-2.1552350866527372</v>
      </c>
      <c r="G27" s="544"/>
      <c r="H27" s="595"/>
      <c r="I27" s="626"/>
      <c r="J27" s="633"/>
      <c r="K27" s="633"/>
      <c r="L27" s="633"/>
      <c r="M27" s="639"/>
      <c r="N27" s="627"/>
      <c r="O27" s="595"/>
    </row>
    <row r="28" spans="1:15" s="596" customFormat="1" ht="24" customHeight="1">
      <c r="A28" s="641" t="s">
        <v>150</v>
      </c>
      <c r="B28" s="661">
        <v>1.1469863281834194</v>
      </c>
      <c r="C28" s="661">
        <v>1.5362583091096378</v>
      </c>
      <c r="D28" s="661">
        <v>0.3892719809262184</v>
      </c>
      <c r="E28" s="661">
        <v>1.2250880607473069</v>
      </c>
      <c r="F28" s="667">
        <v>-0.31117024836233087</v>
      </c>
      <c r="G28" s="544"/>
      <c r="H28" s="595"/>
      <c r="I28" s="626"/>
      <c r="J28" s="633"/>
      <c r="K28" s="633"/>
      <c r="L28" s="633"/>
      <c r="M28" s="634"/>
      <c r="N28" s="627"/>
      <c r="O28" s="595"/>
    </row>
    <row r="29" spans="1:15" s="596" customFormat="1" ht="24" customHeight="1">
      <c r="A29" s="641" t="s">
        <v>151</v>
      </c>
      <c r="B29" s="661">
        <v>0.70254125125056699</v>
      </c>
      <c r="C29" s="661">
        <v>1.0917697941651432</v>
      </c>
      <c r="D29" s="661">
        <v>0.3892285429145762</v>
      </c>
      <c r="E29" s="661">
        <v>0.59765374373209434</v>
      </c>
      <c r="F29" s="668">
        <v>-0.49411605043304885</v>
      </c>
      <c r="G29" s="544"/>
      <c r="H29" s="595"/>
      <c r="I29" s="626"/>
      <c r="J29" s="633"/>
      <c r="K29" s="633"/>
      <c r="L29" s="633"/>
      <c r="M29" s="634"/>
      <c r="N29" s="627"/>
      <c r="O29" s="595"/>
    </row>
    <row r="30" spans="1:15" s="596" customFormat="1" ht="24" customHeight="1">
      <c r="A30" s="641" t="s">
        <v>649</v>
      </c>
      <c r="B30" s="661">
        <v>0.61743911654858996</v>
      </c>
      <c r="C30" s="661">
        <v>0.89909182586228642</v>
      </c>
      <c r="D30" s="661">
        <v>0.28165270931369646</v>
      </c>
      <c r="E30" s="662">
        <v>0.58900596515321302</v>
      </c>
      <c r="F30" s="668">
        <v>-0.3100858607090734</v>
      </c>
      <c r="G30" s="544"/>
      <c r="H30" s="595"/>
      <c r="I30" s="626"/>
      <c r="J30" s="633"/>
      <c r="K30" s="633"/>
      <c r="L30" s="633"/>
      <c r="M30" s="639"/>
      <c r="N30" s="639"/>
      <c r="O30" s="595"/>
    </row>
    <row r="31" spans="1:15" s="596" customFormat="1" ht="24" customHeight="1">
      <c r="A31" s="669" t="s">
        <v>152</v>
      </c>
      <c r="B31" s="670">
        <v>0.8079944389154371</v>
      </c>
      <c r="C31" s="670">
        <v>1.5822225481274488</v>
      </c>
      <c r="D31" s="670">
        <v>0.77422810921201168</v>
      </c>
      <c r="E31" s="671">
        <v>0.5263632643175078</v>
      </c>
      <c r="F31" s="672">
        <v>-1.055859283809941</v>
      </c>
      <c r="G31" s="602"/>
      <c r="H31" s="595"/>
      <c r="I31" s="626"/>
      <c r="J31" s="633"/>
      <c r="K31" s="633"/>
      <c r="L31" s="633"/>
      <c r="M31" s="634"/>
      <c r="N31" s="627"/>
      <c r="O31" s="595"/>
    </row>
    <row r="32" spans="1:15" s="596" customFormat="1" ht="19.5" customHeight="1" thickBot="1">
      <c r="A32" s="673" t="s">
        <v>154</v>
      </c>
      <c r="B32" s="674">
        <v>0.5682259801740307</v>
      </c>
      <c r="C32" s="674">
        <v>0.88239362566060364</v>
      </c>
      <c r="D32" s="675">
        <v>0.31416764548657294</v>
      </c>
      <c r="E32" s="674">
        <v>0.65193783620573387</v>
      </c>
      <c r="F32" s="676">
        <v>-0.23045578945486977</v>
      </c>
      <c r="G32" s="677"/>
      <c r="H32" s="595"/>
      <c r="I32" s="626"/>
      <c r="J32" s="633"/>
      <c r="K32" s="633"/>
      <c r="L32" s="633"/>
      <c r="M32" s="634"/>
      <c r="N32" s="627"/>
      <c r="O32" s="595"/>
    </row>
    <row r="33" spans="1:14" ht="6.75" customHeight="1" thickTop="1">
      <c r="B33" s="612"/>
      <c r="C33" s="612"/>
      <c r="D33" s="612"/>
      <c r="E33" s="612"/>
      <c r="F33" s="612"/>
      <c r="G33" s="562"/>
      <c r="J33" s="626"/>
      <c r="K33" s="626"/>
      <c r="L33" s="626"/>
      <c r="M33" s="626"/>
      <c r="N33" s="626"/>
    </row>
    <row r="34" spans="1:14">
      <c r="A34" s="517" t="s">
        <v>650</v>
      </c>
      <c r="B34" s="613"/>
      <c r="C34" s="613"/>
      <c r="D34" s="613"/>
      <c r="E34" s="613"/>
      <c r="F34" s="612"/>
      <c r="G34" s="517"/>
      <c r="J34" s="595"/>
      <c r="K34" s="595"/>
      <c r="L34" s="595"/>
      <c r="M34" s="595"/>
      <c r="N34" s="595"/>
    </row>
    <row r="35" spans="1:14">
      <c r="A35" s="517" t="s">
        <v>651</v>
      </c>
      <c r="B35" s="613"/>
      <c r="C35" s="613"/>
      <c r="D35" s="613"/>
      <c r="E35" s="613"/>
      <c r="F35" s="612"/>
      <c r="G35" s="517"/>
      <c r="I35" s="595"/>
    </row>
    <row r="36" spans="1:14">
      <c r="A36" s="609" t="s">
        <v>660</v>
      </c>
      <c r="B36" s="613"/>
      <c r="C36" s="613"/>
      <c r="D36" s="613"/>
      <c r="E36" s="613"/>
      <c r="F36" s="612"/>
      <c r="G36" s="517"/>
    </row>
    <row r="37" spans="1:14">
      <c r="A37" s="565"/>
      <c r="B37" s="613"/>
      <c r="C37" s="613"/>
      <c r="D37" s="613"/>
      <c r="E37" s="613"/>
      <c r="F37" s="612"/>
    </row>
    <row r="38" spans="1:14">
      <c r="B38" s="613"/>
      <c r="C38" s="613"/>
      <c r="D38" s="613"/>
      <c r="E38" s="613"/>
      <c r="F38" s="612"/>
      <c r="I38" s="595"/>
    </row>
    <row r="39" spans="1:14">
      <c r="B39" s="613"/>
      <c r="C39" s="613"/>
      <c r="D39" s="613"/>
      <c r="E39" s="613"/>
      <c r="F39" s="612"/>
      <c r="I39" s="595"/>
    </row>
    <row r="40" spans="1:14">
      <c r="B40" s="613"/>
      <c r="C40" s="613"/>
      <c r="D40" s="613"/>
      <c r="E40" s="613"/>
      <c r="F40" s="612"/>
    </row>
    <row r="41" spans="1:14">
      <c r="B41" s="613"/>
      <c r="C41" s="613"/>
      <c r="D41" s="613"/>
      <c r="E41" s="613"/>
      <c r="F41" s="612"/>
    </row>
    <row r="42" spans="1:14">
      <c r="A42" s="565"/>
      <c r="B42" s="613"/>
      <c r="C42" s="613"/>
      <c r="D42" s="613"/>
      <c r="E42" s="613"/>
      <c r="F42" s="612"/>
    </row>
    <row r="43" spans="1:14">
      <c r="A43" s="565"/>
      <c r="B43" s="613"/>
      <c r="C43" s="613"/>
      <c r="D43" s="613"/>
      <c r="E43" s="613"/>
      <c r="F43" s="612"/>
    </row>
    <row r="44" spans="1:14">
      <c r="A44" s="565"/>
      <c r="B44" s="613"/>
      <c r="C44" s="613"/>
      <c r="D44" s="613"/>
      <c r="E44" s="613"/>
      <c r="F44" s="612"/>
    </row>
    <row r="45" spans="1:14">
      <c r="B45" s="613"/>
      <c r="C45" s="613"/>
      <c r="D45" s="613"/>
      <c r="E45" s="613"/>
      <c r="F45" s="612"/>
    </row>
    <row r="46" spans="1:14">
      <c r="B46" s="613"/>
      <c r="C46" s="613"/>
      <c r="D46" s="613"/>
      <c r="E46" s="613"/>
      <c r="F46" s="612"/>
    </row>
    <row r="47" spans="1:14">
      <c r="B47" s="613"/>
      <c r="C47" s="613"/>
      <c r="D47" s="613"/>
      <c r="E47" s="613"/>
      <c r="F47" s="612"/>
    </row>
    <row r="48" spans="1:14">
      <c r="B48" s="613"/>
      <c r="C48" s="613"/>
      <c r="D48" s="613"/>
      <c r="E48" s="613"/>
      <c r="F48" s="612"/>
    </row>
    <row r="49" spans="1:6">
      <c r="B49" s="613"/>
      <c r="C49" s="613"/>
      <c r="D49" s="613"/>
      <c r="E49" s="613"/>
      <c r="F49" s="612"/>
    </row>
    <row r="50" spans="1:6">
      <c r="B50" s="613"/>
      <c r="C50" s="613"/>
      <c r="D50" s="613"/>
      <c r="E50" s="613"/>
      <c r="F50" s="612"/>
    </row>
    <row r="51" spans="1:6">
      <c r="B51" s="613"/>
      <c r="C51" s="613"/>
      <c r="D51" s="613"/>
      <c r="E51" s="613"/>
      <c r="F51" s="612"/>
    </row>
    <row r="52" spans="1:6">
      <c r="B52" s="613"/>
      <c r="C52" s="613"/>
      <c r="D52" s="613"/>
      <c r="E52" s="613"/>
      <c r="F52" s="612"/>
    </row>
    <row r="53" spans="1:6">
      <c r="B53" s="613"/>
      <c r="C53" s="613"/>
      <c r="D53" s="613"/>
      <c r="E53" s="613"/>
      <c r="F53" s="612"/>
    </row>
    <row r="54" spans="1:6">
      <c r="B54" s="613"/>
      <c r="C54" s="613"/>
      <c r="D54" s="613"/>
      <c r="E54" s="613"/>
      <c r="F54" s="612"/>
    </row>
    <row r="55" spans="1:6">
      <c r="A55" s="565"/>
      <c r="B55" s="613"/>
      <c r="C55" s="613"/>
      <c r="D55" s="613"/>
      <c r="E55" s="613"/>
      <c r="F55" s="612"/>
    </row>
  </sheetData>
  <mergeCells count="1">
    <mergeCell ref="A1:F1"/>
  </mergeCells>
  <pageMargins left="0.6692913385826772" right="0.55118110236220474" top="0.98425196850393704" bottom="0.74803149606299213" header="0.51181102362204722" footer="0.47244094488188981"/>
  <pageSetup paperSize="9" scale="95" orientation="portrait" horizontalDpi="300" verticalDpi="300" r:id="rId1"/>
  <headerFooter alignWithMargins="0">
    <oddHeader>&amp;LFachgruppe für kantonale Finanzfragen (FkF)
Groupe d'étude pour les finances cantonales&amp;RZürich, 26.04.2016</oddHeader>
    <oddFooter>&amp;LQuelle: FkF Mai 2016&amp;RBlatt 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J186"/>
  <sheetViews>
    <sheetView tabSelected="1" zoomScale="115" zoomScaleNormal="115" workbookViewId="0">
      <pane xSplit="3" ySplit="2" topLeftCell="D3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11.5" defaultRowHeight="13"/>
  <cols>
    <col min="1" max="1" width="15.1640625" style="84" customWidth="1"/>
    <col min="2" max="2" width="3.6640625" style="84" customWidth="1"/>
    <col min="3" max="3" width="44.6640625" style="84" customWidth="1"/>
    <col min="4" max="5" width="11.5" style="84"/>
    <col min="6" max="7" width="11.5" style="84" customWidth="1"/>
    <col min="8" max="16384" width="11.5" style="84"/>
  </cols>
  <sheetData>
    <row r="1" spans="1:36" s="77" customFormat="1" ht="18" customHeight="1">
      <c r="A1" s="319" t="s">
        <v>156</v>
      </c>
      <c r="B1" s="437" t="s">
        <v>629</v>
      </c>
      <c r="C1" s="437" t="s">
        <v>87</v>
      </c>
      <c r="D1" s="74" t="s">
        <v>7</v>
      </c>
      <c r="E1" s="75" t="s">
        <v>9</v>
      </c>
      <c r="F1" s="74" t="s">
        <v>7</v>
      </c>
      <c r="G1" s="75" t="s">
        <v>9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</row>
    <row r="2" spans="1:36" s="83" customFormat="1" ht="15" customHeight="1">
      <c r="A2" s="78"/>
      <c r="B2" s="79"/>
      <c r="C2" s="80" t="s">
        <v>158</v>
      </c>
      <c r="D2" s="81">
        <v>2014</v>
      </c>
      <c r="E2" s="82">
        <v>2015</v>
      </c>
      <c r="F2" s="81">
        <v>2015</v>
      </c>
      <c r="G2" s="82">
        <v>2016</v>
      </c>
    </row>
    <row r="3" spans="1:36" ht="15" customHeight="1">
      <c r="A3" s="678" t="s">
        <v>159</v>
      </c>
      <c r="B3" s="679"/>
      <c r="C3" s="679"/>
      <c r="D3" s="91"/>
      <c r="E3" s="394" t="s">
        <v>389</v>
      </c>
      <c r="F3" s="85"/>
      <c r="G3" s="85"/>
    </row>
    <row r="4" spans="1:36" s="91" customFormat="1" ht="12.75" customHeight="1">
      <c r="A4" s="86">
        <v>30</v>
      </c>
      <c r="B4" s="87"/>
      <c r="C4" s="88" t="s">
        <v>14</v>
      </c>
      <c r="D4" s="89">
        <v>102534.5</v>
      </c>
      <c r="E4" s="90">
        <v>103449.60000000001</v>
      </c>
      <c r="F4" s="90">
        <v>103272</v>
      </c>
      <c r="G4" s="90">
        <v>104178.4</v>
      </c>
    </row>
    <row r="5" spans="1:36" s="91" customFormat="1" ht="12.75" customHeight="1">
      <c r="A5" s="92">
        <v>31</v>
      </c>
      <c r="B5" s="93"/>
      <c r="C5" s="94" t="s">
        <v>160</v>
      </c>
      <c r="D5" s="95">
        <v>50006.400000000001</v>
      </c>
      <c r="E5" s="96">
        <v>54853.599999999999</v>
      </c>
      <c r="F5" s="96">
        <v>50342.6</v>
      </c>
      <c r="G5" s="96">
        <v>54347.8</v>
      </c>
    </row>
    <row r="6" spans="1:36" s="91" customFormat="1" ht="12.75" customHeight="1">
      <c r="A6" s="97" t="s">
        <v>17</v>
      </c>
      <c r="B6" s="98"/>
      <c r="C6" s="99" t="s">
        <v>161</v>
      </c>
      <c r="D6" s="100">
        <v>6775.1</v>
      </c>
      <c r="E6" s="96">
        <v>6219.5</v>
      </c>
      <c r="F6" s="96">
        <v>6083.8</v>
      </c>
      <c r="G6" s="96">
        <v>7068</v>
      </c>
    </row>
    <row r="7" spans="1:36" s="91" customFormat="1" ht="12.75" customHeight="1">
      <c r="A7" s="97" t="s">
        <v>162</v>
      </c>
      <c r="B7" s="98"/>
      <c r="C7" s="99" t="s">
        <v>163</v>
      </c>
      <c r="D7" s="100">
        <v>220</v>
      </c>
      <c r="E7" s="96">
        <v>0</v>
      </c>
      <c r="F7" s="96">
        <v>200</v>
      </c>
      <c r="G7" s="96">
        <v>0</v>
      </c>
    </row>
    <row r="8" spans="1:36" s="91" customFormat="1" ht="12.75" customHeight="1">
      <c r="A8" s="101">
        <v>330</v>
      </c>
      <c r="B8" s="93"/>
      <c r="C8" s="94" t="s">
        <v>164</v>
      </c>
      <c r="D8" s="95">
        <v>5326.3</v>
      </c>
      <c r="E8" s="96">
        <v>5753.2</v>
      </c>
      <c r="F8" s="96">
        <v>5790</v>
      </c>
      <c r="G8" s="96">
        <v>6034</v>
      </c>
    </row>
    <row r="9" spans="1:36" s="91" customFormat="1" ht="12.75" customHeight="1">
      <c r="A9" s="101">
        <v>332</v>
      </c>
      <c r="B9" s="93"/>
      <c r="C9" s="94" t="s">
        <v>165</v>
      </c>
      <c r="D9" s="95">
        <v>627</v>
      </c>
      <c r="E9" s="96">
        <v>774</v>
      </c>
      <c r="F9" s="96">
        <v>848</v>
      </c>
      <c r="G9" s="96">
        <v>516</v>
      </c>
    </row>
    <row r="10" spans="1:36" s="91" customFormat="1" ht="12.75" customHeight="1">
      <c r="A10" s="101">
        <v>339</v>
      </c>
      <c r="B10" s="93"/>
      <c r="C10" s="94" t="s">
        <v>166</v>
      </c>
      <c r="D10" s="95">
        <v>0</v>
      </c>
      <c r="E10" s="96">
        <v>0</v>
      </c>
      <c r="F10" s="96">
        <v>0</v>
      </c>
      <c r="G10" s="96">
        <v>0</v>
      </c>
    </row>
    <row r="11" spans="1:36" s="91" customFormat="1" ht="12.75" customHeight="1">
      <c r="A11" s="92">
        <v>350</v>
      </c>
      <c r="B11" s="93"/>
      <c r="C11" s="94" t="s">
        <v>167</v>
      </c>
      <c r="D11" s="95">
        <v>339.7</v>
      </c>
      <c r="E11" s="96">
        <v>253.7</v>
      </c>
      <c r="F11" s="96">
        <v>322.39999999999998</v>
      </c>
      <c r="G11" s="96">
        <v>332</v>
      </c>
    </row>
    <row r="12" spans="1:36" s="106" customFormat="1" ht="14">
      <c r="A12" s="102">
        <v>351</v>
      </c>
      <c r="B12" s="103"/>
      <c r="C12" s="104" t="s">
        <v>168</v>
      </c>
      <c r="D12" s="105">
        <v>2300.8000000000002</v>
      </c>
      <c r="E12" s="96">
        <v>570</v>
      </c>
      <c r="F12" s="96">
        <v>2933.8</v>
      </c>
      <c r="G12" s="96">
        <v>625.29999999999995</v>
      </c>
    </row>
    <row r="13" spans="1:36" s="91" customFormat="1" ht="12.75" customHeight="1">
      <c r="A13" s="92">
        <v>36</v>
      </c>
      <c r="B13" s="93"/>
      <c r="C13" s="94" t="s">
        <v>169</v>
      </c>
      <c r="D13" s="130">
        <v>171041.5</v>
      </c>
      <c r="E13" s="96">
        <v>189598.3</v>
      </c>
      <c r="F13" s="96">
        <v>178370</v>
      </c>
      <c r="G13" s="96">
        <v>187275</v>
      </c>
    </row>
    <row r="14" spans="1:36" s="91" customFormat="1" ht="12.75" customHeight="1">
      <c r="A14" s="107" t="s">
        <v>170</v>
      </c>
      <c r="B14" s="93"/>
      <c r="C14" s="108" t="s">
        <v>171</v>
      </c>
      <c r="D14" s="130">
        <v>7213.5</v>
      </c>
      <c r="E14" s="96">
        <v>7488</v>
      </c>
      <c r="F14" s="96">
        <v>8180.5</v>
      </c>
      <c r="G14" s="96">
        <v>7701.5</v>
      </c>
    </row>
    <row r="15" spans="1:36" s="91" customFormat="1" ht="12.75" customHeight="1">
      <c r="A15" s="107" t="s">
        <v>172</v>
      </c>
      <c r="B15" s="93"/>
      <c r="C15" s="108" t="s">
        <v>173</v>
      </c>
      <c r="D15" s="130">
        <v>5786.5</v>
      </c>
      <c r="E15" s="96">
        <v>18283.5</v>
      </c>
      <c r="F15" s="96">
        <v>6063.6</v>
      </c>
      <c r="G15" s="96">
        <v>12108.4</v>
      </c>
    </row>
    <row r="16" spans="1:36" s="111" customFormat="1" ht="26.25" customHeight="1">
      <c r="A16" s="107" t="s">
        <v>174</v>
      </c>
      <c r="B16" s="109"/>
      <c r="C16" s="108" t="s">
        <v>175</v>
      </c>
      <c r="D16" s="395">
        <v>3813.4</v>
      </c>
      <c r="E16" s="96">
        <v>5695.6</v>
      </c>
      <c r="F16" s="96">
        <v>5700.2</v>
      </c>
      <c r="G16" s="96">
        <v>4876.3</v>
      </c>
    </row>
    <row r="17" spans="1:7" s="113" customFormat="1">
      <c r="A17" s="92">
        <v>37</v>
      </c>
      <c r="B17" s="93"/>
      <c r="C17" s="94" t="s">
        <v>176</v>
      </c>
      <c r="D17" s="130">
        <v>31513.599999999999</v>
      </c>
      <c r="E17" s="96">
        <v>32436.5</v>
      </c>
      <c r="F17" s="96">
        <v>30871.599999999999</v>
      </c>
      <c r="G17" s="96">
        <v>31279.9</v>
      </c>
    </row>
    <row r="18" spans="1:7" s="113" customFormat="1">
      <c r="A18" s="114" t="s">
        <v>177</v>
      </c>
      <c r="B18" s="98"/>
      <c r="C18" s="99" t="s">
        <v>178</v>
      </c>
      <c r="D18" s="130">
        <v>0</v>
      </c>
      <c r="E18" s="96">
        <v>0</v>
      </c>
      <c r="F18" s="96">
        <v>0</v>
      </c>
      <c r="G18" s="96">
        <v>0</v>
      </c>
    </row>
    <row r="19" spans="1:7" s="113" customFormat="1">
      <c r="A19" s="114" t="s">
        <v>179</v>
      </c>
      <c r="B19" s="98"/>
      <c r="C19" s="99" t="s">
        <v>180</v>
      </c>
      <c r="D19" s="130">
        <v>30729.599999999999</v>
      </c>
      <c r="E19" s="96">
        <v>31616.5</v>
      </c>
      <c r="F19" s="96">
        <v>30510.6</v>
      </c>
      <c r="G19" s="96">
        <v>30699.9</v>
      </c>
    </row>
    <row r="20" spans="1:7" s="91" customFormat="1" ht="12.75" customHeight="1">
      <c r="A20" s="116">
        <v>39</v>
      </c>
      <c r="B20" s="117"/>
      <c r="C20" s="118" t="s">
        <v>181</v>
      </c>
      <c r="D20" s="177">
        <v>16257.1</v>
      </c>
      <c r="E20" s="120">
        <v>16593.8</v>
      </c>
      <c r="F20" s="120">
        <v>16426.7</v>
      </c>
      <c r="G20" s="120">
        <v>16257.6</v>
      </c>
    </row>
    <row r="21" spans="1:7" ht="12.75" customHeight="1">
      <c r="A21" s="121"/>
      <c r="B21" s="121"/>
      <c r="C21" s="122" t="s">
        <v>182</v>
      </c>
      <c r="D21" s="123">
        <f t="shared" ref="D21:G21" si="0">D4+D5+SUM(D8:D13)+D17</f>
        <v>363689.79999999993</v>
      </c>
      <c r="E21" s="123">
        <f t="shared" si="0"/>
        <v>387688.9</v>
      </c>
      <c r="F21" s="123">
        <f t="shared" si="0"/>
        <v>372750.4</v>
      </c>
      <c r="G21" s="123">
        <f t="shared" si="0"/>
        <v>384588.4</v>
      </c>
    </row>
    <row r="22" spans="1:7" s="91" customFormat="1" ht="12.75" customHeight="1">
      <c r="A22" s="101" t="s">
        <v>183</v>
      </c>
      <c r="B22" s="93"/>
      <c r="C22" s="94" t="s">
        <v>184</v>
      </c>
      <c r="D22" s="95">
        <f>60484.4+10000.3</f>
        <v>70484.7</v>
      </c>
      <c r="E22" s="124">
        <f>58835+8012</f>
        <v>66847</v>
      </c>
      <c r="F22" s="124">
        <v>71111.099999999991</v>
      </c>
      <c r="G22" s="124">
        <v>71309</v>
      </c>
    </row>
    <row r="23" spans="1:7" s="91" customFormat="1" ht="12.75" customHeight="1">
      <c r="A23" s="101" t="s">
        <v>185</v>
      </c>
      <c r="B23" s="93"/>
      <c r="C23" s="94" t="s">
        <v>186</v>
      </c>
      <c r="D23" s="95">
        <f>7744.2+9619.2</f>
        <v>17363.400000000001</v>
      </c>
      <c r="E23" s="124">
        <f>7200+9796</f>
        <v>16996</v>
      </c>
      <c r="F23" s="124">
        <v>16836</v>
      </c>
      <c r="G23" s="124">
        <v>17546</v>
      </c>
    </row>
    <row r="24" spans="1:7" s="125" customFormat="1" ht="12.75" customHeight="1">
      <c r="A24" s="92">
        <v>41</v>
      </c>
      <c r="B24" s="93"/>
      <c r="C24" s="94" t="s">
        <v>187</v>
      </c>
      <c r="D24" s="95">
        <v>25698.1</v>
      </c>
      <c r="E24" s="124">
        <v>34859</v>
      </c>
      <c r="F24" s="124">
        <v>36524.300000000003</v>
      </c>
      <c r="G24" s="124">
        <v>28640.2</v>
      </c>
    </row>
    <row r="25" spans="1:7" s="91" customFormat="1" ht="12.75" customHeight="1">
      <c r="A25" s="126">
        <v>42</v>
      </c>
      <c r="B25" s="127"/>
      <c r="C25" s="94" t="s">
        <v>188</v>
      </c>
      <c r="D25" s="95">
        <v>24219.200000000001</v>
      </c>
      <c r="E25" s="124">
        <v>23505</v>
      </c>
      <c r="F25" s="124">
        <v>27538.5</v>
      </c>
      <c r="G25" s="124">
        <v>23659.599999999999</v>
      </c>
    </row>
    <row r="26" spans="1:7" s="129" customFormat="1" ht="12.75" customHeight="1">
      <c r="A26" s="102">
        <v>430</v>
      </c>
      <c r="B26" s="93"/>
      <c r="C26" s="94" t="s">
        <v>189</v>
      </c>
      <c r="D26" s="112">
        <v>200</v>
      </c>
      <c r="E26" s="128">
        <v>3</v>
      </c>
      <c r="F26" s="128">
        <v>2</v>
      </c>
      <c r="G26" s="128">
        <v>3</v>
      </c>
    </row>
    <row r="27" spans="1:7" s="129" customFormat="1" ht="12.75" customHeight="1">
      <c r="A27" s="102">
        <v>431</v>
      </c>
      <c r="B27" s="93"/>
      <c r="C27" s="94" t="s">
        <v>190</v>
      </c>
      <c r="D27" s="112">
        <v>746.7</v>
      </c>
      <c r="E27" s="128">
        <v>601</v>
      </c>
      <c r="F27" s="128">
        <v>628.20000000000005</v>
      </c>
      <c r="G27" s="128">
        <v>566</v>
      </c>
    </row>
    <row r="28" spans="1:7" s="129" customFormat="1" ht="12.75" customHeight="1">
      <c r="A28" s="102">
        <v>432</v>
      </c>
      <c r="B28" s="93"/>
      <c r="C28" s="94" t="s">
        <v>191</v>
      </c>
      <c r="D28" s="112">
        <v>0</v>
      </c>
      <c r="E28" s="128">
        <v>0</v>
      </c>
      <c r="F28" s="128">
        <v>0</v>
      </c>
      <c r="G28" s="128">
        <v>0</v>
      </c>
    </row>
    <row r="29" spans="1:7" s="129" customFormat="1" ht="12.75" customHeight="1">
      <c r="A29" s="102">
        <v>439</v>
      </c>
      <c r="B29" s="93"/>
      <c r="C29" s="94" t="s">
        <v>192</v>
      </c>
      <c r="D29" s="112">
        <v>128.1</v>
      </c>
      <c r="E29" s="128">
        <v>0</v>
      </c>
      <c r="F29" s="128">
        <v>74.900000000000006</v>
      </c>
      <c r="G29" s="128">
        <v>0</v>
      </c>
    </row>
    <row r="30" spans="1:7" s="91" customFormat="1" ht="14">
      <c r="A30" s="102">
        <v>450</v>
      </c>
      <c r="B30" s="103"/>
      <c r="C30" s="104" t="s">
        <v>193</v>
      </c>
      <c r="D30" s="130">
        <v>224.6</v>
      </c>
      <c r="E30" s="96">
        <v>220.8</v>
      </c>
      <c r="F30" s="96">
        <v>368.1</v>
      </c>
      <c r="G30" s="96">
        <v>28.6</v>
      </c>
    </row>
    <row r="31" spans="1:7" s="106" customFormat="1" ht="14">
      <c r="A31" s="102">
        <v>451</v>
      </c>
      <c r="B31" s="103"/>
      <c r="C31" s="104" t="s">
        <v>194</v>
      </c>
      <c r="D31" s="131">
        <v>239.6</v>
      </c>
      <c r="E31" s="144">
        <v>863.6</v>
      </c>
      <c r="F31" s="144">
        <v>1659.9</v>
      </c>
      <c r="G31" s="144">
        <v>2018.3</v>
      </c>
    </row>
    <row r="32" spans="1:7" s="91" customFormat="1" ht="12.75" customHeight="1">
      <c r="A32" s="92">
        <v>46</v>
      </c>
      <c r="B32" s="93"/>
      <c r="C32" s="94" t="s">
        <v>195</v>
      </c>
      <c r="D32" s="95">
        <v>197514.6</v>
      </c>
      <c r="E32" s="124">
        <v>205451.7</v>
      </c>
      <c r="F32" s="124">
        <v>199271.4</v>
      </c>
      <c r="G32" s="124">
        <v>198290.2</v>
      </c>
    </row>
    <row r="33" spans="1:7" s="106" customFormat="1" ht="12.75" customHeight="1">
      <c r="A33" s="114" t="s">
        <v>196</v>
      </c>
      <c r="B33" s="98"/>
      <c r="C33" s="99" t="s">
        <v>197</v>
      </c>
      <c r="D33" s="95">
        <v>0</v>
      </c>
      <c r="E33" s="132">
        <v>0</v>
      </c>
      <c r="F33" s="132">
        <v>0</v>
      </c>
      <c r="G33" s="132">
        <v>0</v>
      </c>
    </row>
    <row r="34" spans="1:7" s="91" customFormat="1" ht="15" customHeight="1">
      <c r="A34" s="92">
        <v>47</v>
      </c>
      <c r="B34" s="93"/>
      <c r="C34" s="94" t="s">
        <v>176</v>
      </c>
      <c r="D34" s="95">
        <v>31513.599999999999</v>
      </c>
      <c r="E34" s="124">
        <v>32436.5</v>
      </c>
      <c r="F34" s="124">
        <v>30871.599999999999</v>
      </c>
      <c r="G34" s="124">
        <v>31279.9</v>
      </c>
    </row>
    <row r="35" spans="1:7" s="91" customFormat="1" ht="15" customHeight="1">
      <c r="A35" s="116">
        <v>49</v>
      </c>
      <c r="B35" s="117"/>
      <c r="C35" s="118" t="s">
        <v>198</v>
      </c>
      <c r="D35" s="177">
        <v>16257.1</v>
      </c>
      <c r="E35" s="120">
        <v>16593.8</v>
      </c>
      <c r="F35" s="120">
        <v>16426.7</v>
      </c>
      <c r="G35" s="120">
        <v>16257.6</v>
      </c>
    </row>
    <row r="36" spans="1:7" ht="13.5" customHeight="1">
      <c r="A36" s="121"/>
      <c r="B36" s="134"/>
      <c r="C36" s="122" t="s">
        <v>199</v>
      </c>
      <c r="D36" s="123">
        <f t="shared" ref="D36:G36" si="1">D22+D23+D24+D25+D26+D27+D28+D29+D30+D31+D32+D34</f>
        <v>368332.60000000003</v>
      </c>
      <c r="E36" s="123">
        <f t="shared" si="1"/>
        <v>381783.6</v>
      </c>
      <c r="F36" s="123">
        <f t="shared" si="1"/>
        <v>384886</v>
      </c>
      <c r="G36" s="123">
        <f t="shared" si="1"/>
        <v>373340.80000000005</v>
      </c>
    </row>
    <row r="37" spans="1:7" s="135" customFormat="1" ht="15" customHeight="1">
      <c r="A37" s="121"/>
      <c r="B37" s="134"/>
      <c r="C37" s="122" t="s">
        <v>200</v>
      </c>
      <c r="D37" s="123">
        <f t="shared" ref="D37:G37" si="2">D36-D21</f>
        <v>4642.8000000001048</v>
      </c>
      <c r="E37" s="123">
        <f t="shared" si="2"/>
        <v>-5905.3000000000466</v>
      </c>
      <c r="F37" s="123">
        <f t="shared" si="2"/>
        <v>12135.599999999977</v>
      </c>
      <c r="G37" s="123">
        <f t="shared" si="2"/>
        <v>-11247.599999999977</v>
      </c>
    </row>
    <row r="38" spans="1:7" s="106" customFormat="1" ht="15" customHeight="1">
      <c r="A38" s="101">
        <v>340</v>
      </c>
      <c r="B38" s="93"/>
      <c r="C38" s="94" t="s">
        <v>201</v>
      </c>
      <c r="D38" s="130">
        <v>1437.3</v>
      </c>
      <c r="E38" s="124">
        <v>1072.7</v>
      </c>
      <c r="F38" s="124">
        <v>1040.4000000000001</v>
      </c>
      <c r="G38" s="124">
        <v>669</v>
      </c>
    </row>
    <row r="39" spans="1:7" s="106" customFormat="1" ht="15" customHeight="1">
      <c r="A39" s="101">
        <v>341</v>
      </c>
      <c r="B39" s="93"/>
      <c r="C39" s="94" t="s">
        <v>202</v>
      </c>
      <c r="D39" s="95">
        <v>1.2</v>
      </c>
      <c r="E39" s="124">
        <v>0</v>
      </c>
      <c r="F39" s="124">
        <v>2</v>
      </c>
      <c r="G39" s="124">
        <v>0</v>
      </c>
    </row>
    <row r="40" spans="1:7" s="106" customFormat="1" ht="15" customHeight="1">
      <c r="A40" s="101">
        <v>342</v>
      </c>
      <c r="B40" s="93"/>
      <c r="C40" s="94" t="s">
        <v>203</v>
      </c>
      <c r="D40" s="95">
        <v>0</v>
      </c>
      <c r="E40" s="124">
        <v>0</v>
      </c>
      <c r="F40" s="124">
        <v>0</v>
      </c>
      <c r="G40" s="124">
        <v>0</v>
      </c>
    </row>
    <row r="41" spans="1:7" s="106" customFormat="1" ht="15" customHeight="1">
      <c r="A41" s="101">
        <v>343</v>
      </c>
      <c r="B41" s="93"/>
      <c r="C41" s="94" t="s">
        <v>204</v>
      </c>
      <c r="D41" s="95">
        <v>101.5</v>
      </c>
      <c r="E41" s="124">
        <v>95</v>
      </c>
      <c r="F41" s="124">
        <v>157.9</v>
      </c>
      <c r="G41" s="124">
        <v>98</v>
      </c>
    </row>
    <row r="42" spans="1:7" s="106" customFormat="1" ht="15" customHeight="1">
      <c r="A42" s="101">
        <v>344</v>
      </c>
      <c r="B42" s="93"/>
      <c r="C42" s="94" t="s">
        <v>205</v>
      </c>
      <c r="D42" s="95">
        <v>2015.6</v>
      </c>
      <c r="E42" s="124">
        <v>0</v>
      </c>
      <c r="F42" s="124">
        <v>68.3</v>
      </c>
      <c r="G42" s="124">
        <v>0</v>
      </c>
    </row>
    <row r="43" spans="1:7" s="106" customFormat="1" ht="15" customHeight="1">
      <c r="A43" s="101">
        <v>349</v>
      </c>
      <c r="B43" s="93"/>
      <c r="C43" s="94" t="s">
        <v>206</v>
      </c>
      <c r="D43" s="95">
        <v>0</v>
      </c>
      <c r="E43" s="124">
        <v>0</v>
      </c>
      <c r="F43" s="124">
        <v>0</v>
      </c>
      <c r="G43" s="124">
        <v>0</v>
      </c>
    </row>
    <row r="44" spans="1:7" s="91" customFormat="1" ht="15" customHeight="1">
      <c r="A44" s="92">
        <v>440</v>
      </c>
      <c r="B44" s="93"/>
      <c r="C44" s="94" t="s">
        <v>207</v>
      </c>
      <c r="D44" s="130">
        <v>386.9</v>
      </c>
      <c r="E44" s="124">
        <v>330.1</v>
      </c>
      <c r="F44" s="124">
        <v>232.4</v>
      </c>
      <c r="G44" s="124">
        <v>240.1</v>
      </c>
    </row>
    <row r="45" spans="1:7" s="91" customFormat="1" ht="15" customHeight="1">
      <c r="A45" s="92">
        <v>441</v>
      </c>
      <c r="B45" s="93"/>
      <c r="C45" s="94" t="s">
        <v>208</v>
      </c>
      <c r="D45" s="130">
        <v>337.1</v>
      </c>
      <c r="E45" s="124">
        <v>0</v>
      </c>
      <c r="F45" s="124">
        <v>-68.3</v>
      </c>
      <c r="G45" s="124">
        <v>0</v>
      </c>
    </row>
    <row r="46" spans="1:7" s="91" customFormat="1" ht="15" customHeight="1">
      <c r="A46" s="92">
        <v>442</v>
      </c>
      <c r="B46" s="93"/>
      <c r="C46" s="94" t="s">
        <v>209</v>
      </c>
      <c r="D46" s="130">
        <v>148</v>
      </c>
      <c r="E46" s="124">
        <v>151.69999999999999</v>
      </c>
      <c r="F46" s="124">
        <v>111.3</v>
      </c>
      <c r="G46" s="124">
        <v>132.69999999999999</v>
      </c>
    </row>
    <row r="47" spans="1:7" s="91" customFormat="1" ht="15" customHeight="1">
      <c r="A47" s="92">
        <v>443</v>
      </c>
      <c r="B47" s="93"/>
      <c r="C47" s="94" t="s">
        <v>210</v>
      </c>
      <c r="D47" s="130">
        <v>278.5</v>
      </c>
      <c r="E47" s="124">
        <v>270.60000000000002</v>
      </c>
      <c r="F47" s="124">
        <v>267.8</v>
      </c>
      <c r="G47" s="124">
        <v>270.60000000000002</v>
      </c>
    </row>
    <row r="48" spans="1:7" s="91" customFormat="1" ht="15" customHeight="1">
      <c r="A48" s="92">
        <v>444</v>
      </c>
      <c r="B48" s="93"/>
      <c r="C48" s="94" t="s">
        <v>205</v>
      </c>
      <c r="D48" s="130">
        <v>2175.3000000000002</v>
      </c>
      <c r="E48" s="124">
        <v>0</v>
      </c>
      <c r="F48" s="124">
        <v>528</v>
      </c>
      <c r="G48" s="124">
        <v>0</v>
      </c>
    </row>
    <row r="49" spans="1:7" s="91" customFormat="1" ht="15" customHeight="1">
      <c r="A49" s="92">
        <v>445</v>
      </c>
      <c r="B49" s="93"/>
      <c r="C49" s="94" t="s">
        <v>211</v>
      </c>
      <c r="D49" s="130">
        <v>120.2</v>
      </c>
      <c r="E49" s="124">
        <v>115</v>
      </c>
      <c r="F49" s="124">
        <v>90.9</v>
      </c>
      <c r="G49" s="124">
        <v>61.5</v>
      </c>
    </row>
    <row r="50" spans="1:7" s="91" customFormat="1" ht="15" customHeight="1">
      <c r="A50" s="92">
        <v>446</v>
      </c>
      <c r="B50" s="93"/>
      <c r="C50" s="94" t="s">
        <v>212</v>
      </c>
      <c r="D50" s="130">
        <v>8456.4</v>
      </c>
      <c r="E50" s="124">
        <v>8610.7999999999993</v>
      </c>
      <c r="F50" s="124">
        <v>8561.7999999999993</v>
      </c>
      <c r="G50" s="124">
        <v>8624.4</v>
      </c>
    </row>
    <row r="51" spans="1:7" s="91" customFormat="1" ht="15" customHeight="1">
      <c r="A51" s="92">
        <v>447</v>
      </c>
      <c r="B51" s="93"/>
      <c r="C51" s="94" t="s">
        <v>213</v>
      </c>
      <c r="D51" s="130">
        <v>2929.5</v>
      </c>
      <c r="E51" s="124">
        <v>2971.5</v>
      </c>
      <c r="F51" s="124">
        <v>2972.6</v>
      </c>
      <c r="G51" s="124">
        <v>2984.2</v>
      </c>
    </row>
    <row r="52" spans="1:7" s="91" customFormat="1" ht="15" customHeight="1">
      <c r="A52" s="92">
        <v>448</v>
      </c>
      <c r="B52" s="93"/>
      <c r="C52" s="94" t="s">
        <v>214</v>
      </c>
      <c r="D52" s="130">
        <v>13.4</v>
      </c>
      <c r="E52" s="124">
        <v>15.2</v>
      </c>
      <c r="F52" s="124">
        <v>13.2</v>
      </c>
      <c r="G52" s="124">
        <v>20.2</v>
      </c>
    </row>
    <row r="53" spans="1:7" s="91" customFormat="1" ht="15" customHeight="1">
      <c r="A53" s="92">
        <v>449</v>
      </c>
      <c r="B53" s="93"/>
      <c r="C53" s="94" t="s">
        <v>215</v>
      </c>
      <c r="D53" s="130">
        <v>0</v>
      </c>
      <c r="E53" s="124">
        <v>0</v>
      </c>
      <c r="F53" s="124">
        <v>0</v>
      </c>
      <c r="G53" s="124">
        <v>0</v>
      </c>
    </row>
    <row r="54" spans="1:7" s="106" customFormat="1" ht="13.5" customHeight="1">
      <c r="A54" s="136" t="s">
        <v>216</v>
      </c>
      <c r="B54" s="137"/>
      <c r="C54" s="137" t="s">
        <v>217</v>
      </c>
      <c r="D54" s="264">
        <v>0</v>
      </c>
      <c r="E54" s="139">
        <v>0</v>
      </c>
      <c r="F54" s="139">
        <v>0</v>
      </c>
      <c r="G54" s="139">
        <v>0</v>
      </c>
    </row>
    <row r="55" spans="1:7" ht="15" customHeight="1">
      <c r="A55" s="134"/>
      <c r="B55" s="134"/>
      <c r="C55" s="122" t="s">
        <v>218</v>
      </c>
      <c r="D55" s="123">
        <f t="shared" ref="D55:G55" si="3">SUM(D44:D53)-SUM(D38:D43)</f>
        <v>11289.699999999999</v>
      </c>
      <c r="E55" s="123">
        <f t="shared" si="3"/>
        <v>11297.199999999999</v>
      </c>
      <c r="F55" s="123">
        <f t="shared" si="3"/>
        <v>11441.1</v>
      </c>
      <c r="G55" s="123">
        <f t="shared" si="3"/>
        <v>11566.7</v>
      </c>
    </row>
    <row r="56" spans="1:7" ht="14.25" customHeight="1">
      <c r="A56" s="134"/>
      <c r="B56" s="134"/>
      <c r="C56" s="122" t="s">
        <v>219</v>
      </c>
      <c r="D56" s="123">
        <f t="shared" ref="D56:G56" si="4">D55+D37</f>
        <v>15932.500000000104</v>
      </c>
      <c r="E56" s="123">
        <f t="shared" si="4"/>
        <v>5391.8999999999523</v>
      </c>
      <c r="F56" s="123">
        <f t="shared" si="4"/>
        <v>23576.699999999975</v>
      </c>
      <c r="G56" s="123">
        <f t="shared" si="4"/>
        <v>319.10000000002401</v>
      </c>
    </row>
    <row r="57" spans="1:7" s="91" customFormat="1" ht="15.75" customHeight="1">
      <c r="A57" s="140">
        <v>380</v>
      </c>
      <c r="B57" s="141"/>
      <c r="C57" s="142" t="s">
        <v>220</v>
      </c>
      <c r="D57" s="340"/>
      <c r="E57" s="436"/>
      <c r="F57" s="436"/>
      <c r="G57" s="436"/>
    </row>
    <row r="58" spans="1:7" s="91" customFormat="1" ht="15.75" customHeight="1">
      <c r="A58" s="140">
        <v>381</v>
      </c>
      <c r="B58" s="141"/>
      <c r="C58" s="142" t="s">
        <v>221</v>
      </c>
      <c r="D58" s="340"/>
      <c r="E58" s="436"/>
      <c r="F58" s="436"/>
      <c r="G58" s="436"/>
    </row>
    <row r="59" spans="1:7" s="106" customFormat="1" ht="14">
      <c r="A59" s="102">
        <v>383</v>
      </c>
      <c r="B59" s="103"/>
      <c r="C59" s="104" t="s">
        <v>222</v>
      </c>
      <c r="D59" s="143"/>
      <c r="E59" s="277"/>
      <c r="F59" s="277"/>
      <c r="G59" s="277"/>
    </row>
    <row r="60" spans="1:7" s="106" customFormat="1" ht="14">
      <c r="A60" s="102">
        <v>3840</v>
      </c>
      <c r="B60" s="103"/>
      <c r="C60" s="104" t="s">
        <v>223</v>
      </c>
      <c r="D60" s="145"/>
      <c r="E60" s="146"/>
      <c r="F60" s="146"/>
      <c r="G60" s="146"/>
    </row>
    <row r="61" spans="1:7" s="106" customFormat="1" ht="14">
      <c r="A61" s="102">
        <v>3841</v>
      </c>
      <c r="B61" s="103"/>
      <c r="C61" s="104" t="s">
        <v>224</v>
      </c>
      <c r="D61" s="145"/>
      <c r="E61" s="146"/>
      <c r="F61" s="146"/>
      <c r="G61" s="146"/>
    </row>
    <row r="62" spans="1:7" s="106" customFormat="1" ht="14">
      <c r="A62" s="147">
        <v>386</v>
      </c>
      <c r="B62" s="148"/>
      <c r="C62" s="149" t="s">
        <v>225</v>
      </c>
      <c r="D62" s="145"/>
      <c r="E62" s="146"/>
      <c r="F62" s="146"/>
      <c r="G62" s="146"/>
    </row>
    <row r="63" spans="1:7" s="106" customFormat="1" ht="28">
      <c r="A63" s="102">
        <v>387</v>
      </c>
      <c r="B63" s="103"/>
      <c r="C63" s="104" t="s">
        <v>226</v>
      </c>
      <c r="D63" s="145"/>
      <c r="E63" s="146"/>
      <c r="F63" s="146"/>
      <c r="G63" s="146"/>
    </row>
    <row r="64" spans="1:7" s="106" customFormat="1">
      <c r="A64" s="101">
        <v>389</v>
      </c>
      <c r="B64" s="150"/>
      <c r="C64" s="94" t="s">
        <v>42</v>
      </c>
      <c r="D64" s="95"/>
      <c r="E64" s="124"/>
      <c r="F64" s="124">
        <v>2500</v>
      </c>
      <c r="G64" s="124"/>
    </row>
    <row r="65" spans="1:7" s="91" customFormat="1">
      <c r="A65" s="101" t="s">
        <v>227</v>
      </c>
      <c r="B65" s="93"/>
      <c r="C65" s="94" t="s">
        <v>228</v>
      </c>
      <c r="D65" s="95"/>
      <c r="E65" s="124"/>
      <c r="F65" s="124"/>
      <c r="G65" s="124"/>
    </row>
    <row r="66" spans="1:7" s="153" customFormat="1" ht="14">
      <c r="A66" s="151" t="s">
        <v>229</v>
      </c>
      <c r="B66" s="152"/>
      <c r="C66" s="104" t="s">
        <v>230</v>
      </c>
      <c r="D66" s="143"/>
      <c r="E66" s="144"/>
      <c r="F66" s="144"/>
      <c r="G66" s="144"/>
    </row>
    <row r="67" spans="1:7" s="91" customFormat="1">
      <c r="A67" s="154">
        <v>481</v>
      </c>
      <c r="B67" s="93"/>
      <c r="C67" s="94" t="s">
        <v>231</v>
      </c>
      <c r="D67" s="95"/>
      <c r="E67" s="124"/>
      <c r="F67" s="124"/>
      <c r="G67" s="124"/>
    </row>
    <row r="68" spans="1:7" s="91" customFormat="1">
      <c r="A68" s="154">
        <v>482</v>
      </c>
      <c r="B68" s="93"/>
      <c r="C68" s="94" t="s">
        <v>232</v>
      </c>
      <c r="D68" s="95"/>
      <c r="E68" s="124"/>
      <c r="F68" s="124"/>
      <c r="G68" s="124"/>
    </row>
    <row r="69" spans="1:7" s="91" customFormat="1">
      <c r="A69" s="154">
        <v>483</v>
      </c>
      <c r="B69" s="93"/>
      <c r="C69" s="94" t="s">
        <v>233</v>
      </c>
      <c r="D69" s="95"/>
      <c r="E69" s="124"/>
      <c r="F69" s="124"/>
      <c r="G69" s="124"/>
    </row>
    <row r="70" spans="1:7" s="91" customFormat="1">
      <c r="A70" s="154">
        <v>484</v>
      </c>
      <c r="B70" s="93"/>
      <c r="C70" s="94" t="s">
        <v>234</v>
      </c>
      <c r="D70" s="95"/>
      <c r="E70" s="124"/>
      <c r="F70" s="124"/>
      <c r="G70" s="124"/>
    </row>
    <row r="71" spans="1:7" s="91" customFormat="1">
      <c r="A71" s="154">
        <v>485</v>
      </c>
      <c r="B71" s="93"/>
      <c r="C71" s="94" t="s">
        <v>235</v>
      </c>
      <c r="D71" s="95"/>
      <c r="E71" s="124"/>
      <c r="F71" s="124"/>
      <c r="G71" s="124"/>
    </row>
    <row r="72" spans="1:7" s="91" customFormat="1">
      <c r="A72" s="154">
        <v>486</v>
      </c>
      <c r="B72" s="93"/>
      <c r="C72" s="94" t="s">
        <v>236</v>
      </c>
      <c r="D72" s="95"/>
      <c r="E72" s="124"/>
      <c r="F72" s="124"/>
      <c r="G72" s="124"/>
    </row>
    <row r="73" spans="1:7" s="106" customFormat="1">
      <c r="A73" s="154">
        <v>487</v>
      </c>
      <c r="B73" s="98"/>
      <c r="C73" s="94" t="s">
        <v>237</v>
      </c>
      <c r="D73" s="95"/>
      <c r="E73" s="96"/>
      <c r="F73" s="96"/>
      <c r="G73" s="96"/>
    </row>
    <row r="74" spans="1:7" s="106" customFormat="1">
      <c r="A74" s="154">
        <v>489</v>
      </c>
      <c r="B74" s="155"/>
      <c r="C74" s="118" t="s">
        <v>59</v>
      </c>
      <c r="D74" s="95"/>
      <c r="E74" s="96"/>
      <c r="F74" s="96"/>
      <c r="G74" s="96"/>
    </row>
    <row r="75" spans="1:7" s="106" customFormat="1">
      <c r="A75" s="156" t="s">
        <v>238</v>
      </c>
      <c r="B75" s="155"/>
      <c r="C75" s="137" t="s">
        <v>239</v>
      </c>
      <c r="D75" s="95"/>
      <c r="E75" s="124"/>
      <c r="F75" s="124"/>
      <c r="G75" s="124"/>
    </row>
    <row r="76" spans="1:7">
      <c r="A76" s="121"/>
      <c r="B76" s="121"/>
      <c r="C76" s="122" t="s">
        <v>240</v>
      </c>
      <c r="D76" s="123">
        <f t="shared" ref="D76:G76" si="5">SUM(D65:D74)-SUM(D57:D64)</f>
        <v>0</v>
      </c>
      <c r="E76" s="123">
        <f t="shared" si="5"/>
        <v>0</v>
      </c>
      <c r="F76" s="123">
        <f t="shared" si="5"/>
        <v>-2500</v>
      </c>
      <c r="G76" s="123">
        <f t="shared" si="5"/>
        <v>0</v>
      </c>
    </row>
    <row r="77" spans="1:7">
      <c r="A77" s="157"/>
      <c r="B77" s="157"/>
      <c r="C77" s="122" t="s">
        <v>241</v>
      </c>
      <c r="D77" s="123">
        <f t="shared" ref="D77:G77" si="6">D56+D76</f>
        <v>15932.500000000104</v>
      </c>
      <c r="E77" s="123">
        <f t="shared" si="6"/>
        <v>5391.8999999999523</v>
      </c>
      <c r="F77" s="123">
        <f t="shared" si="6"/>
        <v>21076.699999999975</v>
      </c>
      <c r="G77" s="123">
        <f t="shared" si="6"/>
        <v>319.10000000002401</v>
      </c>
    </row>
    <row r="78" spans="1:7">
      <c r="A78" s="158">
        <v>3</v>
      </c>
      <c r="B78" s="158"/>
      <c r="C78" s="159" t="s">
        <v>242</v>
      </c>
      <c r="D78" s="160">
        <f t="shared" ref="D78:G78" si="7">D20+D21+SUM(D38:D43)+SUM(D57:D64)</f>
        <v>383502.49999999988</v>
      </c>
      <c r="E78" s="160">
        <f t="shared" si="7"/>
        <v>405450.4</v>
      </c>
      <c r="F78" s="160">
        <f t="shared" si="7"/>
        <v>392945.7</v>
      </c>
      <c r="G78" s="160">
        <f t="shared" si="7"/>
        <v>401613</v>
      </c>
    </row>
    <row r="79" spans="1:7">
      <c r="A79" s="158">
        <v>4</v>
      </c>
      <c r="B79" s="158"/>
      <c r="C79" s="159" t="s">
        <v>243</v>
      </c>
      <c r="D79" s="160">
        <f t="shared" ref="D79:G79" si="8">D35+D36+SUM(D44:D53)+SUM(D65:D74)</f>
        <v>399435</v>
      </c>
      <c r="E79" s="160">
        <f t="shared" si="8"/>
        <v>410842.3</v>
      </c>
      <c r="F79" s="160">
        <f t="shared" si="8"/>
        <v>414022.40000000002</v>
      </c>
      <c r="G79" s="160">
        <f t="shared" si="8"/>
        <v>401932.10000000003</v>
      </c>
    </row>
    <row r="80" spans="1:7">
      <c r="C80" s="135"/>
      <c r="D80" s="161"/>
      <c r="E80" s="161"/>
      <c r="F80" s="161"/>
      <c r="G80" s="161"/>
    </row>
    <row r="81" spans="1:7">
      <c r="A81" s="680" t="s">
        <v>244</v>
      </c>
      <c r="B81" s="681"/>
      <c r="C81" s="681"/>
      <c r="D81" s="162"/>
      <c r="E81" s="163"/>
      <c r="F81" s="163"/>
      <c r="G81" s="163"/>
    </row>
    <row r="82" spans="1:7" s="91" customFormat="1">
      <c r="A82" s="164">
        <v>50</v>
      </c>
      <c r="B82" s="165"/>
      <c r="C82" s="165" t="s">
        <v>245</v>
      </c>
      <c r="D82" s="95">
        <v>26696.2</v>
      </c>
      <c r="E82" s="124">
        <v>21035</v>
      </c>
      <c r="F82" s="124">
        <v>20631</v>
      </c>
      <c r="G82" s="124">
        <v>25599</v>
      </c>
    </row>
    <row r="83" spans="1:7" s="91" customFormat="1">
      <c r="A83" s="164">
        <v>51</v>
      </c>
      <c r="B83" s="165"/>
      <c r="C83" s="165" t="s">
        <v>246</v>
      </c>
      <c r="D83" s="95">
        <v>25</v>
      </c>
      <c r="E83" s="124">
        <v>0</v>
      </c>
      <c r="F83" s="124">
        <v>45</v>
      </c>
      <c r="G83" s="124">
        <v>0</v>
      </c>
    </row>
    <row r="84" spans="1:7" s="91" customFormat="1">
      <c r="A84" s="164">
        <v>52</v>
      </c>
      <c r="B84" s="165"/>
      <c r="C84" s="165" t="s">
        <v>247</v>
      </c>
      <c r="D84" s="95">
        <v>287.2</v>
      </c>
      <c r="E84" s="124">
        <v>439.5</v>
      </c>
      <c r="F84" s="124">
        <v>449.6</v>
      </c>
      <c r="G84" s="124">
        <v>439.5</v>
      </c>
    </row>
    <row r="85" spans="1:7" s="91" customFormat="1">
      <c r="A85" s="166">
        <v>54</v>
      </c>
      <c r="B85" s="167"/>
      <c r="C85" s="167" t="s">
        <v>248</v>
      </c>
      <c r="D85" s="95">
        <v>1042.9000000000001</v>
      </c>
      <c r="E85" s="124">
        <v>21937.7</v>
      </c>
      <c r="F85" s="124">
        <v>566.79999999999995</v>
      </c>
      <c r="G85" s="124">
        <v>42737.1</v>
      </c>
    </row>
    <row r="86" spans="1:7" s="91" customFormat="1">
      <c r="A86" s="166">
        <v>55</v>
      </c>
      <c r="B86" s="167"/>
      <c r="C86" s="167" t="s">
        <v>249</v>
      </c>
      <c r="D86" s="95">
        <v>210</v>
      </c>
      <c r="E86" s="124">
        <v>690</v>
      </c>
      <c r="F86" s="124">
        <v>690</v>
      </c>
      <c r="G86" s="124">
        <v>0</v>
      </c>
    </row>
    <row r="87" spans="1:7" s="91" customFormat="1">
      <c r="A87" s="166">
        <v>56</v>
      </c>
      <c r="B87" s="167"/>
      <c r="C87" s="167" t="s">
        <v>250</v>
      </c>
      <c r="D87" s="95">
        <v>12052.8</v>
      </c>
      <c r="E87" s="124">
        <v>12484</v>
      </c>
      <c r="F87" s="124">
        <v>12665.2</v>
      </c>
      <c r="G87" s="124">
        <v>10132.5</v>
      </c>
    </row>
    <row r="88" spans="1:7" s="91" customFormat="1">
      <c r="A88" s="164">
        <v>57</v>
      </c>
      <c r="B88" s="165"/>
      <c r="C88" s="165" t="s">
        <v>251</v>
      </c>
      <c r="D88" s="95">
        <v>1791.3</v>
      </c>
      <c r="E88" s="124">
        <v>1970</v>
      </c>
      <c r="F88" s="124">
        <v>1693</v>
      </c>
      <c r="G88" s="124">
        <v>1740</v>
      </c>
    </row>
    <row r="89" spans="1:7" s="91" customFormat="1">
      <c r="A89" s="164">
        <v>580</v>
      </c>
      <c r="B89" s="165"/>
      <c r="C89" s="165" t="s">
        <v>252</v>
      </c>
      <c r="D89" s="95"/>
      <c r="E89" s="124">
        <v>0</v>
      </c>
      <c r="F89" s="124">
        <v>0</v>
      </c>
      <c r="G89" s="124">
        <v>0</v>
      </c>
    </row>
    <row r="90" spans="1:7" s="91" customFormat="1">
      <c r="A90" s="164">
        <v>582</v>
      </c>
      <c r="B90" s="165"/>
      <c r="C90" s="165" t="s">
        <v>253</v>
      </c>
      <c r="D90" s="95"/>
      <c r="E90" s="124">
        <v>0</v>
      </c>
      <c r="F90" s="124">
        <v>0</v>
      </c>
      <c r="G90" s="124">
        <v>0</v>
      </c>
    </row>
    <row r="91" spans="1:7" s="91" customFormat="1">
      <c r="A91" s="164">
        <v>584</v>
      </c>
      <c r="B91" s="165"/>
      <c r="C91" s="165" t="s">
        <v>254</v>
      </c>
      <c r="D91" s="95"/>
      <c r="E91" s="124">
        <v>0</v>
      </c>
      <c r="F91" s="124">
        <v>0</v>
      </c>
      <c r="G91" s="124">
        <v>0</v>
      </c>
    </row>
    <row r="92" spans="1:7" s="91" customFormat="1">
      <c r="A92" s="164">
        <v>585</v>
      </c>
      <c r="B92" s="165"/>
      <c r="C92" s="165" t="s">
        <v>255</v>
      </c>
      <c r="D92" s="95"/>
      <c r="E92" s="124">
        <v>0</v>
      </c>
      <c r="F92" s="124">
        <v>0</v>
      </c>
      <c r="G92" s="124">
        <v>0</v>
      </c>
    </row>
    <row r="93" spans="1:7" s="91" customFormat="1">
      <c r="A93" s="164">
        <v>586</v>
      </c>
      <c r="B93" s="165"/>
      <c r="C93" s="165" t="s">
        <v>256</v>
      </c>
      <c r="D93" s="95"/>
      <c r="E93" s="124">
        <v>0</v>
      </c>
      <c r="F93" s="124">
        <v>0</v>
      </c>
      <c r="G93" s="124">
        <v>0</v>
      </c>
    </row>
    <row r="94" spans="1:7" s="91" customFormat="1">
      <c r="A94" s="168">
        <v>589</v>
      </c>
      <c r="B94" s="169"/>
      <c r="C94" s="169" t="s">
        <v>257</v>
      </c>
      <c r="D94" s="119"/>
      <c r="E94" s="133">
        <v>0</v>
      </c>
      <c r="F94" s="133">
        <v>0</v>
      </c>
      <c r="G94" s="133">
        <v>0</v>
      </c>
    </row>
    <row r="95" spans="1:7">
      <c r="A95" s="170">
        <v>5</v>
      </c>
      <c r="B95" s="171"/>
      <c r="C95" s="171" t="s">
        <v>258</v>
      </c>
      <c r="D95" s="172">
        <f t="shared" ref="D95:G95" si="9">SUM(D82:D94)</f>
        <v>42105.400000000009</v>
      </c>
      <c r="E95" s="172">
        <f t="shared" si="9"/>
        <v>58556.2</v>
      </c>
      <c r="F95" s="172">
        <f t="shared" si="9"/>
        <v>36740.6</v>
      </c>
      <c r="G95" s="172">
        <f t="shared" si="9"/>
        <v>80648.100000000006</v>
      </c>
    </row>
    <row r="96" spans="1:7" s="91" customFormat="1">
      <c r="A96" s="164">
        <v>60</v>
      </c>
      <c r="B96" s="165"/>
      <c r="C96" s="165" t="s">
        <v>259</v>
      </c>
      <c r="D96" s="95">
        <v>0</v>
      </c>
      <c r="E96" s="124">
        <v>0</v>
      </c>
      <c r="F96" s="124"/>
      <c r="G96" s="124"/>
    </row>
    <row r="97" spans="1:7" s="91" customFormat="1">
      <c r="A97" s="164">
        <v>61</v>
      </c>
      <c r="B97" s="165"/>
      <c r="C97" s="165" t="s">
        <v>260</v>
      </c>
      <c r="D97" s="95">
        <v>25</v>
      </c>
      <c r="E97" s="124">
        <v>0</v>
      </c>
      <c r="F97" s="124">
        <v>45</v>
      </c>
      <c r="G97" s="124">
        <v>0</v>
      </c>
    </row>
    <row r="98" spans="1:7" s="91" customFormat="1">
      <c r="A98" s="164">
        <v>62</v>
      </c>
      <c r="B98" s="165"/>
      <c r="C98" s="165" t="s">
        <v>261</v>
      </c>
      <c r="D98" s="95">
        <v>0</v>
      </c>
      <c r="E98" s="124">
        <v>0</v>
      </c>
      <c r="F98" s="124"/>
      <c r="G98" s="124"/>
    </row>
    <row r="99" spans="1:7" s="91" customFormat="1">
      <c r="A99" s="164">
        <v>63</v>
      </c>
      <c r="B99" s="165"/>
      <c r="C99" s="165" t="s">
        <v>262</v>
      </c>
      <c r="D99" s="95">
        <v>14502.4</v>
      </c>
      <c r="E99" s="124">
        <v>11319.4</v>
      </c>
      <c r="F99" s="124">
        <v>11749.9</v>
      </c>
      <c r="G99" s="124">
        <v>13740.7</v>
      </c>
    </row>
    <row r="100" spans="1:7" s="91" customFormat="1">
      <c r="A100" s="164">
        <v>64</v>
      </c>
      <c r="B100" s="165"/>
      <c r="C100" s="165" t="s">
        <v>263</v>
      </c>
      <c r="D100" s="95">
        <v>1006.7</v>
      </c>
      <c r="E100" s="124">
        <v>21849.7</v>
      </c>
      <c r="F100" s="124">
        <v>913.2</v>
      </c>
      <c r="G100" s="124">
        <v>42732.1</v>
      </c>
    </row>
    <row r="101" spans="1:7" s="91" customFormat="1">
      <c r="A101" s="164">
        <v>65</v>
      </c>
      <c r="B101" s="165"/>
      <c r="C101" s="165" t="s">
        <v>264</v>
      </c>
      <c r="D101" s="95">
        <v>6</v>
      </c>
      <c r="E101" s="124">
        <v>0</v>
      </c>
      <c r="F101" s="124"/>
      <c r="G101" s="124"/>
    </row>
    <row r="102" spans="1:7" s="91" customFormat="1">
      <c r="A102" s="164">
        <v>66</v>
      </c>
      <c r="B102" s="165"/>
      <c r="C102" s="165" t="s">
        <v>265</v>
      </c>
      <c r="D102" s="95">
        <v>0</v>
      </c>
      <c r="E102" s="124">
        <v>0</v>
      </c>
      <c r="F102" s="124"/>
      <c r="G102" s="124"/>
    </row>
    <row r="103" spans="1:7" s="91" customFormat="1">
      <c r="A103" s="164">
        <v>67</v>
      </c>
      <c r="B103" s="165"/>
      <c r="C103" s="165" t="s">
        <v>251</v>
      </c>
      <c r="D103" s="130">
        <v>1791.3</v>
      </c>
      <c r="E103" s="96">
        <v>1970</v>
      </c>
      <c r="F103" s="96">
        <v>1693</v>
      </c>
      <c r="G103" s="96">
        <v>1740</v>
      </c>
    </row>
    <row r="104" spans="1:7" s="91" customFormat="1" ht="28">
      <c r="A104" s="173" t="s">
        <v>266</v>
      </c>
      <c r="B104" s="165"/>
      <c r="C104" s="174" t="s">
        <v>267</v>
      </c>
      <c r="D104" s="130"/>
      <c r="E104" s="96"/>
      <c r="F104" s="96"/>
      <c r="G104" s="96"/>
    </row>
    <row r="105" spans="1:7" s="91" customFormat="1" ht="42">
      <c r="A105" s="175" t="s">
        <v>268</v>
      </c>
      <c r="B105" s="169"/>
      <c r="C105" s="176" t="s">
        <v>269</v>
      </c>
      <c r="D105" s="177"/>
      <c r="E105" s="120"/>
      <c r="F105" s="120"/>
      <c r="G105" s="120"/>
    </row>
    <row r="106" spans="1:7">
      <c r="A106" s="170">
        <v>6</v>
      </c>
      <c r="B106" s="171"/>
      <c r="C106" s="171" t="s">
        <v>270</v>
      </c>
      <c r="D106" s="172">
        <f t="shared" ref="D106:G106" si="10">SUM(D96:D105)</f>
        <v>17331.400000000001</v>
      </c>
      <c r="E106" s="172">
        <f t="shared" si="10"/>
        <v>35139.1</v>
      </c>
      <c r="F106" s="172">
        <f t="shared" si="10"/>
        <v>14401.1</v>
      </c>
      <c r="G106" s="172">
        <f t="shared" si="10"/>
        <v>58212.800000000003</v>
      </c>
    </row>
    <row r="107" spans="1:7">
      <c r="A107" s="178" t="s">
        <v>271</v>
      </c>
      <c r="B107" s="178"/>
      <c r="C107" s="171" t="s">
        <v>1</v>
      </c>
      <c r="D107" s="172">
        <f t="shared" ref="D107:G107" si="11">(D95-D88)-(D106-D103)</f>
        <v>24774.000000000004</v>
      </c>
      <c r="E107" s="172">
        <f t="shared" si="11"/>
        <v>23417.1</v>
      </c>
      <c r="F107" s="172">
        <f t="shared" si="11"/>
        <v>22339.5</v>
      </c>
      <c r="G107" s="172">
        <f t="shared" si="11"/>
        <v>22435.300000000003</v>
      </c>
    </row>
    <row r="108" spans="1:7">
      <c r="A108" s="179" t="s">
        <v>272</v>
      </c>
      <c r="B108" s="179"/>
      <c r="C108" s="180" t="s">
        <v>273</v>
      </c>
      <c r="D108" s="280">
        <f t="shared" ref="D108:G108" si="12">D107-D85-D86+D100+D101</f>
        <v>24533.800000000003</v>
      </c>
      <c r="E108" s="280">
        <f t="shared" si="12"/>
        <v>22639.1</v>
      </c>
      <c r="F108" s="280">
        <f t="shared" si="12"/>
        <v>21995.9</v>
      </c>
      <c r="G108" s="280">
        <f t="shared" si="12"/>
        <v>22430.300000000003</v>
      </c>
    </row>
    <row r="109" spans="1:7">
      <c r="C109" s="135"/>
      <c r="D109" s="161"/>
      <c r="E109" s="161"/>
      <c r="F109" s="161"/>
      <c r="G109" s="161"/>
    </row>
    <row r="110" spans="1:7">
      <c r="A110" s="181" t="s">
        <v>274</v>
      </c>
      <c r="B110" s="182"/>
      <c r="C110" s="181"/>
      <c r="D110" s="161"/>
      <c r="E110" s="161"/>
      <c r="F110" s="161"/>
      <c r="G110" s="161"/>
    </row>
    <row r="111" spans="1:7" s="91" customFormat="1">
      <c r="A111" s="183">
        <v>10</v>
      </c>
      <c r="B111" s="184"/>
      <c r="C111" s="184" t="s">
        <v>275</v>
      </c>
      <c r="D111" s="185">
        <f t="shared" ref="D111:G111" si="13">D112+D117</f>
        <v>164536.1</v>
      </c>
      <c r="E111" s="186">
        <f t="shared" si="13"/>
        <v>0</v>
      </c>
      <c r="F111" s="186">
        <f t="shared" si="13"/>
        <v>185889.9</v>
      </c>
      <c r="G111" s="186">
        <f t="shared" si="13"/>
        <v>0</v>
      </c>
    </row>
    <row r="112" spans="1:7" s="91" customFormat="1">
      <c r="A112" s="187" t="s">
        <v>276</v>
      </c>
      <c r="B112" s="188"/>
      <c r="C112" s="188" t="s">
        <v>277</v>
      </c>
      <c r="D112" s="185">
        <f t="shared" ref="D112:G112" si="14">D113+D114+D115+D116</f>
        <v>137171.80000000002</v>
      </c>
      <c r="E112" s="186">
        <f t="shared" si="14"/>
        <v>0</v>
      </c>
      <c r="F112" s="186">
        <f t="shared" si="14"/>
        <v>162845.5</v>
      </c>
      <c r="G112" s="186">
        <f t="shared" si="14"/>
        <v>0</v>
      </c>
    </row>
    <row r="113" spans="1:7" s="91" customFormat="1">
      <c r="A113" s="189" t="s">
        <v>278</v>
      </c>
      <c r="B113" s="190"/>
      <c r="C113" s="190" t="s">
        <v>279</v>
      </c>
      <c r="D113" s="95">
        <f>47930.7+69454.1</f>
        <v>117384.8</v>
      </c>
      <c r="E113" s="124"/>
      <c r="F113" s="124">
        <v>139142</v>
      </c>
      <c r="G113" s="124"/>
    </row>
    <row r="114" spans="1:7" s="153" customFormat="1" ht="15" customHeight="1">
      <c r="A114" s="191">
        <v>102</v>
      </c>
      <c r="B114" s="192"/>
      <c r="C114" s="192" t="s">
        <v>280</v>
      </c>
      <c r="D114" s="143">
        <v>5000</v>
      </c>
      <c r="E114" s="144"/>
      <c r="F114" s="144">
        <v>5000</v>
      </c>
      <c r="G114" s="144"/>
    </row>
    <row r="115" spans="1:7" s="91" customFormat="1">
      <c r="A115" s="189">
        <v>104</v>
      </c>
      <c r="B115" s="190"/>
      <c r="C115" s="190" t="s">
        <v>281</v>
      </c>
      <c r="D115" s="95">
        <v>13848.8</v>
      </c>
      <c r="E115" s="124"/>
      <c r="F115" s="124">
        <v>17285.7</v>
      </c>
      <c r="G115" s="124"/>
    </row>
    <row r="116" spans="1:7" s="91" customFormat="1">
      <c r="A116" s="189">
        <v>106</v>
      </c>
      <c r="B116" s="190"/>
      <c r="C116" s="190" t="s">
        <v>282</v>
      </c>
      <c r="D116" s="95">
        <v>938.2</v>
      </c>
      <c r="E116" s="124"/>
      <c r="F116" s="124">
        <v>1417.8</v>
      </c>
      <c r="G116" s="124"/>
    </row>
    <row r="117" spans="1:7" s="91" customFormat="1">
      <c r="A117" s="187" t="s">
        <v>283</v>
      </c>
      <c r="B117" s="188"/>
      <c r="C117" s="188" t="s">
        <v>284</v>
      </c>
      <c r="D117" s="185">
        <f t="shared" ref="D117:G117" si="15">D118+D119+D120</f>
        <v>27364.3</v>
      </c>
      <c r="E117" s="186">
        <f t="shared" si="15"/>
        <v>0</v>
      </c>
      <c r="F117" s="186">
        <f t="shared" si="15"/>
        <v>23044.400000000001</v>
      </c>
      <c r="G117" s="186">
        <f t="shared" si="15"/>
        <v>0</v>
      </c>
    </row>
    <row r="118" spans="1:7" s="91" customFormat="1">
      <c r="A118" s="189">
        <v>107</v>
      </c>
      <c r="B118" s="190"/>
      <c r="C118" s="190" t="s">
        <v>285</v>
      </c>
      <c r="D118" s="95">
        <v>6573.8</v>
      </c>
      <c r="E118" s="124"/>
      <c r="F118" s="124">
        <v>7034.6</v>
      </c>
      <c r="G118" s="124"/>
    </row>
    <row r="119" spans="1:7" s="91" customFormat="1">
      <c r="A119" s="189">
        <v>108</v>
      </c>
      <c r="B119" s="190"/>
      <c r="C119" s="190" t="s">
        <v>286</v>
      </c>
      <c r="D119" s="95">
        <v>20790.5</v>
      </c>
      <c r="E119" s="124"/>
      <c r="F119" s="124">
        <v>16009.8</v>
      </c>
      <c r="G119" s="124"/>
    </row>
    <row r="120" spans="1:7" s="195" customFormat="1" ht="14">
      <c r="A120" s="191">
        <v>109</v>
      </c>
      <c r="B120" s="193"/>
      <c r="C120" s="193" t="s">
        <v>287</v>
      </c>
      <c r="D120" s="131">
        <v>0</v>
      </c>
      <c r="E120" s="194"/>
      <c r="F120" s="194"/>
      <c r="G120" s="194"/>
    </row>
    <row r="121" spans="1:7" s="91" customFormat="1">
      <c r="A121" s="187">
        <v>14</v>
      </c>
      <c r="B121" s="188"/>
      <c r="C121" s="188" t="s">
        <v>288</v>
      </c>
      <c r="D121" s="185">
        <f t="shared" ref="D121:G121" si="16">SUM(D122:D130)</f>
        <v>204162.4</v>
      </c>
      <c r="E121" s="185">
        <f t="shared" si="16"/>
        <v>0</v>
      </c>
      <c r="F121" s="185">
        <f t="shared" si="16"/>
        <v>214357.50000000003</v>
      </c>
      <c r="G121" s="185">
        <f t="shared" si="16"/>
        <v>0</v>
      </c>
    </row>
    <row r="122" spans="1:7" s="91" customFormat="1">
      <c r="A122" s="189" t="s">
        <v>289</v>
      </c>
      <c r="B122" s="190"/>
      <c r="C122" s="190" t="s">
        <v>290</v>
      </c>
      <c r="D122" s="95">
        <f>111979.5+1016.3</f>
        <v>112995.8</v>
      </c>
      <c r="E122" s="124"/>
      <c r="F122" s="124">
        <v>119758.5</v>
      </c>
      <c r="G122" s="124"/>
    </row>
    <row r="123" spans="1:7" s="91" customFormat="1">
      <c r="A123" s="189">
        <v>144</v>
      </c>
      <c r="B123" s="190"/>
      <c r="C123" s="190" t="s">
        <v>248</v>
      </c>
      <c r="D123" s="95">
        <v>15058.1</v>
      </c>
      <c r="E123" s="124"/>
      <c r="F123" s="124">
        <v>14904.7</v>
      </c>
      <c r="G123" s="124"/>
    </row>
    <row r="124" spans="1:7" s="91" customFormat="1">
      <c r="A124" s="189">
        <v>145</v>
      </c>
      <c r="B124" s="190"/>
      <c r="C124" s="190" t="s">
        <v>291</v>
      </c>
      <c r="D124" s="95">
        <v>46853.599999999999</v>
      </c>
      <c r="E124" s="196"/>
      <c r="F124" s="124">
        <v>47543.6</v>
      </c>
      <c r="G124" s="196"/>
    </row>
    <row r="125" spans="1:7" s="91" customFormat="1">
      <c r="A125" s="189">
        <v>146</v>
      </c>
      <c r="B125" s="190"/>
      <c r="C125" s="190" t="s">
        <v>292</v>
      </c>
      <c r="D125" s="95">
        <v>29254.9</v>
      </c>
      <c r="E125" s="196"/>
      <c r="F125" s="124">
        <v>32150.7</v>
      </c>
      <c r="G125" s="196"/>
    </row>
    <row r="126" spans="1:7" s="195" customFormat="1" ht="29.5" customHeight="1">
      <c r="A126" s="191" t="s">
        <v>293</v>
      </c>
      <c r="B126" s="193"/>
      <c r="C126" s="193" t="s">
        <v>294</v>
      </c>
      <c r="D126" s="131"/>
      <c r="E126" s="197"/>
      <c r="F126" s="197"/>
      <c r="G126" s="197"/>
    </row>
    <row r="127" spans="1:7" s="91" customFormat="1">
      <c r="A127" s="189">
        <v>1484</v>
      </c>
      <c r="B127" s="190"/>
      <c r="C127" s="190" t="s">
        <v>295</v>
      </c>
      <c r="D127" s="95"/>
      <c r="E127" s="196"/>
      <c r="F127" s="196"/>
      <c r="G127" s="196"/>
    </row>
    <row r="128" spans="1:7" s="91" customFormat="1">
      <c r="A128" s="189">
        <v>1485</v>
      </c>
      <c r="B128" s="190"/>
      <c r="C128" s="190" t="s">
        <v>296</v>
      </c>
      <c r="D128" s="95"/>
      <c r="E128" s="196"/>
      <c r="F128" s="196"/>
      <c r="G128" s="196"/>
    </row>
    <row r="129" spans="1:7" s="91" customFormat="1">
      <c r="A129" s="189">
        <v>1486</v>
      </c>
      <c r="B129" s="190"/>
      <c r="C129" s="190" t="s">
        <v>297</v>
      </c>
      <c r="D129" s="95"/>
      <c r="E129" s="196"/>
      <c r="F129" s="196"/>
      <c r="G129" s="196"/>
    </row>
    <row r="130" spans="1:7" s="91" customFormat="1">
      <c r="A130" s="198">
        <v>1489</v>
      </c>
      <c r="B130" s="199"/>
      <c r="C130" s="199" t="s">
        <v>298</v>
      </c>
      <c r="D130" s="119"/>
      <c r="E130" s="200"/>
      <c r="F130" s="200"/>
      <c r="G130" s="200"/>
    </row>
    <row r="131" spans="1:7">
      <c r="A131" s="201">
        <v>1</v>
      </c>
      <c r="B131" s="202"/>
      <c r="C131" s="201" t="s">
        <v>299</v>
      </c>
      <c r="D131" s="203">
        <f t="shared" ref="D131:G131" si="17">D111+D121</f>
        <v>368698.5</v>
      </c>
      <c r="E131" s="203">
        <f t="shared" si="17"/>
        <v>0</v>
      </c>
      <c r="F131" s="203">
        <f t="shared" si="17"/>
        <v>400247.4</v>
      </c>
      <c r="G131" s="203">
        <f t="shared" si="17"/>
        <v>0</v>
      </c>
    </row>
    <row r="132" spans="1:7">
      <c r="C132" s="135"/>
      <c r="D132" s="161"/>
      <c r="E132" s="161"/>
      <c r="F132" s="161"/>
      <c r="G132" s="161"/>
    </row>
    <row r="133" spans="1:7" s="91" customFormat="1">
      <c r="A133" s="183">
        <v>20</v>
      </c>
      <c r="B133" s="184"/>
      <c r="C133" s="184" t="s">
        <v>300</v>
      </c>
      <c r="D133" s="204">
        <f t="shared" ref="D133:G133" si="18">D134+D140</f>
        <v>147713.60000000001</v>
      </c>
      <c r="E133" s="318">
        <f t="shared" si="18"/>
        <v>0</v>
      </c>
      <c r="F133" s="318">
        <f t="shared" si="18"/>
        <v>155634.6</v>
      </c>
      <c r="G133" s="318">
        <f t="shared" si="18"/>
        <v>0</v>
      </c>
    </row>
    <row r="134" spans="1:7" s="91" customFormat="1">
      <c r="A134" s="205" t="s">
        <v>301</v>
      </c>
      <c r="B134" s="188"/>
      <c r="C134" s="188" t="s">
        <v>302</v>
      </c>
      <c r="D134" s="185">
        <f t="shared" ref="D134:G134" si="19">D135+D136+D138+D139</f>
        <v>57572.5</v>
      </c>
      <c r="E134" s="186">
        <f t="shared" si="19"/>
        <v>0</v>
      </c>
      <c r="F134" s="186">
        <f t="shared" si="19"/>
        <v>74247.900000000009</v>
      </c>
      <c r="G134" s="186">
        <f t="shared" si="19"/>
        <v>0</v>
      </c>
    </row>
    <row r="135" spans="1:7" s="106" customFormat="1">
      <c r="A135" s="206">
        <v>200</v>
      </c>
      <c r="B135" s="190"/>
      <c r="C135" s="190" t="s">
        <v>303</v>
      </c>
      <c r="D135" s="95">
        <v>36294</v>
      </c>
      <c r="E135" s="124"/>
      <c r="F135" s="124">
        <v>37178</v>
      </c>
      <c r="G135" s="124"/>
    </row>
    <row r="136" spans="1:7" s="106" customFormat="1">
      <c r="A136" s="206">
        <v>201</v>
      </c>
      <c r="B136" s="190"/>
      <c r="C136" s="190" t="s">
        <v>304</v>
      </c>
      <c r="D136" s="95">
        <v>0</v>
      </c>
      <c r="E136" s="124"/>
      <c r="F136" s="124">
        <v>15000</v>
      </c>
      <c r="G136" s="124"/>
    </row>
    <row r="137" spans="1:7" s="106" customFormat="1">
      <c r="A137" s="207" t="s">
        <v>630</v>
      </c>
      <c r="B137" s="208"/>
      <c r="C137" s="208" t="s">
        <v>306</v>
      </c>
      <c r="D137" s="100">
        <v>0</v>
      </c>
      <c r="E137" s="209"/>
      <c r="F137" s="209"/>
      <c r="G137" s="209"/>
    </row>
    <row r="138" spans="1:7" s="106" customFormat="1">
      <c r="A138" s="206">
        <v>204</v>
      </c>
      <c r="B138" s="190"/>
      <c r="C138" s="190" t="s">
        <v>307</v>
      </c>
      <c r="D138" s="95">
        <v>16957.5</v>
      </c>
      <c r="E138" s="196"/>
      <c r="F138" s="196">
        <v>17323.599999999999</v>
      </c>
      <c r="G138" s="196"/>
    </row>
    <row r="139" spans="1:7" s="106" customFormat="1">
      <c r="A139" s="206">
        <v>205</v>
      </c>
      <c r="B139" s="190"/>
      <c r="C139" s="190" t="s">
        <v>308</v>
      </c>
      <c r="D139" s="95">
        <v>4321</v>
      </c>
      <c r="E139" s="196"/>
      <c r="F139" s="196">
        <v>4746.3</v>
      </c>
      <c r="G139" s="196"/>
    </row>
    <row r="140" spans="1:7" s="106" customFormat="1">
      <c r="A140" s="205" t="s">
        <v>309</v>
      </c>
      <c r="B140" s="188"/>
      <c r="C140" s="188" t="s">
        <v>310</v>
      </c>
      <c r="D140" s="185">
        <f t="shared" ref="D140:G140" si="20">D141+D143+D144</f>
        <v>90141.1</v>
      </c>
      <c r="E140" s="186">
        <f t="shared" si="20"/>
        <v>0</v>
      </c>
      <c r="F140" s="186">
        <f t="shared" si="20"/>
        <v>81386.7</v>
      </c>
      <c r="G140" s="186">
        <f t="shared" si="20"/>
        <v>0</v>
      </c>
    </row>
    <row r="141" spans="1:7" s="106" customFormat="1">
      <c r="A141" s="206">
        <v>206</v>
      </c>
      <c r="B141" s="190"/>
      <c r="C141" s="190" t="s">
        <v>311</v>
      </c>
      <c r="D141" s="95">
        <v>76360.100000000006</v>
      </c>
      <c r="E141" s="196"/>
      <c r="F141" s="124">
        <v>67951.8</v>
      </c>
      <c r="G141" s="196"/>
    </row>
    <row r="142" spans="1:7" s="106" customFormat="1">
      <c r="A142" s="207" t="s">
        <v>312</v>
      </c>
      <c r="B142" s="208"/>
      <c r="C142" s="208" t="s">
        <v>313</v>
      </c>
      <c r="D142" s="100">
        <v>0</v>
      </c>
      <c r="E142" s="209"/>
      <c r="F142" s="124"/>
      <c r="G142" s="209"/>
    </row>
    <row r="143" spans="1:7" s="106" customFormat="1">
      <c r="A143" s="206">
        <v>208</v>
      </c>
      <c r="B143" s="190"/>
      <c r="C143" s="190" t="s">
        <v>314</v>
      </c>
      <c r="D143" s="95">
        <v>10697.9</v>
      </c>
      <c r="E143" s="196"/>
      <c r="F143" s="124">
        <v>10397.5</v>
      </c>
      <c r="G143" s="196"/>
    </row>
    <row r="144" spans="1:7" s="111" customFormat="1" ht="28">
      <c r="A144" s="191">
        <v>209</v>
      </c>
      <c r="B144" s="193"/>
      <c r="C144" s="193" t="s">
        <v>315</v>
      </c>
      <c r="D144" s="131">
        <v>3083.1</v>
      </c>
      <c r="E144" s="197"/>
      <c r="F144" s="124">
        <v>3037.4</v>
      </c>
      <c r="G144" s="197"/>
    </row>
    <row r="145" spans="1:7" s="91" customFormat="1">
      <c r="A145" s="205">
        <v>29</v>
      </c>
      <c r="B145" s="188"/>
      <c r="C145" s="188" t="s">
        <v>316</v>
      </c>
      <c r="D145" s="210">
        <v>220985.1</v>
      </c>
      <c r="E145" s="196"/>
      <c r="F145" s="196">
        <v>244612.8</v>
      </c>
      <c r="G145" s="196"/>
    </row>
    <row r="146" spans="1:7" s="91" customFormat="1">
      <c r="A146" s="211" t="s">
        <v>317</v>
      </c>
      <c r="B146" s="212"/>
      <c r="C146" s="212" t="s">
        <v>318</v>
      </c>
      <c r="D146" s="138">
        <v>197913.3</v>
      </c>
      <c r="E146" s="139"/>
      <c r="F146" s="139">
        <v>218990.5</v>
      </c>
      <c r="G146" s="139"/>
    </row>
    <row r="147" spans="1:7">
      <c r="A147" s="201">
        <v>2</v>
      </c>
      <c r="B147" s="202"/>
      <c r="C147" s="201" t="s">
        <v>319</v>
      </c>
      <c r="D147" s="203">
        <f t="shared" ref="D147:G147" si="21">D133+D145</f>
        <v>368698.7</v>
      </c>
      <c r="E147" s="203">
        <f t="shared" si="21"/>
        <v>0</v>
      </c>
      <c r="F147" s="203">
        <f t="shared" si="21"/>
        <v>400247.4</v>
      </c>
      <c r="G147" s="203">
        <f t="shared" si="21"/>
        <v>0</v>
      </c>
    </row>
    <row r="148" spans="1:7" ht="7.5" customHeight="1"/>
    <row r="149" spans="1:7" ht="13.5" customHeight="1">
      <c r="A149" s="213" t="s">
        <v>320</v>
      </c>
      <c r="B149" s="214"/>
      <c r="C149" s="215" t="s">
        <v>321</v>
      </c>
      <c r="D149" s="214"/>
      <c r="E149" s="214"/>
      <c r="F149" s="214"/>
      <c r="G149" s="214"/>
    </row>
    <row r="150" spans="1:7">
      <c r="A150" s="289" t="s">
        <v>322</v>
      </c>
      <c r="B150" s="290"/>
      <c r="C150" s="290" t="s">
        <v>82</v>
      </c>
      <c r="D150" s="218">
        <f t="shared" ref="D150:G150" si="22">D77+SUM(D8:D12)-D30-D31+D16-D33+D59+D63-D73+D64-D74-D54+D20-D35</f>
        <v>27875.500000000109</v>
      </c>
      <c r="E150" s="218">
        <f t="shared" si="22"/>
        <v>17353.999999999953</v>
      </c>
      <c r="F150" s="218">
        <f t="shared" si="22"/>
        <v>37143.099999999977</v>
      </c>
      <c r="G150" s="218">
        <f t="shared" si="22"/>
        <v>10655.800000000023</v>
      </c>
    </row>
    <row r="151" spans="1:7">
      <c r="A151" s="215" t="s">
        <v>323</v>
      </c>
      <c r="B151" s="214"/>
      <c r="C151" s="214" t="s">
        <v>324</v>
      </c>
      <c r="D151" s="221">
        <f t="shared" ref="D151:G151" si="23">IF(D177=0,0,D150/D177)</f>
        <v>7.9267358102599855E-2</v>
      </c>
      <c r="E151" s="221">
        <f t="shared" si="23"/>
        <v>4.7964136070666401E-2</v>
      </c>
      <c r="F151" s="221">
        <f t="shared" si="23"/>
        <v>0.10128349895739051</v>
      </c>
      <c r="G151" s="221">
        <f t="shared" si="23"/>
        <v>3.0067613897051541E-2</v>
      </c>
    </row>
    <row r="152" spans="1:7" s="225" customFormat="1" ht="28">
      <c r="A152" s="478" t="s">
        <v>325</v>
      </c>
      <c r="B152" s="479"/>
      <c r="C152" s="479" t="s">
        <v>326</v>
      </c>
      <c r="D152" s="480">
        <f t="shared" ref="D152:G152" si="24">IF(D107=0,0,D150/D107)</f>
        <v>1.1251917332687538</v>
      </c>
      <c r="E152" s="480">
        <f t="shared" si="24"/>
        <v>0.74108237142942357</v>
      </c>
      <c r="F152" s="480">
        <f t="shared" si="24"/>
        <v>1.6626647865887767</v>
      </c>
      <c r="G152" s="480">
        <f t="shared" si="24"/>
        <v>0.47495687599452746</v>
      </c>
    </row>
    <row r="153" spans="1:7" s="225" customFormat="1" ht="28">
      <c r="A153" s="481" t="s">
        <v>325</v>
      </c>
      <c r="B153" s="482"/>
      <c r="C153" s="482" t="s">
        <v>327</v>
      </c>
      <c r="D153" s="224">
        <f t="shared" ref="D153:G153" si="25">IF(0=D108,0,D150/D108)</f>
        <v>1.1362080069129163</v>
      </c>
      <c r="E153" s="224">
        <f t="shared" si="25"/>
        <v>0.76654990701926995</v>
      </c>
      <c r="F153" s="224">
        <f t="shared" si="25"/>
        <v>1.6886374278842864</v>
      </c>
      <c r="G153" s="224">
        <f t="shared" si="25"/>
        <v>0.47506274994092906</v>
      </c>
    </row>
    <row r="154" spans="1:7" ht="28">
      <c r="A154" s="226" t="s">
        <v>328</v>
      </c>
      <c r="B154" s="299"/>
      <c r="C154" s="299" t="s">
        <v>329</v>
      </c>
      <c r="D154" s="234">
        <f t="shared" ref="D154:G154" si="26">D150-D107</f>
        <v>3101.5000000001055</v>
      </c>
      <c r="E154" s="234">
        <f t="shared" si="26"/>
        <v>-6063.1000000000458</v>
      </c>
      <c r="F154" s="234">
        <f t="shared" si="26"/>
        <v>14803.599999999977</v>
      </c>
      <c r="G154" s="234">
        <f t="shared" si="26"/>
        <v>-11779.49999999998</v>
      </c>
    </row>
    <row r="155" spans="1:7" ht="28">
      <c r="A155" s="222" t="s">
        <v>330</v>
      </c>
      <c r="B155" s="297"/>
      <c r="C155" s="297" t="s">
        <v>331</v>
      </c>
      <c r="D155" s="231">
        <f t="shared" ref="D155:G155" si="27">D150-D108</f>
        <v>3341.7000000001062</v>
      </c>
      <c r="E155" s="231">
        <f t="shared" si="27"/>
        <v>-5285.1000000000458</v>
      </c>
      <c r="F155" s="231">
        <f t="shared" si="27"/>
        <v>15147.199999999975</v>
      </c>
      <c r="G155" s="231">
        <f t="shared" si="27"/>
        <v>-11774.49999999998</v>
      </c>
    </row>
    <row r="156" spans="1:7">
      <c r="A156" s="289" t="s">
        <v>332</v>
      </c>
      <c r="B156" s="290"/>
      <c r="C156" s="290" t="s">
        <v>333</v>
      </c>
      <c r="D156" s="235">
        <f t="shared" ref="D156:G156" si="28">D135+D136-D137+D141-D142</f>
        <v>112654.1</v>
      </c>
      <c r="E156" s="235">
        <f t="shared" si="28"/>
        <v>0</v>
      </c>
      <c r="F156" s="235">
        <f t="shared" si="28"/>
        <v>120129.8</v>
      </c>
      <c r="G156" s="235">
        <f t="shared" si="28"/>
        <v>0</v>
      </c>
    </row>
    <row r="157" spans="1:7">
      <c r="A157" s="301" t="s">
        <v>334</v>
      </c>
      <c r="B157" s="302"/>
      <c r="C157" s="302" t="s">
        <v>335</v>
      </c>
      <c r="D157" s="238">
        <f t="shared" ref="D157:G157" si="29">IF(D177=0,0,D156/D177)</f>
        <v>0.32034556820240212</v>
      </c>
      <c r="E157" s="238">
        <f t="shared" si="29"/>
        <v>0</v>
      </c>
      <c r="F157" s="238">
        <f t="shared" si="29"/>
        <v>0.32757541705058379</v>
      </c>
      <c r="G157" s="238">
        <f t="shared" si="29"/>
        <v>0</v>
      </c>
    </row>
    <row r="158" spans="1:7">
      <c r="A158" s="289" t="s">
        <v>336</v>
      </c>
      <c r="B158" s="290"/>
      <c r="C158" s="290" t="s">
        <v>337</v>
      </c>
      <c r="D158" s="235">
        <f t="shared" ref="D158:G158" si="30">D133-D142-D111</f>
        <v>-16822.5</v>
      </c>
      <c r="E158" s="235">
        <f t="shared" si="30"/>
        <v>0</v>
      </c>
      <c r="F158" s="235">
        <f t="shared" si="30"/>
        <v>-30255.299999999988</v>
      </c>
      <c r="G158" s="235">
        <f t="shared" si="30"/>
        <v>0</v>
      </c>
    </row>
    <row r="159" spans="1:7">
      <c r="A159" s="215" t="s">
        <v>338</v>
      </c>
      <c r="B159" s="214"/>
      <c r="C159" s="214" t="s">
        <v>339</v>
      </c>
      <c r="D159" s="239">
        <f t="shared" ref="D159:G159" si="31">D121-D123-D124-D142-D145</f>
        <v>-78734.400000000023</v>
      </c>
      <c r="E159" s="239">
        <f t="shared" si="31"/>
        <v>0</v>
      </c>
      <c r="F159" s="239">
        <f t="shared" si="31"/>
        <v>-92703.599999999977</v>
      </c>
      <c r="G159" s="239">
        <f t="shared" si="31"/>
        <v>0</v>
      </c>
    </row>
    <row r="160" spans="1:7">
      <c r="A160" s="215" t="s">
        <v>340</v>
      </c>
      <c r="B160" s="214"/>
      <c r="C160" s="214" t="s">
        <v>341</v>
      </c>
      <c r="D160" s="240">
        <f t="shared" ref="D160:G160" si="32">IF(D175=0,"-",1000*D158/D175)</f>
        <v>-469.05060644081976</v>
      </c>
      <c r="E160" s="240">
        <f t="shared" si="32"/>
        <v>0</v>
      </c>
      <c r="F160" s="240">
        <f t="shared" si="32"/>
        <v>-840.23828038213696</v>
      </c>
      <c r="G160" s="240">
        <f t="shared" si="32"/>
        <v>0</v>
      </c>
    </row>
    <row r="161" spans="1:7">
      <c r="A161" s="215" t="s">
        <v>340</v>
      </c>
      <c r="B161" s="214"/>
      <c r="C161" s="214" t="s">
        <v>342</v>
      </c>
      <c r="D161" s="239">
        <f t="shared" ref="D161:G161" si="33">IF(D175=0,0,1000*(D159/D175))</f>
        <v>-2195.2990380593901</v>
      </c>
      <c r="E161" s="239">
        <f t="shared" si="33"/>
        <v>0</v>
      </c>
      <c r="F161" s="239">
        <f t="shared" si="33"/>
        <v>-2574.5278826927342</v>
      </c>
      <c r="G161" s="239">
        <f t="shared" si="33"/>
        <v>0</v>
      </c>
    </row>
    <row r="162" spans="1:7">
      <c r="A162" s="301" t="s">
        <v>343</v>
      </c>
      <c r="B162" s="302"/>
      <c r="C162" s="302" t="s">
        <v>344</v>
      </c>
      <c r="D162" s="238">
        <f t="shared" ref="D162:G162" si="34">IF((D22+D23+D65+D66)=0,0,D158/(D22+D23+D65+D66))</f>
        <v>-0.1914953197621804</v>
      </c>
      <c r="E162" s="238">
        <f t="shared" si="34"/>
        <v>0</v>
      </c>
      <c r="F162" s="238">
        <f t="shared" si="34"/>
        <v>-0.34401702841821952</v>
      </c>
      <c r="G162" s="238">
        <f t="shared" si="34"/>
        <v>0</v>
      </c>
    </row>
    <row r="163" spans="1:7">
      <c r="A163" s="215" t="s">
        <v>345</v>
      </c>
      <c r="B163" s="214"/>
      <c r="C163" s="214" t="s">
        <v>316</v>
      </c>
      <c r="D163" s="218">
        <f t="shared" ref="D163:G163" si="35">D145</f>
        <v>220985.1</v>
      </c>
      <c r="E163" s="218">
        <f t="shared" si="35"/>
        <v>0</v>
      </c>
      <c r="F163" s="218">
        <f t="shared" si="35"/>
        <v>244612.8</v>
      </c>
      <c r="G163" s="218">
        <f t="shared" si="35"/>
        <v>0</v>
      </c>
    </row>
    <row r="164" spans="1:7" ht="28">
      <c r="A164" s="222" t="s">
        <v>346</v>
      </c>
      <c r="B164" s="304"/>
      <c r="C164" s="304" t="s">
        <v>347</v>
      </c>
      <c r="D164" s="241">
        <f t="shared" ref="D164:G164" si="36">IF(D178=0,0,D146/D178)</f>
        <v>0.58949822447560829</v>
      </c>
      <c r="E164" s="241">
        <f t="shared" si="36"/>
        <v>0</v>
      </c>
      <c r="F164" s="241">
        <f t="shared" si="36"/>
        <v>0.63818201740709668</v>
      </c>
      <c r="G164" s="241">
        <f t="shared" si="36"/>
        <v>0</v>
      </c>
    </row>
    <row r="165" spans="1:7">
      <c r="A165" s="306" t="s">
        <v>348</v>
      </c>
      <c r="B165" s="307"/>
      <c r="C165" s="307" t="s">
        <v>349</v>
      </c>
      <c r="D165" s="244">
        <f t="shared" ref="D165:G165" si="37">IF(D177=0,0,D180/D177)</f>
        <v>3.075973307498088E-2</v>
      </c>
      <c r="E165" s="244">
        <f t="shared" si="37"/>
        <v>3.5834632350502472E-2</v>
      </c>
      <c r="F165" s="244">
        <f t="shared" si="37"/>
        <v>3.5847657680528763E-2</v>
      </c>
      <c r="G165" s="244">
        <f t="shared" si="37"/>
        <v>3.3451976977075831E-2</v>
      </c>
    </row>
    <row r="166" spans="1:7">
      <c r="A166" s="215" t="s">
        <v>350</v>
      </c>
      <c r="B166" s="214"/>
      <c r="C166" s="214" t="s">
        <v>218</v>
      </c>
      <c r="D166" s="218">
        <f t="shared" ref="D166:G166" si="38">D55</f>
        <v>11289.699999999999</v>
      </c>
      <c r="E166" s="218">
        <f t="shared" si="38"/>
        <v>11297.199999999999</v>
      </c>
      <c r="F166" s="218">
        <f t="shared" si="38"/>
        <v>11441.1</v>
      </c>
      <c r="G166" s="218">
        <f t="shared" si="38"/>
        <v>11566.7</v>
      </c>
    </row>
    <row r="167" spans="1:7">
      <c r="A167" s="301" t="s">
        <v>351</v>
      </c>
      <c r="B167" s="302"/>
      <c r="C167" s="302" t="s">
        <v>352</v>
      </c>
      <c r="D167" s="238">
        <f t="shared" ref="D167:G167" si="39">IF(0=D111,0,(D44+D45+D46+D47+D48)/D111)</f>
        <v>2.0213193335687427E-2</v>
      </c>
      <c r="E167" s="238">
        <f t="shared" si="39"/>
        <v>0</v>
      </c>
      <c r="F167" s="238">
        <f t="shared" si="39"/>
        <v>5.762550843267978E-3</v>
      </c>
      <c r="G167" s="238">
        <f t="shared" si="39"/>
        <v>0</v>
      </c>
    </row>
    <row r="168" spans="1:7">
      <c r="A168" s="215" t="s">
        <v>353</v>
      </c>
      <c r="B168" s="290"/>
      <c r="C168" s="290" t="s">
        <v>354</v>
      </c>
      <c r="D168" s="218">
        <f t="shared" ref="D168:G168" si="40">D38-D44</f>
        <v>1050.4000000000001</v>
      </c>
      <c r="E168" s="218">
        <f t="shared" si="40"/>
        <v>742.6</v>
      </c>
      <c r="F168" s="218">
        <f t="shared" si="40"/>
        <v>808.00000000000011</v>
      </c>
      <c r="G168" s="218">
        <f t="shared" si="40"/>
        <v>428.9</v>
      </c>
    </row>
    <row r="169" spans="1:7">
      <c r="A169" s="301" t="s">
        <v>355</v>
      </c>
      <c r="B169" s="302"/>
      <c r="C169" s="302" t="s">
        <v>356</v>
      </c>
      <c r="D169" s="221">
        <f t="shared" ref="D169:G169" si="41">IF(D177=0,0,D168/D177)</f>
        <v>2.9869395329579942E-3</v>
      </c>
      <c r="E169" s="221">
        <f t="shared" si="41"/>
        <v>2.0524471272373498E-3</v>
      </c>
      <c r="F169" s="221">
        <f t="shared" si="41"/>
        <v>2.2032912481072284E-3</v>
      </c>
      <c r="G169" s="221">
        <f t="shared" si="41"/>
        <v>1.2102328872956867E-3</v>
      </c>
    </row>
    <row r="170" spans="1:7">
      <c r="A170" s="215" t="s">
        <v>357</v>
      </c>
      <c r="B170" s="214"/>
      <c r="C170" s="214" t="s">
        <v>358</v>
      </c>
      <c r="D170" s="218">
        <f t="shared" ref="D170:G170" si="42">SUM(D82:D87)+SUM(D89:D94)</f>
        <v>40314.100000000006</v>
      </c>
      <c r="E170" s="218">
        <f t="shared" si="42"/>
        <v>56586.2</v>
      </c>
      <c r="F170" s="218">
        <f t="shared" si="42"/>
        <v>35047.599999999999</v>
      </c>
      <c r="G170" s="218">
        <f t="shared" si="42"/>
        <v>78908.100000000006</v>
      </c>
    </row>
    <row r="171" spans="1:7">
      <c r="A171" s="215" t="s">
        <v>359</v>
      </c>
      <c r="B171" s="214"/>
      <c r="C171" s="214" t="s">
        <v>360</v>
      </c>
      <c r="D171" s="239">
        <f t="shared" ref="D171:G171" si="43">SUM(D96:D102)+SUM(D104:D105)</f>
        <v>15540.1</v>
      </c>
      <c r="E171" s="239">
        <f t="shared" si="43"/>
        <v>33169.1</v>
      </c>
      <c r="F171" s="239">
        <f t="shared" si="43"/>
        <v>12708.1</v>
      </c>
      <c r="G171" s="239">
        <f t="shared" si="43"/>
        <v>56472.800000000003</v>
      </c>
    </row>
    <row r="172" spans="1:7">
      <c r="A172" s="306" t="s">
        <v>361</v>
      </c>
      <c r="B172" s="307"/>
      <c r="C172" s="307" t="s">
        <v>362</v>
      </c>
      <c r="D172" s="244">
        <f t="shared" ref="D172:G172" si="44">IF(D184=0,0,D170/D184)</f>
        <v>0.11154884947030064</v>
      </c>
      <c r="E172" s="244">
        <f t="shared" si="44"/>
        <v>0.14147971871173051</v>
      </c>
      <c r="F172" s="244">
        <f t="shared" si="44"/>
        <v>9.6727782756326167E-2</v>
      </c>
      <c r="G172" s="244">
        <f t="shared" si="44"/>
        <v>0.1876084165477889</v>
      </c>
    </row>
    <row r="173" spans="1:7">
      <c r="A173" s="389"/>
    </row>
    <row r="174" spans="1:7">
      <c r="A174" s="310" t="s">
        <v>363</v>
      </c>
      <c r="B174" s="248"/>
      <c r="C174" s="247"/>
      <c r="D174" s="161"/>
      <c r="E174" s="161"/>
      <c r="F174" s="161"/>
      <c r="G174" s="161"/>
    </row>
    <row r="175" spans="1:7" s="91" customFormat="1">
      <c r="A175" s="312" t="s">
        <v>364</v>
      </c>
      <c r="B175" s="248"/>
      <c r="C175" s="248" t="s">
        <v>387</v>
      </c>
      <c r="D175" s="246">
        <v>35865</v>
      </c>
      <c r="E175" s="246">
        <v>35865</v>
      </c>
      <c r="F175" s="398">
        <v>36008</v>
      </c>
      <c r="G175" s="398">
        <v>36008</v>
      </c>
    </row>
    <row r="176" spans="1:7">
      <c r="A176" s="310" t="s">
        <v>366</v>
      </c>
      <c r="B176" s="248"/>
      <c r="C176" s="248"/>
      <c r="D176" s="248"/>
      <c r="E176" s="248"/>
      <c r="F176" s="248"/>
      <c r="G176" s="248"/>
    </row>
    <row r="177" spans="1:7">
      <c r="A177" s="312" t="s">
        <v>367</v>
      </c>
      <c r="B177" s="248"/>
      <c r="C177" s="248" t="s">
        <v>368</v>
      </c>
      <c r="D177" s="249">
        <f t="shared" ref="D177:G177" si="45">SUM(D22:D32)+SUM(D44:D53)+SUM(D65:D72)+D75</f>
        <v>351664.30000000005</v>
      </c>
      <c r="E177" s="249">
        <f t="shared" si="45"/>
        <v>361812</v>
      </c>
      <c r="F177" s="249">
        <f t="shared" si="45"/>
        <v>366724.10000000003</v>
      </c>
      <c r="G177" s="249">
        <f t="shared" si="45"/>
        <v>354394.60000000003</v>
      </c>
    </row>
    <row r="178" spans="1:7">
      <c r="A178" s="312" t="s">
        <v>369</v>
      </c>
      <c r="B178" s="248"/>
      <c r="C178" s="248" t="s">
        <v>370</v>
      </c>
      <c r="D178" s="249">
        <f t="shared" ref="D178:G178" si="46">D78-D17-D20-D59-D63-D64</f>
        <v>335731.79999999993</v>
      </c>
      <c r="E178" s="249">
        <f t="shared" si="46"/>
        <v>356420.10000000003</v>
      </c>
      <c r="F178" s="249">
        <f t="shared" si="46"/>
        <v>343147.4</v>
      </c>
      <c r="G178" s="249">
        <f t="shared" si="46"/>
        <v>354075.5</v>
      </c>
    </row>
    <row r="179" spans="1:7">
      <c r="A179" s="312"/>
      <c r="B179" s="248"/>
      <c r="C179" s="248" t="s">
        <v>371</v>
      </c>
      <c r="D179" s="249">
        <f t="shared" ref="D179:G179" si="47">D178+D170</f>
        <v>376045.89999999991</v>
      </c>
      <c r="E179" s="249">
        <f t="shared" si="47"/>
        <v>413006.30000000005</v>
      </c>
      <c r="F179" s="249">
        <f t="shared" si="47"/>
        <v>378195</v>
      </c>
      <c r="G179" s="249">
        <f t="shared" si="47"/>
        <v>432983.6</v>
      </c>
    </row>
    <row r="180" spans="1:7">
      <c r="A180" s="312" t="s">
        <v>372</v>
      </c>
      <c r="B180" s="248"/>
      <c r="C180" s="248" t="s">
        <v>373</v>
      </c>
      <c r="D180" s="249">
        <f t="shared" ref="D180:G180" si="48">D38-D44+D8+D9+D10+D16-D33</f>
        <v>10817.1</v>
      </c>
      <c r="E180" s="249">
        <f t="shared" si="48"/>
        <v>12965.400000000001</v>
      </c>
      <c r="F180" s="249">
        <f t="shared" si="48"/>
        <v>13146.2</v>
      </c>
      <c r="G180" s="249">
        <f t="shared" si="48"/>
        <v>11855.2</v>
      </c>
    </row>
    <row r="181" spans="1:7" ht="27.5" customHeight="1">
      <c r="A181" s="315" t="s">
        <v>374</v>
      </c>
      <c r="B181" s="251"/>
      <c r="C181" s="251" t="s">
        <v>375</v>
      </c>
      <c r="D181" s="252">
        <f t="shared" ref="D181:G181" si="49">D22+D23+D24+D25+D26+D29+SUM(D44:D47)+SUM(D49:D53)-D54+D32-D33+SUM(D65:D70)+D72</f>
        <v>348278.10000000003</v>
      </c>
      <c r="E181" s="252">
        <f t="shared" si="49"/>
        <v>360126.6</v>
      </c>
      <c r="F181" s="252">
        <f t="shared" si="49"/>
        <v>363539.9</v>
      </c>
      <c r="G181" s="252">
        <f t="shared" si="49"/>
        <v>351781.69999999995</v>
      </c>
    </row>
    <row r="182" spans="1:7">
      <c r="A182" s="317" t="s">
        <v>376</v>
      </c>
      <c r="B182" s="251"/>
      <c r="C182" s="251" t="s">
        <v>377</v>
      </c>
      <c r="D182" s="252">
        <f t="shared" ref="D182:G182" si="50">D181+D171</f>
        <v>363818.2</v>
      </c>
      <c r="E182" s="252">
        <f t="shared" si="50"/>
        <v>393295.69999999995</v>
      </c>
      <c r="F182" s="252">
        <f t="shared" si="50"/>
        <v>376248</v>
      </c>
      <c r="G182" s="252">
        <f t="shared" si="50"/>
        <v>408254.49999999994</v>
      </c>
    </row>
    <row r="183" spans="1:7">
      <c r="A183" s="317" t="s">
        <v>378</v>
      </c>
      <c r="B183" s="251"/>
      <c r="C183" s="251" t="s">
        <v>379</v>
      </c>
      <c r="D183" s="252">
        <f t="shared" ref="D183" si="51">D4+D5-D7+D38+D39+D40+D41+D43+D13-D16+D57+D58+D60+D62</f>
        <v>321089</v>
      </c>
      <c r="E183" s="252">
        <f>E4+E5-E7+E38+E39+E40+E41+E43+E13-E16+E57+E58+E60+E62</f>
        <v>343373.60000000003</v>
      </c>
      <c r="F183" s="252">
        <f>F4+F5-F7+F38+F39+F40+F41+F43+F13-F16+F57+F58+F60+F62</f>
        <v>327284.7</v>
      </c>
      <c r="G183" s="252">
        <f>G4+G5-G7+G38+G39+G40+G41+G43+G13-G16+G57+G58+G60+G62</f>
        <v>341691.9</v>
      </c>
    </row>
    <row r="184" spans="1:7">
      <c r="A184" s="317" t="s">
        <v>380</v>
      </c>
      <c r="B184" s="251"/>
      <c r="C184" s="251" t="s">
        <v>381</v>
      </c>
      <c r="D184" s="252">
        <f t="shared" ref="D184:G184" si="52">D183+D170</f>
        <v>361403.1</v>
      </c>
      <c r="E184" s="252">
        <f t="shared" si="52"/>
        <v>399959.80000000005</v>
      </c>
      <c r="F184" s="252">
        <f t="shared" si="52"/>
        <v>362332.3</v>
      </c>
      <c r="G184" s="252">
        <f t="shared" si="52"/>
        <v>420600</v>
      </c>
    </row>
    <row r="185" spans="1:7">
      <c r="A185" s="317"/>
      <c r="B185" s="251"/>
      <c r="C185" s="251" t="s">
        <v>382</v>
      </c>
      <c r="D185" s="252">
        <f t="shared" ref="D185:G186" si="53">D181-D183</f>
        <v>27189.100000000035</v>
      </c>
      <c r="E185" s="252">
        <f t="shared" si="53"/>
        <v>16752.999999999942</v>
      </c>
      <c r="F185" s="252">
        <f t="shared" si="53"/>
        <v>36255.200000000012</v>
      </c>
      <c r="G185" s="252">
        <f t="shared" si="53"/>
        <v>10089.79999999993</v>
      </c>
    </row>
    <row r="186" spans="1:7">
      <c r="A186" s="317"/>
      <c r="B186" s="251"/>
      <c r="C186" s="251" t="s">
        <v>383</v>
      </c>
      <c r="D186" s="252">
        <f t="shared" si="53"/>
        <v>2415.1000000000349</v>
      </c>
      <c r="E186" s="252">
        <f t="shared" si="53"/>
        <v>-6664.1000000000931</v>
      </c>
      <c r="F186" s="252">
        <f t="shared" si="53"/>
        <v>13915.700000000012</v>
      </c>
      <c r="G186" s="252">
        <f t="shared" si="53"/>
        <v>-12345.500000000058</v>
      </c>
    </row>
  </sheetData>
  <sheetProtection selectLockedCells="1" sort="0" autoFilter="0" pivotTables="0"/>
  <autoFilter ref="A1:F1" xr:uid="{00000000-0009-0000-0000-000003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8" man="1"/>
    <brk id="147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3"/>
  <sheetViews>
    <sheetView view="pageLayout" zoomScaleNormal="100" workbookViewId="0">
      <selection activeCell="B22" sqref="B22"/>
    </sheetView>
  </sheetViews>
  <sheetFormatPr baseColWidth="10" defaultRowHeight="13"/>
  <cols>
    <col min="1" max="1" width="10.5" customWidth="1"/>
    <col min="2" max="2" width="52.5" bestFit="1" customWidth="1"/>
    <col min="3" max="3" width="12.33203125" bestFit="1" customWidth="1"/>
    <col min="4" max="4" width="11.5" bestFit="1" customWidth="1"/>
    <col min="5" max="5" width="12.33203125" bestFit="1" customWidth="1"/>
    <col min="6" max="7" width="11.5" bestFit="1" customWidth="1"/>
    <col min="8" max="8" width="11.5" style="49" bestFit="1" customWidth="1"/>
    <col min="9" max="9" width="12.33203125" bestFit="1" customWidth="1"/>
  </cols>
  <sheetData>
    <row r="1" spans="1:9">
      <c r="A1" s="3" t="s">
        <v>5</v>
      </c>
      <c r="B1" s="4" t="s">
        <v>88</v>
      </c>
      <c r="C1" s="43" t="s">
        <v>7</v>
      </c>
      <c r="D1" s="5" t="s">
        <v>8</v>
      </c>
      <c r="E1" s="43" t="s">
        <v>9</v>
      </c>
      <c r="F1" s="5" t="s">
        <v>8</v>
      </c>
      <c r="G1" s="43" t="s">
        <v>7</v>
      </c>
      <c r="H1" s="5" t="s">
        <v>8</v>
      </c>
      <c r="I1" s="44" t="s">
        <v>9</v>
      </c>
    </row>
    <row r="2" spans="1:9">
      <c r="A2" s="52">
        <v>0</v>
      </c>
      <c r="B2" s="55">
        <v>0</v>
      </c>
      <c r="C2" s="47">
        <v>2014</v>
      </c>
      <c r="D2" s="2" t="s">
        <v>10</v>
      </c>
      <c r="E2" s="47">
        <v>2015</v>
      </c>
      <c r="F2" s="2" t="s">
        <v>10</v>
      </c>
      <c r="G2" s="47">
        <v>2015</v>
      </c>
      <c r="H2" s="2" t="s">
        <v>10</v>
      </c>
      <c r="I2" s="48">
        <v>2016</v>
      </c>
    </row>
    <row r="3" spans="1:9">
      <c r="A3" s="52">
        <v>0</v>
      </c>
      <c r="B3" s="1" t="s">
        <v>11</v>
      </c>
      <c r="C3" s="54" t="s">
        <v>0</v>
      </c>
      <c r="D3" s="53">
        <v>0</v>
      </c>
      <c r="E3" s="54" t="s">
        <v>0</v>
      </c>
      <c r="F3" s="55">
        <v>0</v>
      </c>
      <c r="G3" s="54" t="s">
        <v>0</v>
      </c>
      <c r="H3" s="53">
        <v>0</v>
      </c>
      <c r="I3" s="50" t="s">
        <v>12</v>
      </c>
    </row>
    <row r="4" spans="1:9">
      <c r="A4" s="3" t="s">
        <v>13</v>
      </c>
      <c r="B4" s="7" t="s">
        <v>14</v>
      </c>
      <c r="C4" s="8">
        <v>255684</v>
      </c>
      <c r="D4" s="9">
        <v>-0.12084056882714601</v>
      </c>
      <c r="E4" s="8">
        <v>224787</v>
      </c>
      <c r="F4" s="9">
        <v>-2.1061716202449406E-2</v>
      </c>
      <c r="G4" s="8">
        <v>220052.6</v>
      </c>
      <c r="H4" s="66">
        <v>-9.0923715511655734E-3</v>
      </c>
      <c r="I4" s="10">
        <v>218051.8</v>
      </c>
    </row>
    <row r="5" spans="1:9">
      <c r="A5" s="11" t="s">
        <v>15</v>
      </c>
      <c r="B5" s="1" t="s">
        <v>16</v>
      </c>
      <c r="C5" s="12">
        <v>84721</v>
      </c>
      <c r="D5" s="13">
        <v>4.4888516424499238E-2</v>
      </c>
      <c r="E5" s="12">
        <v>88524</v>
      </c>
      <c r="F5" s="13">
        <v>-8.40269305499073E-2</v>
      </c>
      <c r="G5" s="12">
        <v>81085.600000000006</v>
      </c>
      <c r="H5" s="37">
        <v>0.16576186153891681</v>
      </c>
      <c r="I5" s="14">
        <v>94526.5</v>
      </c>
    </row>
    <row r="6" spans="1:9">
      <c r="A6" s="11" t="s">
        <v>17</v>
      </c>
      <c r="B6" s="1" t="s">
        <v>18</v>
      </c>
      <c r="C6" s="12">
        <v>21979</v>
      </c>
      <c r="D6" s="13">
        <v>-6.7018517675963424E-2</v>
      </c>
      <c r="E6" s="12">
        <v>20506</v>
      </c>
      <c r="F6" s="13">
        <v>-0.11651224031990641</v>
      </c>
      <c r="G6" s="12">
        <v>18116.8</v>
      </c>
      <c r="H6" s="37">
        <v>1.0316391415702633E-2</v>
      </c>
      <c r="I6" s="14">
        <v>18303.7</v>
      </c>
    </row>
    <row r="7" spans="1:9">
      <c r="A7" s="11" t="s">
        <v>19</v>
      </c>
      <c r="B7" s="1" t="s">
        <v>20</v>
      </c>
      <c r="C7" s="12">
        <v>5278</v>
      </c>
      <c r="D7" s="13">
        <v>5.683971201212581E-4</v>
      </c>
      <c r="E7" s="12">
        <v>5281</v>
      </c>
      <c r="F7" s="13">
        <v>-0.3103200151486461</v>
      </c>
      <c r="G7" s="12">
        <v>3642.2</v>
      </c>
      <c r="H7" s="37">
        <v>0.18771621547416392</v>
      </c>
      <c r="I7" s="14">
        <v>4325.8999999999996</v>
      </c>
    </row>
    <row r="8" spans="1:9">
      <c r="A8" s="11" t="s">
        <v>21</v>
      </c>
      <c r="B8" s="1" t="s">
        <v>22</v>
      </c>
      <c r="C8" s="12">
        <v>0</v>
      </c>
      <c r="D8" s="13" t="s">
        <v>33</v>
      </c>
      <c r="E8" s="12">
        <v>0</v>
      </c>
      <c r="F8" s="13" t="s">
        <v>33</v>
      </c>
      <c r="G8" s="12">
        <v>380.1</v>
      </c>
      <c r="H8" s="37">
        <v>-1</v>
      </c>
      <c r="I8" s="14">
        <v>0</v>
      </c>
    </row>
    <row r="9" spans="1:9">
      <c r="A9" s="11" t="s">
        <v>23</v>
      </c>
      <c r="B9" s="1" t="s">
        <v>24</v>
      </c>
      <c r="C9" s="12">
        <v>76030</v>
      </c>
      <c r="D9" s="13">
        <v>2.2648954360121005E-2</v>
      </c>
      <c r="E9" s="12">
        <v>77752</v>
      </c>
      <c r="F9" s="13">
        <v>4.2852916966766054E-2</v>
      </c>
      <c r="G9" s="12">
        <v>81083.899999999994</v>
      </c>
      <c r="H9" s="37">
        <v>0.23066354726400687</v>
      </c>
      <c r="I9" s="14">
        <v>99787</v>
      </c>
    </row>
    <row r="10" spans="1:9">
      <c r="A10" s="11" t="s">
        <v>25</v>
      </c>
      <c r="B10" s="1" t="s">
        <v>26</v>
      </c>
      <c r="C10" s="12">
        <v>874189</v>
      </c>
      <c r="D10" s="13">
        <v>4.8196671429176073E-2</v>
      </c>
      <c r="E10" s="12">
        <v>916322</v>
      </c>
      <c r="F10" s="13">
        <v>3.9166362916093073E-3</v>
      </c>
      <c r="G10" s="12">
        <v>919910.9</v>
      </c>
      <c r="H10" s="37">
        <v>1.8339384825204242E-2</v>
      </c>
      <c r="I10" s="14">
        <v>936781.5</v>
      </c>
    </row>
    <row r="11" spans="1:9">
      <c r="A11" s="11" t="s">
        <v>27</v>
      </c>
      <c r="B11" s="1" t="s">
        <v>28</v>
      </c>
      <c r="C11" s="12">
        <v>8795</v>
      </c>
      <c r="D11" s="37">
        <v>5.7305287094940309E-2</v>
      </c>
      <c r="E11" s="12">
        <v>9299</v>
      </c>
      <c r="F11" s="13">
        <v>-0.33068071835681256</v>
      </c>
      <c r="G11" s="12">
        <v>6224</v>
      </c>
      <c r="H11" s="37">
        <v>3.4267352185089974</v>
      </c>
      <c r="I11" s="14">
        <v>27552</v>
      </c>
    </row>
    <row r="12" spans="1:9">
      <c r="A12" s="11" t="s">
        <v>29</v>
      </c>
      <c r="B12" s="1" t="s">
        <v>30</v>
      </c>
      <c r="C12" s="12">
        <v>32523</v>
      </c>
      <c r="D12" s="37">
        <v>9.3472311902346034E-2</v>
      </c>
      <c r="E12" s="12">
        <v>35563</v>
      </c>
      <c r="F12" s="13">
        <v>-3.630739813851467E-2</v>
      </c>
      <c r="G12" s="12">
        <v>34271.800000000003</v>
      </c>
      <c r="H12" s="37">
        <v>4.4251250299079707</v>
      </c>
      <c r="I12" s="14">
        <v>185928.8</v>
      </c>
    </row>
    <row r="13" spans="1:9">
      <c r="A13" s="11" t="s">
        <v>31</v>
      </c>
      <c r="B13" s="1" t="s">
        <v>32</v>
      </c>
      <c r="C13" s="12">
        <v>211616</v>
      </c>
      <c r="D13" s="37">
        <v>6.9021246030545894E-2</v>
      </c>
      <c r="E13" s="12">
        <v>226222</v>
      </c>
      <c r="F13" s="37">
        <v>-3.1778960490138029E-2</v>
      </c>
      <c r="G13" s="12">
        <v>219032.9</v>
      </c>
      <c r="H13" s="37">
        <v>-1</v>
      </c>
      <c r="I13" s="14">
        <v>0</v>
      </c>
    </row>
    <row r="14" spans="1:9">
      <c r="A14" s="11" t="s">
        <v>34</v>
      </c>
      <c r="B14" s="1" t="s">
        <v>35</v>
      </c>
      <c r="C14" s="12">
        <v>0</v>
      </c>
      <c r="D14" s="37" t="s">
        <v>33</v>
      </c>
      <c r="E14" s="12">
        <v>0</v>
      </c>
      <c r="F14" s="13" t="s">
        <v>33</v>
      </c>
      <c r="G14" s="12">
        <v>0</v>
      </c>
      <c r="H14" s="37" t="s">
        <v>33</v>
      </c>
      <c r="I14" s="14">
        <v>0</v>
      </c>
    </row>
    <row r="15" spans="1:9">
      <c r="A15" s="11" t="s">
        <v>36</v>
      </c>
      <c r="B15" s="1" t="s">
        <v>37</v>
      </c>
      <c r="C15" s="12">
        <v>0</v>
      </c>
      <c r="D15" s="37" t="s">
        <v>33</v>
      </c>
      <c r="E15" s="12">
        <v>0</v>
      </c>
      <c r="F15" s="13" t="s">
        <v>33</v>
      </c>
      <c r="G15" s="12">
        <v>0</v>
      </c>
      <c r="H15" s="37" t="s">
        <v>33</v>
      </c>
      <c r="I15" s="14">
        <v>0</v>
      </c>
    </row>
    <row r="16" spans="1:9">
      <c r="A16" s="11" t="s">
        <v>38</v>
      </c>
      <c r="B16" s="1" t="s">
        <v>39</v>
      </c>
      <c r="C16" s="12">
        <v>11459</v>
      </c>
      <c r="D16" s="37">
        <v>5.8317479710271405</v>
      </c>
      <c r="E16" s="12">
        <v>78285</v>
      </c>
      <c r="F16" s="37">
        <v>3.8789040045985893E-2</v>
      </c>
      <c r="G16" s="12">
        <v>81321.600000000006</v>
      </c>
      <c r="H16" s="37">
        <v>-1</v>
      </c>
      <c r="I16" s="14">
        <v>0</v>
      </c>
    </row>
    <row r="17" spans="1:9">
      <c r="A17" s="11" t="s">
        <v>40</v>
      </c>
      <c r="B17" s="1" t="s">
        <v>41</v>
      </c>
      <c r="C17" s="12">
        <v>967</v>
      </c>
      <c r="D17" s="13">
        <v>-0.20372285418821096</v>
      </c>
      <c r="E17" s="12">
        <v>770</v>
      </c>
      <c r="F17" s="13">
        <v>0.28610389610389603</v>
      </c>
      <c r="G17" s="12">
        <v>990.3</v>
      </c>
      <c r="H17" s="37">
        <v>12.026961526810059</v>
      </c>
      <c r="I17" s="14">
        <v>12900.6</v>
      </c>
    </row>
    <row r="18" spans="1:9">
      <c r="A18" s="11">
        <v>389</v>
      </c>
      <c r="B18" s="1" t="s">
        <v>42</v>
      </c>
      <c r="C18" s="12">
        <v>0</v>
      </c>
      <c r="D18" s="37" t="s">
        <v>33</v>
      </c>
      <c r="E18" s="12">
        <v>0</v>
      </c>
      <c r="F18" s="37" t="s">
        <v>33</v>
      </c>
      <c r="G18" s="12">
        <v>0</v>
      </c>
      <c r="H18" s="37" t="s">
        <v>33</v>
      </c>
      <c r="I18" s="14">
        <v>0</v>
      </c>
    </row>
    <row r="19" spans="1:9">
      <c r="A19" s="15" t="s">
        <v>43</v>
      </c>
      <c r="B19" s="16" t="s">
        <v>44</v>
      </c>
      <c r="C19" s="17">
        <v>98919</v>
      </c>
      <c r="D19" s="37">
        <v>-0.15807883217582061</v>
      </c>
      <c r="E19" s="17">
        <v>83282</v>
      </c>
      <c r="F19" s="37">
        <v>0.13597896304123347</v>
      </c>
      <c r="G19" s="17">
        <v>94606.6</v>
      </c>
      <c r="H19" s="37">
        <v>-8.7491781757298145E-2</v>
      </c>
      <c r="I19" s="18">
        <v>86329.3</v>
      </c>
    </row>
    <row r="20" spans="1:9">
      <c r="A20" s="19" t="s">
        <v>45</v>
      </c>
      <c r="B20" s="20" t="s">
        <v>46</v>
      </c>
      <c r="C20" s="21">
        <v>1395788</v>
      </c>
      <c r="D20" s="22">
        <v>6.662902962340986E-4</v>
      </c>
      <c r="E20" s="21">
        <v>1396718</v>
      </c>
      <c r="F20" s="22">
        <v>3.6043066674877723E-3</v>
      </c>
      <c r="G20" s="21">
        <v>1401752.2000000002</v>
      </c>
      <c r="H20" s="67">
        <v>3.6347651175435765E-2</v>
      </c>
      <c r="I20" s="23">
        <v>1452702.5999999999</v>
      </c>
    </row>
    <row r="21" spans="1:9">
      <c r="A21" s="24" t="s">
        <v>47</v>
      </c>
      <c r="B21" s="25" t="s">
        <v>48</v>
      </c>
      <c r="C21" s="8">
        <v>463476</v>
      </c>
      <c r="D21" s="13">
        <v>0.29703371911382681</v>
      </c>
      <c r="E21" s="8">
        <v>601144</v>
      </c>
      <c r="F21" s="13">
        <v>3.4934558109205038E-2</v>
      </c>
      <c r="G21" s="8">
        <v>622144.69999999995</v>
      </c>
      <c r="H21" s="37">
        <v>-0.10514692160842964</v>
      </c>
      <c r="I21" s="10">
        <v>556728.1</v>
      </c>
    </row>
    <row r="22" spans="1:9">
      <c r="A22" s="6" t="s">
        <v>49</v>
      </c>
      <c r="B22" s="26" t="s">
        <v>50</v>
      </c>
      <c r="C22" s="12">
        <v>51898</v>
      </c>
      <c r="D22" s="13">
        <v>3.819029635053374E-2</v>
      </c>
      <c r="E22" s="12">
        <v>53880</v>
      </c>
      <c r="F22" s="13">
        <v>4.7902746844840118E-3</v>
      </c>
      <c r="G22" s="12">
        <v>54138.1</v>
      </c>
      <c r="H22" s="37">
        <v>1.078037463449955</v>
      </c>
      <c r="I22" s="14">
        <v>112501</v>
      </c>
    </row>
    <row r="23" spans="1:9">
      <c r="A23" s="6" t="s">
        <v>51</v>
      </c>
      <c r="B23" s="26" t="s">
        <v>52</v>
      </c>
      <c r="C23" s="12">
        <v>48804</v>
      </c>
      <c r="D23" s="13">
        <v>-0.12101467092861241</v>
      </c>
      <c r="E23" s="12">
        <v>42898</v>
      </c>
      <c r="F23" s="13">
        <v>0.6992936733647257</v>
      </c>
      <c r="G23" s="12">
        <v>72896.3</v>
      </c>
      <c r="H23" s="37">
        <v>-0.39390888152073561</v>
      </c>
      <c r="I23" s="14">
        <v>44181.8</v>
      </c>
    </row>
    <row r="24" spans="1:9">
      <c r="A24" s="6" t="s">
        <v>53</v>
      </c>
      <c r="B24" s="26" t="s">
        <v>54</v>
      </c>
      <c r="C24" s="12">
        <v>76322</v>
      </c>
      <c r="D24" s="13">
        <v>-3.4380650402243126E-2</v>
      </c>
      <c r="E24" s="12">
        <v>73698</v>
      </c>
      <c r="F24" s="13">
        <v>3.4082336019973444E-2</v>
      </c>
      <c r="G24" s="12">
        <v>76209.8</v>
      </c>
      <c r="H24" s="37">
        <v>-0.17311684324063314</v>
      </c>
      <c r="I24" s="14">
        <v>63016.6</v>
      </c>
    </row>
    <row r="25" spans="1:9">
      <c r="A25" s="6" t="s">
        <v>55</v>
      </c>
      <c r="B25" s="26" t="s">
        <v>56</v>
      </c>
      <c r="C25" s="12">
        <v>432505</v>
      </c>
      <c r="D25" s="13">
        <v>2.1440214563993479E-2</v>
      </c>
      <c r="E25" s="12">
        <v>441778</v>
      </c>
      <c r="F25" s="13">
        <v>5.6457315665334122E-2</v>
      </c>
      <c r="G25" s="12">
        <v>466719.6</v>
      </c>
      <c r="H25" s="37">
        <v>0.10602725919374288</v>
      </c>
      <c r="I25" s="14">
        <v>516204.6</v>
      </c>
    </row>
    <row r="26" spans="1:9">
      <c r="A26" s="45" t="s">
        <v>57</v>
      </c>
      <c r="B26" s="26" t="s">
        <v>58</v>
      </c>
      <c r="C26" s="12">
        <v>12760</v>
      </c>
      <c r="D26" s="13">
        <v>1.7040752351097179</v>
      </c>
      <c r="E26" s="12">
        <v>34504</v>
      </c>
      <c r="F26" s="13">
        <v>-0.26281880361697191</v>
      </c>
      <c r="G26" s="12">
        <v>25435.7</v>
      </c>
      <c r="H26" s="37">
        <v>-0.2725185467669457</v>
      </c>
      <c r="I26" s="14">
        <v>18504</v>
      </c>
    </row>
    <row r="27" spans="1:9">
      <c r="A27" s="63">
        <v>489</v>
      </c>
      <c r="B27" s="26" t="s">
        <v>59</v>
      </c>
      <c r="C27" s="12">
        <v>0</v>
      </c>
      <c r="D27" s="13" t="s">
        <v>33</v>
      </c>
      <c r="E27" s="12">
        <v>0</v>
      </c>
      <c r="F27" s="13" t="s">
        <v>33</v>
      </c>
      <c r="G27" s="12">
        <v>0</v>
      </c>
      <c r="H27" s="37" t="s">
        <v>33</v>
      </c>
      <c r="I27" s="14">
        <v>0</v>
      </c>
    </row>
    <row r="28" spans="1:9">
      <c r="A28" s="27" t="s">
        <v>60</v>
      </c>
      <c r="B28" s="28" t="s">
        <v>61</v>
      </c>
      <c r="C28" s="17">
        <v>98919</v>
      </c>
      <c r="D28" s="13">
        <v>-0.15807883217582061</v>
      </c>
      <c r="E28" s="17">
        <v>83282</v>
      </c>
      <c r="F28" s="13">
        <v>0.13597896304123347</v>
      </c>
      <c r="G28" s="17">
        <v>94606.6</v>
      </c>
      <c r="H28" s="37">
        <v>-8.7491781757298145E-2</v>
      </c>
      <c r="I28" s="18">
        <v>86329.3</v>
      </c>
    </row>
    <row r="29" spans="1:9">
      <c r="A29" s="39" t="s">
        <v>62</v>
      </c>
      <c r="B29" s="40" t="s">
        <v>63</v>
      </c>
      <c r="C29" s="21">
        <v>1184684</v>
      </c>
      <c r="D29" s="41">
        <v>0.12366166842803651</v>
      </c>
      <c r="E29" s="21">
        <v>1331184</v>
      </c>
      <c r="F29" s="41">
        <v>6.0823146912823506E-2</v>
      </c>
      <c r="G29" s="21">
        <v>1412150.8</v>
      </c>
      <c r="H29" s="68">
        <v>-1.0399314294195709E-2</v>
      </c>
      <c r="I29" s="23">
        <v>1397465.4000000001</v>
      </c>
    </row>
    <row r="30" spans="1:9">
      <c r="A30" s="38" t="s">
        <v>64</v>
      </c>
      <c r="B30" s="29" t="s">
        <v>65</v>
      </c>
      <c r="C30" s="30">
        <v>-211104</v>
      </c>
      <c r="D30" s="56">
        <v>0</v>
      </c>
      <c r="E30" s="30">
        <v>-65534</v>
      </c>
      <c r="F30" s="56">
        <v>0</v>
      </c>
      <c r="G30" s="30">
        <v>10398.59999999986</v>
      </c>
      <c r="H30" s="69">
        <v>0</v>
      </c>
      <c r="I30" s="31">
        <v>-55237.199999999721</v>
      </c>
    </row>
    <row r="31" spans="1:9">
      <c r="A31" s="60">
        <v>0</v>
      </c>
      <c r="B31" s="25" t="s">
        <v>66</v>
      </c>
      <c r="C31" s="58">
        <v>0</v>
      </c>
      <c r="D31" s="55">
        <v>0</v>
      </c>
      <c r="E31" s="58">
        <v>0</v>
      </c>
      <c r="F31" s="55">
        <v>0</v>
      </c>
      <c r="G31" s="58">
        <v>0</v>
      </c>
      <c r="H31" s="70">
        <v>0</v>
      </c>
      <c r="I31" s="59">
        <v>0</v>
      </c>
    </row>
    <row r="32" spans="1:9">
      <c r="A32" s="45" t="s">
        <v>67</v>
      </c>
      <c r="B32" s="26" t="s">
        <v>68</v>
      </c>
      <c r="C32" s="12">
        <v>69500</v>
      </c>
      <c r="D32" s="13">
        <v>0.46215827338129495</v>
      </c>
      <c r="E32" s="12">
        <v>101620</v>
      </c>
      <c r="F32" s="13">
        <v>-0.36712458177524104</v>
      </c>
      <c r="G32" s="12">
        <v>64312.800000000003</v>
      </c>
      <c r="H32" s="37">
        <v>0.17628217088977616</v>
      </c>
      <c r="I32" s="14">
        <v>75650</v>
      </c>
    </row>
    <row r="33" spans="1:9">
      <c r="A33" s="45" t="s">
        <v>69</v>
      </c>
      <c r="B33" s="26" t="s">
        <v>70</v>
      </c>
      <c r="C33" s="12">
        <v>515</v>
      </c>
      <c r="D33" s="13">
        <v>-1</v>
      </c>
      <c r="E33" s="12">
        <v>0</v>
      </c>
      <c r="F33" s="13" t="s">
        <v>33</v>
      </c>
      <c r="G33" s="12">
        <v>604.20000000000005</v>
      </c>
      <c r="H33" s="37">
        <v>1.7308838133068518</v>
      </c>
      <c r="I33" s="14">
        <v>1650</v>
      </c>
    </row>
    <row r="34" spans="1:9">
      <c r="A34" s="6" t="s">
        <v>71</v>
      </c>
      <c r="B34" s="26" t="s">
        <v>72</v>
      </c>
      <c r="C34" s="12">
        <v>36767</v>
      </c>
      <c r="D34" s="13">
        <v>8.2818832104876658E-2</v>
      </c>
      <c r="E34" s="12">
        <v>39812</v>
      </c>
      <c r="F34" s="13">
        <v>-0.12650205968049841</v>
      </c>
      <c r="G34" s="12">
        <v>34775.699999999997</v>
      </c>
      <c r="H34" s="37">
        <v>-1</v>
      </c>
      <c r="I34" s="14">
        <v>0</v>
      </c>
    </row>
    <row r="35" spans="1:9">
      <c r="A35" s="39" t="s">
        <v>73</v>
      </c>
      <c r="B35" s="40" t="s">
        <v>74</v>
      </c>
      <c r="C35" s="21">
        <v>106782</v>
      </c>
      <c r="D35" s="42">
        <v>0.32449289206045961</v>
      </c>
      <c r="E35" s="21">
        <v>141432</v>
      </c>
      <c r="F35" s="42">
        <v>-0.29511920923129137</v>
      </c>
      <c r="G35" s="21">
        <v>99692.7</v>
      </c>
      <c r="H35" s="68">
        <v>-0.22461724880557951</v>
      </c>
      <c r="I35" s="23">
        <v>77300</v>
      </c>
    </row>
    <row r="36" spans="1:9">
      <c r="A36" s="6" t="s">
        <v>75</v>
      </c>
      <c r="B36" s="26" t="s">
        <v>76</v>
      </c>
      <c r="C36" s="12">
        <v>105</v>
      </c>
      <c r="D36" s="13">
        <v>-1</v>
      </c>
      <c r="E36" s="12">
        <v>0</v>
      </c>
      <c r="F36" s="13" t="s">
        <v>33</v>
      </c>
      <c r="G36" s="12">
        <v>19.2</v>
      </c>
      <c r="H36" s="37">
        <v>-1</v>
      </c>
      <c r="I36" s="14">
        <v>0</v>
      </c>
    </row>
    <row r="37" spans="1:9">
      <c r="A37" s="6" t="s">
        <v>77</v>
      </c>
      <c r="B37" s="26" t="s">
        <v>78</v>
      </c>
      <c r="C37" s="12">
        <v>33982</v>
      </c>
      <c r="D37" s="13">
        <v>0.3612500735683597</v>
      </c>
      <c r="E37" s="12">
        <v>46258</v>
      </c>
      <c r="F37" s="13">
        <v>-0.23542522374508199</v>
      </c>
      <c r="G37" s="12">
        <v>35367.699999999997</v>
      </c>
      <c r="H37" s="37">
        <v>-0.1071514404385922</v>
      </c>
      <c r="I37" s="14">
        <v>31578</v>
      </c>
    </row>
    <row r="38" spans="1:9">
      <c r="A38" s="39" t="s">
        <v>79</v>
      </c>
      <c r="B38" s="40" t="s">
        <v>80</v>
      </c>
      <c r="C38" s="21">
        <v>34087</v>
      </c>
      <c r="D38" s="42">
        <v>0.35705694252941006</v>
      </c>
      <c r="E38" s="21">
        <v>46258</v>
      </c>
      <c r="F38" s="42">
        <v>-0.23501016040468689</v>
      </c>
      <c r="G38" s="21">
        <v>35386.899999999994</v>
      </c>
      <c r="H38" s="68">
        <v>-0.10763587655318761</v>
      </c>
      <c r="I38" s="23">
        <v>31578</v>
      </c>
    </row>
    <row r="39" spans="1:9">
      <c r="A39" s="32" t="s">
        <v>81</v>
      </c>
      <c r="B39" s="33" t="s">
        <v>1</v>
      </c>
      <c r="C39" s="34">
        <v>72695</v>
      </c>
      <c r="D39" s="35">
        <v>0.30922346791388677</v>
      </c>
      <c r="E39" s="34">
        <v>95174</v>
      </c>
      <c r="F39" s="35">
        <v>-0.32433437703574503</v>
      </c>
      <c r="G39" s="34">
        <v>64305.8</v>
      </c>
      <c r="H39" s="71">
        <v>-0.28899103968848849</v>
      </c>
      <c r="I39" s="36">
        <v>45722</v>
      </c>
    </row>
    <row r="40" spans="1:9">
      <c r="A40" s="52" t="s">
        <v>0</v>
      </c>
      <c r="B40" s="26" t="s">
        <v>82</v>
      </c>
      <c r="C40" s="12">
        <v>-135074</v>
      </c>
      <c r="D40" s="13">
        <v>-1.0904541214445416</v>
      </c>
      <c r="E40" s="12">
        <v>12218</v>
      </c>
      <c r="F40" s="13">
        <v>6.4875184154525991</v>
      </c>
      <c r="G40" s="12">
        <v>91482.499999999854</v>
      </c>
      <c r="H40" s="37">
        <v>-0.51302380236656897</v>
      </c>
      <c r="I40" s="14">
        <v>44549.800000000279</v>
      </c>
    </row>
    <row r="41" spans="1:9">
      <c r="A41" s="52" t="s">
        <v>0</v>
      </c>
      <c r="B41" s="26" t="s">
        <v>83</v>
      </c>
      <c r="C41" s="12">
        <v>-207769</v>
      </c>
      <c r="D41" s="13">
        <v>-0.60072965649350962</v>
      </c>
      <c r="E41" s="12">
        <v>-82956</v>
      </c>
      <c r="F41" s="13">
        <v>-1.3276037899609414</v>
      </c>
      <c r="G41" s="12">
        <v>27176.699999999852</v>
      </c>
      <c r="H41" s="37">
        <v>-1.0431325363270643</v>
      </c>
      <c r="I41" s="14">
        <v>-1172.1999999997206</v>
      </c>
    </row>
    <row r="42" spans="1:9">
      <c r="A42" s="61" t="s">
        <v>0</v>
      </c>
      <c r="B42" s="28" t="s">
        <v>84</v>
      </c>
      <c r="C42" s="17">
        <v>1326654</v>
      </c>
      <c r="D42" s="51">
        <v>3.7456639033237003E-2</v>
      </c>
      <c r="E42" s="17">
        <v>1376346</v>
      </c>
      <c r="F42" s="51">
        <v>-3.7753588123916514E-2</v>
      </c>
      <c r="G42" s="17">
        <v>1324384</v>
      </c>
      <c r="H42" s="46">
        <v>4.9847325247056144E-3</v>
      </c>
      <c r="I42" s="18">
        <v>1330985.6999999997</v>
      </c>
    </row>
    <row r="43" spans="1:9">
      <c r="A43" s="61">
        <v>0</v>
      </c>
      <c r="B43" s="28" t="s">
        <v>3</v>
      </c>
      <c r="C43" s="46" t="s">
        <v>89</v>
      </c>
      <c r="D43" s="62">
        <v>0</v>
      </c>
      <c r="E43" s="46">
        <v>0.12837539664194003</v>
      </c>
      <c r="F43" s="64">
        <v>0</v>
      </c>
      <c r="G43" s="46">
        <v>1.4226166224508496</v>
      </c>
      <c r="H43" s="64">
        <v>0</v>
      </c>
      <c r="I43" s="65">
        <v>0.97436245133634314</v>
      </c>
    </row>
  </sheetData>
  <phoneticPr fontId="6" type="noConversion"/>
  <pageMargins left="0.78740157480314965" right="0.43307086614173229" top="0.98425196850393704" bottom="0.51181102362204722" header="0.51181102362204722" footer="0.23622047244094491"/>
  <pageSetup paperSize="9" scale="89" orientation="landscape" r:id="rId1"/>
  <headerFooter alignWithMargins="0">
    <oddHeader>&amp;LFachgruppe für kantonale Finanzfragen (FkF)
Groupe d'études pour les finances cantonales&amp;CRechnung 2014 - Budget 2016
Compte 2014 - Budget 2016&amp;RZürich, 26.04.2015</oddHeader>
    <oddFooter>&amp;LQuelle: FkF Mai 2016&amp;RBlatt 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J186"/>
  <sheetViews>
    <sheetView tabSelected="1" zoomScale="115" zoomScaleNormal="115" workbookViewId="0">
      <pane xSplit="3" ySplit="3" topLeftCell="D4" activePane="bottomRight" state="frozen"/>
      <selection activeCell="D3" sqref="D3"/>
      <selection pane="topRight" activeCell="D3" sqref="D3"/>
      <selection pane="bottomLeft" activeCell="D3" sqref="D3"/>
      <selection pane="bottomRight" activeCell="F2" sqref="F2"/>
    </sheetView>
  </sheetViews>
  <sheetFormatPr baseColWidth="10" defaultColWidth="11.5" defaultRowHeight="13"/>
  <cols>
    <col min="1" max="1" width="17.1640625" style="84" customWidth="1"/>
    <col min="2" max="2" width="3.33203125" style="84" customWidth="1"/>
    <col min="3" max="3" width="44.6640625" style="84" customWidth="1"/>
    <col min="4" max="4" width="11.5" style="84" customWidth="1"/>
    <col min="5" max="16384" width="11.5" style="84"/>
  </cols>
  <sheetData>
    <row r="1" spans="1:36" s="77" customFormat="1" ht="18" customHeight="1">
      <c r="A1" s="72" t="s">
        <v>156</v>
      </c>
      <c r="B1" s="253" t="s">
        <v>625</v>
      </c>
      <c r="C1" s="254" t="s">
        <v>88</v>
      </c>
      <c r="D1" s="74" t="s">
        <v>7</v>
      </c>
      <c r="E1" s="75" t="s">
        <v>9</v>
      </c>
      <c r="F1" s="74" t="s">
        <v>7</v>
      </c>
      <c r="G1" s="75" t="s">
        <v>9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</row>
    <row r="2" spans="1:36" s="83" customFormat="1" ht="15" customHeight="1">
      <c r="A2" s="78"/>
      <c r="B2" s="79"/>
      <c r="C2" s="80" t="s">
        <v>158</v>
      </c>
      <c r="D2" s="81">
        <v>2014</v>
      </c>
      <c r="E2" s="82">
        <v>2015</v>
      </c>
      <c r="F2" s="81">
        <v>2015</v>
      </c>
      <c r="G2" s="82">
        <v>2016</v>
      </c>
    </row>
    <row r="3" spans="1:36" ht="15" customHeight="1">
      <c r="A3" s="678" t="s">
        <v>159</v>
      </c>
      <c r="B3" s="679"/>
      <c r="C3" s="679"/>
    </row>
    <row r="4" spans="1:36" s="91" customFormat="1" ht="12.75" customHeight="1">
      <c r="A4" s="86">
        <v>30</v>
      </c>
      <c r="B4" s="87"/>
      <c r="C4" s="88" t="s">
        <v>14</v>
      </c>
      <c r="D4" s="89">
        <v>0</v>
      </c>
      <c r="E4" s="90">
        <v>0</v>
      </c>
      <c r="F4" s="90">
        <v>0</v>
      </c>
      <c r="G4" s="90">
        <v>218051.8</v>
      </c>
    </row>
    <row r="5" spans="1:36" s="91" customFormat="1" ht="12.75" customHeight="1">
      <c r="A5" s="92">
        <v>31</v>
      </c>
      <c r="B5" s="93"/>
      <c r="C5" s="94" t="s">
        <v>160</v>
      </c>
      <c r="D5" s="130">
        <v>0</v>
      </c>
      <c r="E5" s="96">
        <v>0</v>
      </c>
      <c r="F5" s="96">
        <v>0</v>
      </c>
      <c r="G5" s="96">
        <v>93766.9</v>
      </c>
    </row>
    <row r="6" spans="1:36" s="91" customFormat="1" ht="12.75" customHeight="1">
      <c r="A6" s="97" t="s">
        <v>17</v>
      </c>
      <c r="B6" s="98"/>
      <c r="C6" s="99" t="s">
        <v>161</v>
      </c>
      <c r="D6" s="130">
        <v>0</v>
      </c>
      <c r="E6" s="96">
        <v>0</v>
      </c>
      <c r="F6" s="96">
        <v>0</v>
      </c>
      <c r="G6" s="96">
        <v>18303.7</v>
      </c>
    </row>
    <row r="7" spans="1:36" s="91" customFormat="1" ht="12.75" customHeight="1">
      <c r="A7" s="97" t="s">
        <v>162</v>
      </c>
      <c r="B7" s="98"/>
      <c r="C7" s="99" t="s">
        <v>163</v>
      </c>
      <c r="D7" s="130">
        <v>0</v>
      </c>
      <c r="E7" s="96">
        <v>0</v>
      </c>
      <c r="F7" s="96">
        <v>0</v>
      </c>
      <c r="G7" s="96">
        <v>256</v>
      </c>
    </row>
    <row r="8" spans="1:36" s="91" customFormat="1" ht="12.75" customHeight="1">
      <c r="A8" s="101">
        <v>330</v>
      </c>
      <c r="B8" s="93"/>
      <c r="C8" s="94" t="s">
        <v>164</v>
      </c>
      <c r="D8" s="130">
        <v>0</v>
      </c>
      <c r="E8" s="96">
        <v>0</v>
      </c>
      <c r="F8" s="96">
        <v>0</v>
      </c>
      <c r="G8" s="96">
        <v>56416</v>
      </c>
    </row>
    <row r="9" spans="1:36" s="91" customFormat="1" ht="12.75" customHeight="1">
      <c r="A9" s="101">
        <v>332</v>
      </c>
      <c r="B9" s="93"/>
      <c r="C9" s="94" t="s">
        <v>165</v>
      </c>
      <c r="D9" s="130">
        <v>0</v>
      </c>
      <c r="E9" s="96">
        <v>0</v>
      </c>
      <c r="F9" s="96">
        <v>0</v>
      </c>
      <c r="G9" s="96">
        <v>0</v>
      </c>
    </row>
    <row r="10" spans="1:36" s="91" customFormat="1" ht="12.75" customHeight="1">
      <c r="A10" s="101">
        <v>339</v>
      </c>
      <c r="B10" s="93"/>
      <c r="C10" s="94" t="s">
        <v>166</v>
      </c>
      <c r="D10" s="130">
        <v>0</v>
      </c>
      <c r="E10" s="96">
        <v>0</v>
      </c>
      <c r="F10" s="96">
        <v>0</v>
      </c>
      <c r="G10" s="96">
        <v>0</v>
      </c>
    </row>
    <row r="11" spans="1:36" s="91" customFormat="1" ht="12.75" customHeight="1">
      <c r="A11" s="92">
        <v>350</v>
      </c>
      <c r="B11" s="93"/>
      <c r="C11" s="94" t="s">
        <v>167</v>
      </c>
      <c r="D11" s="130">
        <v>0</v>
      </c>
      <c r="E11" s="96">
        <v>0</v>
      </c>
      <c r="F11" s="96">
        <v>0</v>
      </c>
      <c r="G11" s="96">
        <v>11738.6</v>
      </c>
    </row>
    <row r="12" spans="1:36" s="106" customFormat="1" ht="14">
      <c r="A12" s="102">
        <v>351</v>
      </c>
      <c r="B12" s="103"/>
      <c r="C12" s="104" t="s">
        <v>168</v>
      </c>
      <c r="D12" s="130">
        <v>0</v>
      </c>
      <c r="E12" s="96">
        <v>0</v>
      </c>
      <c r="F12" s="96">
        <v>0</v>
      </c>
      <c r="G12" s="96">
        <v>1162</v>
      </c>
    </row>
    <row r="13" spans="1:36" s="91" customFormat="1" ht="12.75" customHeight="1">
      <c r="A13" s="92">
        <v>36</v>
      </c>
      <c r="B13" s="93"/>
      <c r="C13" s="94" t="s">
        <v>169</v>
      </c>
      <c r="D13" s="130">
        <v>0</v>
      </c>
      <c r="E13" s="96">
        <v>0</v>
      </c>
      <c r="F13" s="96">
        <v>0</v>
      </c>
      <c r="G13" s="96">
        <v>878160.9</v>
      </c>
    </row>
    <row r="14" spans="1:36" s="91" customFormat="1" ht="14">
      <c r="A14" s="107" t="s">
        <v>170</v>
      </c>
      <c r="B14" s="93"/>
      <c r="C14" s="108" t="s">
        <v>171</v>
      </c>
      <c r="D14" s="256">
        <v>0</v>
      </c>
      <c r="E14" s="257">
        <v>0</v>
      </c>
      <c r="F14" s="257">
        <v>0</v>
      </c>
      <c r="G14" s="257">
        <v>27552</v>
      </c>
    </row>
    <row r="15" spans="1:36" s="91" customFormat="1" ht="14">
      <c r="A15" s="107" t="s">
        <v>172</v>
      </c>
      <c r="B15" s="93"/>
      <c r="C15" s="108" t="s">
        <v>173</v>
      </c>
      <c r="D15" s="256">
        <v>0</v>
      </c>
      <c r="E15" s="257">
        <v>0</v>
      </c>
      <c r="F15" s="257">
        <v>0</v>
      </c>
      <c r="G15" s="257">
        <v>185928.8</v>
      </c>
    </row>
    <row r="16" spans="1:36" s="111" customFormat="1" ht="26.25" customHeight="1">
      <c r="A16" s="107" t="s">
        <v>174</v>
      </c>
      <c r="B16" s="258"/>
      <c r="C16" s="108" t="s">
        <v>175</v>
      </c>
      <c r="D16" s="256">
        <v>0</v>
      </c>
      <c r="E16" s="259">
        <v>0</v>
      </c>
      <c r="F16" s="259">
        <v>0</v>
      </c>
      <c r="G16" s="259">
        <v>43371</v>
      </c>
    </row>
    <row r="17" spans="1:7" s="113" customFormat="1">
      <c r="A17" s="92">
        <v>37</v>
      </c>
      <c r="B17" s="93"/>
      <c r="C17" s="94" t="s">
        <v>176</v>
      </c>
      <c r="D17" s="256">
        <v>0</v>
      </c>
      <c r="E17" s="96">
        <v>0</v>
      </c>
      <c r="F17" s="96">
        <v>0</v>
      </c>
      <c r="G17" s="96">
        <v>101991.6</v>
      </c>
    </row>
    <row r="18" spans="1:7" s="113" customFormat="1">
      <c r="A18" s="101" t="s">
        <v>177</v>
      </c>
      <c r="B18" s="93"/>
      <c r="C18" s="94" t="s">
        <v>178</v>
      </c>
      <c r="D18" s="256">
        <v>0</v>
      </c>
      <c r="E18" s="257">
        <v>0</v>
      </c>
      <c r="F18" s="257">
        <v>0</v>
      </c>
      <c r="G18" s="257">
        <v>0</v>
      </c>
    </row>
    <row r="19" spans="1:7" s="113" customFormat="1">
      <c r="A19" s="101" t="s">
        <v>179</v>
      </c>
      <c r="B19" s="93"/>
      <c r="C19" s="94" t="s">
        <v>180</v>
      </c>
      <c r="D19" s="256">
        <v>0</v>
      </c>
      <c r="E19" s="257">
        <v>0</v>
      </c>
      <c r="F19" s="257">
        <v>0</v>
      </c>
      <c r="G19" s="257">
        <v>0</v>
      </c>
    </row>
    <row r="20" spans="1:7" s="91" customFormat="1" ht="12.75" customHeight="1">
      <c r="A20" s="116">
        <v>39</v>
      </c>
      <c r="B20" s="117"/>
      <c r="C20" s="118" t="s">
        <v>181</v>
      </c>
      <c r="D20" s="177">
        <v>0</v>
      </c>
      <c r="E20" s="120">
        <v>0</v>
      </c>
      <c r="F20" s="120">
        <v>0</v>
      </c>
      <c r="G20" s="120">
        <v>86329.3</v>
      </c>
    </row>
    <row r="21" spans="1:7" ht="12.75" customHeight="1">
      <c r="A21" s="121"/>
      <c r="B21" s="121"/>
      <c r="C21" s="122" t="s">
        <v>182</v>
      </c>
      <c r="D21" s="123">
        <f t="shared" ref="D21:G21" si="0">D4+D5+SUM(D8:D13)+D17</f>
        <v>0</v>
      </c>
      <c r="E21" s="123">
        <f t="shared" si="0"/>
        <v>0</v>
      </c>
      <c r="F21" s="123">
        <f t="shared" si="0"/>
        <v>0</v>
      </c>
      <c r="G21" s="123">
        <f t="shared" si="0"/>
        <v>1361287.8</v>
      </c>
    </row>
    <row r="22" spans="1:7" s="91" customFormat="1" ht="12.75" customHeight="1">
      <c r="A22" s="101" t="s">
        <v>183</v>
      </c>
      <c r="B22" s="93"/>
      <c r="C22" s="94" t="s">
        <v>184</v>
      </c>
      <c r="D22" s="143">
        <v>0</v>
      </c>
      <c r="E22" s="143">
        <v>0</v>
      </c>
      <c r="F22" s="143">
        <v>0</v>
      </c>
      <c r="G22" s="143">
        <v>556728.1</v>
      </c>
    </row>
    <row r="23" spans="1:7" s="91" customFormat="1" ht="12.75" customHeight="1">
      <c r="A23" s="101" t="s">
        <v>185</v>
      </c>
      <c r="B23" s="93"/>
      <c r="C23" s="94" t="s">
        <v>186</v>
      </c>
      <c r="D23" s="143">
        <v>0</v>
      </c>
      <c r="E23" s="143">
        <v>0</v>
      </c>
      <c r="F23" s="143">
        <v>0</v>
      </c>
      <c r="G23" s="143">
        <v>112501</v>
      </c>
    </row>
    <row r="24" spans="1:7" s="125" customFormat="1" ht="12.75" customHeight="1">
      <c r="A24" s="92">
        <v>41</v>
      </c>
      <c r="B24" s="93"/>
      <c r="C24" s="94" t="s">
        <v>187</v>
      </c>
      <c r="D24" s="143">
        <v>0</v>
      </c>
      <c r="E24" s="143">
        <v>0</v>
      </c>
      <c r="F24" s="143">
        <v>0</v>
      </c>
      <c r="G24" s="143">
        <v>6518.7</v>
      </c>
    </row>
    <row r="25" spans="1:7" s="91" customFormat="1" ht="12.75" customHeight="1">
      <c r="A25" s="126">
        <v>42</v>
      </c>
      <c r="B25" s="127"/>
      <c r="C25" s="94" t="s">
        <v>188</v>
      </c>
      <c r="D25" s="95">
        <v>0</v>
      </c>
      <c r="E25" s="95">
        <v>0</v>
      </c>
      <c r="F25" s="95">
        <v>0</v>
      </c>
      <c r="G25" s="95">
        <v>48405.599999999999</v>
      </c>
    </row>
    <row r="26" spans="1:7" s="129" customFormat="1" ht="12.75" customHeight="1">
      <c r="A26" s="102">
        <v>430</v>
      </c>
      <c r="B26" s="93"/>
      <c r="C26" s="94" t="s">
        <v>189</v>
      </c>
      <c r="D26" s="112">
        <v>0</v>
      </c>
      <c r="E26" s="112">
        <v>0</v>
      </c>
      <c r="F26" s="112">
        <v>0</v>
      </c>
      <c r="G26" s="112">
        <v>892.8</v>
      </c>
    </row>
    <row r="27" spans="1:7" s="129" customFormat="1" ht="12.75" customHeight="1">
      <c r="A27" s="102">
        <v>431</v>
      </c>
      <c r="B27" s="93"/>
      <c r="C27" s="94" t="s">
        <v>190</v>
      </c>
      <c r="D27" s="112">
        <v>0</v>
      </c>
      <c r="E27" s="112">
        <v>0</v>
      </c>
      <c r="F27" s="112">
        <v>0</v>
      </c>
      <c r="G27" s="112">
        <v>0</v>
      </c>
    </row>
    <row r="28" spans="1:7" s="129" customFormat="1" ht="12.75" customHeight="1">
      <c r="A28" s="102">
        <v>432</v>
      </c>
      <c r="B28" s="93"/>
      <c r="C28" s="94" t="s">
        <v>191</v>
      </c>
      <c r="D28" s="112">
        <v>0</v>
      </c>
      <c r="E28" s="112">
        <v>0</v>
      </c>
      <c r="F28" s="112">
        <v>0</v>
      </c>
      <c r="G28" s="112">
        <v>0</v>
      </c>
    </row>
    <row r="29" spans="1:7" s="129" customFormat="1" ht="12.75" customHeight="1">
      <c r="A29" s="102">
        <v>439</v>
      </c>
      <c r="B29" s="93"/>
      <c r="C29" s="94" t="s">
        <v>192</v>
      </c>
      <c r="D29" s="112">
        <v>0</v>
      </c>
      <c r="E29" s="112">
        <v>0</v>
      </c>
      <c r="F29" s="112">
        <v>0</v>
      </c>
      <c r="G29" s="112">
        <v>7199.5</v>
      </c>
    </row>
    <row r="30" spans="1:7" s="91" customFormat="1" ht="14">
      <c r="A30" s="102">
        <v>450</v>
      </c>
      <c r="B30" s="103"/>
      <c r="C30" s="104" t="s">
        <v>193</v>
      </c>
      <c r="D30" s="130">
        <v>0</v>
      </c>
      <c r="E30" s="130">
        <v>0</v>
      </c>
      <c r="F30" s="130">
        <v>0</v>
      </c>
      <c r="G30" s="130">
        <v>18504</v>
      </c>
    </row>
    <row r="31" spans="1:7" s="106" customFormat="1" ht="14">
      <c r="A31" s="102">
        <v>451</v>
      </c>
      <c r="B31" s="103"/>
      <c r="C31" s="104" t="s">
        <v>194</v>
      </c>
      <c r="D31" s="131">
        <v>0</v>
      </c>
      <c r="E31" s="131">
        <v>0</v>
      </c>
      <c r="F31" s="131">
        <v>0</v>
      </c>
      <c r="G31" s="131">
        <v>0</v>
      </c>
    </row>
    <row r="32" spans="1:7" s="91" customFormat="1" ht="12.75" customHeight="1">
      <c r="A32" s="92">
        <v>46</v>
      </c>
      <c r="B32" s="93"/>
      <c r="C32" s="94" t="s">
        <v>195</v>
      </c>
      <c r="D32" s="95">
        <v>0</v>
      </c>
      <c r="E32" s="95">
        <v>0</v>
      </c>
      <c r="F32" s="95">
        <v>0</v>
      </c>
      <c r="G32" s="95">
        <v>414213</v>
      </c>
    </row>
    <row r="33" spans="1:7" s="106" customFormat="1" ht="12.75" customHeight="1">
      <c r="A33" s="114" t="s">
        <v>196</v>
      </c>
      <c r="B33" s="98"/>
      <c r="C33" s="99" t="s">
        <v>197</v>
      </c>
      <c r="D33" s="95">
        <v>0</v>
      </c>
      <c r="E33" s="95">
        <v>0</v>
      </c>
      <c r="F33" s="95">
        <v>0</v>
      </c>
      <c r="G33" s="95">
        <v>0</v>
      </c>
    </row>
    <row r="34" spans="1:7" s="91" customFormat="1" ht="15" customHeight="1">
      <c r="A34" s="92">
        <v>47</v>
      </c>
      <c r="B34" s="93"/>
      <c r="C34" s="94" t="s">
        <v>176</v>
      </c>
      <c r="D34" s="95">
        <v>0</v>
      </c>
      <c r="E34" s="95">
        <v>0</v>
      </c>
      <c r="F34" s="95">
        <v>0</v>
      </c>
      <c r="G34" s="95">
        <v>101991.6</v>
      </c>
    </row>
    <row r="35" spans="1:7" s="91" customFormat="1" ht="15" customHeight="1">
      <c r="A35" s="116">
        <v>49</v>
      </c>
      <c r="B35" s="117"/>
      <c r="C35" s="118" t="s">
        <v>198</v>
      </c>
      <c r="D35" s="177">
        <v>0</v>
      </c>
      <c r="E35" s="177">
        <v>0</v>
      </c>
      <c r="F35" s="177">
        <v>0</v>
      </c>
      <c r="G35" s="177">
        <v>86329.3</v>
      </c>
    </row>
    <row r="36" spans="1:7" s="225" customFormat="1" ht="13.5" customHeight="1">
      <c r="A36" s="260"/>
      <c r="B36" s="261"/>
      <c r="C36" s="262" t="s">
        <v>199</v>
      </c>
      <c r="D36" s="263">
        <f t="shared" ref="D36:G36" si="1">D22+D23+D24+D25+D26+D27+D28+D29+D30+D31+D32+D34</f>
        <v>0</v>
      </c>
      <c r="E36" s="263">
        <f t="shared" si="1"/>
        <v>0</v>
      </c>
      <c r="F36" s="263">
        <f t="shared" si="1"/>
        <v>0</v>
      </c>
      <c r="G36" s="263">
        <f t="shared" si="1"/>
        <v>1266954.3</v>
      </c>
    </row>
    <row r="37" spans="1:7" s="76" customFormat="1" ht="15" customHeight="1">
      <c r="A37" s="260"/>
      <c r="B37" s="261"/>
      <c r="C37" s="262" t="s">
        <v>200</v>
      </c>
      <c r="D37" s="263">
        <f t="shared" ref="D37:G37" si="2">D36-D21</f>
        <v>0</v>
      </c>
      <c r="E37" s="263">
        <f t="shared" si="2"/>
        <v>0</v>
      </c>
      <c r="F37" s="263">
        <f t="shared" si="2"/>
        <v>0</v>
      </c>
      <c r="G37" s="263">
        <f t="shared" si="2"/>
        <v>-94333.5</v>
      </c>
    </row>
    <row r="38" spans="1:7" s="106" customFormat="1" ht="15" customHeight="1">
      <c r="A38" s="101">
        <v>340</v>
      </c>
      <c r="B38" s="93"/>
      <c r="C38" s="94" t="s">
        <v>201</v>
      </c>
      <c r="D38" s="130">
        <v>0</v>
      </c>
      <c r="E38" s="124">
        <v>0</v>
      </c>
      <c r="F38" s="124">
        <v>0</v>
      </c>
      <c r="G38" s="124">
        <v>2236.9</v>
      </c>
    </row>
    <row r="39" spans="1:7" s="106" customFormat="1" ht="15" customHeight="1">
      <c r="A39" s="101">
        <v>341</v>
      </c>
      <c r="B39" s="93"/>
      <c r="C39" s="94" t="s">
        <v>202</v>
      </c>
      <c r="D39" s="95">
        <v>0</v>
      </c>
      <c r="E39" s="124">
        <v>0</v>
      </c>
      <c r="F39" s="124">
        <v>0</v>
      </c>
      <c r="G39" s="124">
        <v>0</v>
      </c>
    </row>
    <row r="40" spans="1:7" s="106" customFormat="1" ht="15" customHeight="1">
      <c r="A40" s="101">
        <v>342</v>
      </c>
      <c r="B40" s="93"/>
      <c r="C40" s="94" t="s">
        <v>203</v>
      </c>
      <c r="D40" s="95">
        <v>0</v>
      </c>
      <c r="E40" s="124">
        <v>0</v>
      </c>
      <c r="F40" s="124">
        <v>0</v>
      </c>
      <c r="G40" s="124">
        <v>759.6</v>
      </c>
    </row>
    <row r="41" spans="1:7" s="106" customFormat="1" ht="15" customHeight="1">
      <c r="A41" s="101">
        <v>343</v>
      </c>
      <c r="B41" s="93"/>
      <c r="C41" s="94" t="s">
        <v>204</v>
      </c>
      <c r="D41" s="95">
        <v>0</v>
      </c>
      <c r="E41" s="124">
        <v>0</v>
      </c>
      <c r="F41" s="124">
        <v>0</v>
      </c>
      <c r="G41" s="124">
        <v>0</v>
      </c>
    </row>
    <row r="42" spans="1:7" s="106" customFormat="1" ht="15" customHeight="1">
      <c r="A42" s="101">
        <v>344</v>
      </c>
      <c r="B42" s="93"/>
      <c r="C42" s="94" t="s">
        <v>205</v>
      </c>
      <c r="D42" s="95">
        <v>0</v>
      </c>
      <c r="E42" s="124">
        <v>0</v>
      </c>
      <c r="F42" s="124">
        <v>0</v>
      </c>
      <c r="G42" s="124">
        <v>0</v>
      </c>
    </row>
    <row r="43" spans="1:7" s="106" customFormat="1" ht="15" customHeight="1">
      <c r="A43" s="101">
        <v>349</v>
      </c>
      <c r="B43" s="93"/>
      <c r="C43" s="94" t="s">
        <v>206</v>
      </c>
      <c r="D43" s="95">
        <v>0</v>
      </c>
      <c r="E43" s="124">
        <v>0</v>
      </c>
      <c r="F43" s="124">
        <v>0</v>
      </c>
      <c r="G43" s="124">
        <v>2089</v>
      </c>
    </row>
    <row r="44" spans="1:7" s="91" customFormat="1" ht="15" customHeight="1">
      <c r="A44" s="92">
        <v>440</v>
      </c>
      <c r="B44" s="93"/>
      <c r="C44" s="94" t="s">
        <v>207</v>
      </c>
      <c r="D44" s="130">
        <v>0</v>
      </c>
      <c r="E44" s="124">
        <v>0</v>
      </c>
      <c r="F44" s="124">
        <v>0</v>
      </c>
      <c r="G44" s="124">
        <v>477.1</v>
      </c>
    </row>
    <row r="45" spans="1:7" s="91" customFormat="1" ht="15" customHeight="1">
      <c r="A45" s="92">
        <v>441</v>
      </c>
      <c r="B45" s="93"/>
      <c r="C45" s="94" t="s">
        <v>208</v>
      </c>
      <c r="D45" s="130">
        <v>0</v>
      </c>
      <c r="E45" s="124">
        <v>0</v>
      </c>
      <c r="F45" s="124">
        <v>0</v>
      </c>
      <c r="G45" s="124">
        <v>0</v>
      </c>
    </row>
    <row r="46" spans="1:7" s="91" customFormat="1" ht="15" customHeight="1">
      <c r="A46" s="92">
        <v>442</v>
      </c>
      <c r="B46" s="93"/>
      <c r="C46" s="94" t="s">
        <v>209</v>
      </c>
      <c r="D46" s="130">
        <v>0</v>
      </c>
      <c r="E46" s="124">
        <v>0</v>
      </c>
      <c r="F46" s="124">
        <v>0</v>
      </c>
      <c r="G46" s="124">
        <v>0</v>
      </c>
    </row>
    <row r="47" spans="1:7" s="91" customFormat="1" ht="15" customHeight="1">
      <c r="A47" s="92">
        <v>443</v>
      </c>
      <c r="B47" s="93"/>
      <c r="C47" s="94" t="s">
        <v>210</v>
      </c>
      <c r="D47" s="130">
        <v>0</v>
      </c>
      <c r="E47" s="124">
        <v>0</v>
      </c>
      <c r="F47" s="124">
        <v>0</v>
      </c>
      <c r="G47" s="124">
        <v>590.6</v>
      </c>
    </row>
    <row r="48" spans="1:7" s="91" customFormat="1" ht="15" customHeight="1">
      <c r="A48" s="92">
        <v>444</v>
      </c>
      <c r="B48" s="93"/>
      <c r="C48" s="94" t="s">
        <v>205</v>
      </c>
      <c r="D48" s="130">
        <v>0</v>
      </c>
      <c r="E48" s="124">
        <v>0</v>
      </c>
      <c r="F48" s="124">
        <v>0</v>
      </c>
      <c r="G48" s="124">
        <v>0</v>
      </c>
    </row>
    <row r="49" spans="1:7" s="91" customFormat="1" ht="15" customHeight="1">
      <c r="A49" s="92">
        <v>445</v>
      </c>
      <c r="B49" s="93"/>
      <c r="C49" s="94" t="s">
        <v>211</v>
      </c>
      <c r="D49" s="130">
        <v>0</v>
      </c>
      <c r="E49" s="124">
        <v>0</v>
      </c>
      <c r="F49" s="124">
        <v>0</v>
      </c>
      <c r="G49" s="124">
        <v>80.3</v>
      </c>
    </row>
    <row r="50" spans="1:7" s="91" customFormat="1" ht="15" customHeight="1">
      <c r="A50" s="92">
        <v>446</v>
      </c>
      <c r="B50" s="93"/>
      <c r="C50" s="94" t="s">
        <v>212</v>
      </c>
      <c r="D50" s="130">
        <v>0</v>
      </c>
      <c r="E50" s="124">
        <v>0</v>
      </c>
      <c r="F50" s="124">
        <v>0</v>
      </c>
      <c r="G50" s="124">
        <v>42200</v>
      </c>
    </row>
    <row r="51" spans="1:7" s="91" customFormat="1" ht="15" customHeight="1">
      <c r="A51" s="92">
        <v>447</v>
      </c>
      <c r="B51" s="93"/>
      <c r="C51" s="94" t="s">
        <v>213</v>
      </c>
      <c r="D51" s="130">
        <v>0</v>
      </c>
      <c r="E51" s="124">
        <v>0</v>
      </c>
      <c r="F51" s="124">
        <v>0</v>
      </c>
      <c r="G51" s="124">
        <v>833.8</v>
      </c>
    </row>
    <row r="52" spans="1:7" s="91" customFormat="1" ht="15" customHeight="1">
      <c r="A52" s="92">
        <v>448</v>
      </c>
      <c r="B52" s="93"/>
      <c r="C52" s="94" t="s">
        <v>214</v>
      </c>
      <c r="D52" s="130">
        <v>0</v>
      </c>
      <c r="E52" s="124">
        <v>0</v>
      </c>
      <c r="F52" s="124">
        <v>0</v>
      </c>
      <c r="G52" s="124">
        <v>0</v>
      </c>
    </row>
    <row r="53" spans="1:7" s="91" customFormat="1" ht="15" customHeight="1">
      <c r="A53" s="92">
        <v>449</v>
      </c>
      <c r="B53" s="93"/>
      <c r="C53" s="94" t="s">
        <v>215</v>
      </c>
      <c r="D53" s="130">
        <v>0</v>
      </c>
      <c r="E53" s="124">
        <v>0</v>
      </c>
      <c r="F53" s="124">
        <v>0</v>
      </c>
      <c r="G53" s="124">
        <v>0</v>
      </c>
    </row>
    <row r="54" spans="1:7" s="106" customFormat="1" ht="13.5" customHeight="1">
      <c r="A54" s="136" t="s">
        <v>216</v>
      </c>
      <c r="B54" s="137"/>
      <c r="C54" s="137" t="s">
        <v>217</v>
      </c>
      <c r="D54" s="264">
        <v>0</v>
      </c>
      <c r="E54" s="139">
        <v>0</v>
      </c>
      <c r="F54" s="139">
        <v>0</v>
      </c>
      <c r="G54" s="139">
        <v>0</v>
      </c>
    </row>
    <row r="55" spans="1:7" ht="15" customHeight="1">
      <c r="A55" s="134"/>
      <c r="B55" s="134"/>
      <c r="C55" s="122" t="s">
        <v>218</v>
      </c>
      <c r="D55" s="123">
        <f t="shared" ref="D55:G55" si="3">SUM(D44:D53)-SUM(D38:D43)</f>
        <v>0</v>
      </c>
      <c r="E55" s="123">
        <f t="shared" si="3"/>
        <v>0</v>
      </c>
      <c r="F55" s="123">
        <f t="shared" si="3"/>
        <v>0</v>
      </c>
      <c r="G55" s="123">
        <f t="shared" si="3"/>
        <v>39096.300000000003</v>
      </c>
    </row>
    <row r="56" spans="1:7" ht="14.25" customHeight="1">
      <c r="A56" s="134"/>
      <c r="B56" s="134"/>
      <c r="C56" s="122" t="s">
        <v>219</v>
      </c>
      <c r="D56" s="123">
        <f t="shared" ref="D56:G56" si="4">D55+D37</f>
        <v>0</v>
      </c>
      <c r="E56" s="123">
        <f t="shared" si="4"/>
        <v>0</v>
      </c>
      <c r="F56" s="123">
        <f t="shared" si="4"/>
        <v>0</v>
      </c>
      <c r="G56" s="123">
        <f t="shared" si="4"/>
        <v>-55237.2</v>
      </c>
    </row>
    <row r="57" spans="1:7" s="91" customFormat="1" ht="15.75" customHeight="1">
      <c r="A57" s="140">
        <v>380</v>
      </c>
      <c r="B57" s="141"/>
      <c r="C57" s="142" t="s">
        <v>220</v>
      </c>
      <c r="D57" s="265">
        <v>0</v>
      </c>
      <c r="E57" s="266">
        <v>0</v>
      </c>
      <c r="F57" s="266">
        <v>0</v>
      </c>
      <c r="G57" s="266">
        <v>0</v>
      </c>
    </row>
    <row r="58" spans="1:7" s="91" customFormat="1" ht="15.75" customHeight="1">
      <c r="A58" s="140">
        <v>381</v>
      </c>
      <c r="B58" s="141"/>
      <c r="C58" s="142" t="s">
        <v>221</v>
      </c>
      <c r="D58" s="265">
        <v>0</v>
      </c>
      <c r="E58" s="266">
        <v>0</v>
      </c>
      <c r="F58" s="266">
        <v>0</v>
      </c>
      <c r="G58" s="266">
        <v>0</v>
      </c>
    </row>
    <row r="59" spans="1:7" s="106" customFormat="1" ht="14">
      <c r="A59" s="102">
        <v>383</v>
      </c>
      <c r="B59" s="103"/>
      <c r="C59" s="104" t="s">
        <v>222</v>
      </c>
      <c r="D59" s="267">
        <v>0</v>
      </c>
      <c r="E59" s="144">
        <v>0</v>
      </c>
      <c r="F59" s="144">
        <v>0</v>
      </c>
      <c r="G59" s="144">
        <v>0</v>
      </c>
    </row>
    <row r="60" spans="1:7" s="106" customFormat="1" ht="14">
      <c r="A60" s="102">
        <v>3840</v>
      </c>
      <c r="B60" s="103"/>
      <c r="C60" s="104" t="s">
        <v>223</v>
      </c>
      <c r="D60" s="268">
        <v>0</v>
      </c>
      <c r="E60" s="269">
        <v>0</v>
      </c>
      <c r="F60" s="269">
        <v>0</v>
      </c>
      <c r="G60" s="269">
        <v>0</v>
      </c>
    </row>
    <row r="61" spans="1:7" s="106" customFormat="1" ht="14">
      <c r="A61" s="102">
        <v>3841</v>
      </c>
      <c r="B61" s="103"/>
      <c r="C61" s="104" t="s">
        <v>224</v>
      </c>
      <c r="D61" s="268">
        <v>0</v>
      </c>
      <c r="E61" s="269">
        <v>0</v>
      </c>
      <c r="F61" s="269">
        <v>0</v>
      </c>
      <c r="G61" s="269">
        <v>0</v>
      </c>
    </row>
    <row r="62" spans="1:7" s="106" customFormat="1" ht="14">
      <c r="A62" s="147">
        <v>386</v>
      </c>
      <c r="B62" s="148"/>
      <c r="C62" s="149" t="s">
        <v>225</v>
      </c>
      <c r="D62" s="268">
        <v>0</v>
      </c>
      <c r="E62" s="269">
        <v>0</v>
      </c>
      <c r="F62" s="269">
        <v>0</v>
      </c>
      <c r="G62" s="269">
        <v>0</v>
      </c>
    </row>
    <row r="63" spans="1:7" s="106" customFormat="1" ht="28">
      <c r="A63" s="102">
        <v>387</v>
      </c>
      <c r="B63" s="103"/>
      <c r="C63" s="104" t="s">
        <v>226</v>
      </c>
      <c r="D63" s="268">
        <v>0</v>
      </c>
      <c r="E63" s="269">
        <v>0</v>
      </c>
      <c r="F63" s="269">
        <v>0</v>
      </c>
      <c r="G63" s="269">
        <v>0</v>
      </c>
    </row>
    <row r="64" spans="1:7" s="106" customFormat="1">
      <c r="A64" s="101">
        <v>389</v>
      </c>
      <c r="B64" s="150"/>
      <c r="C64" s="94" t="s">
        <v>42</v>
      </c>
      <c r="D64" s="95">
        <v>0</v>
      </c>
      <c r="E64" s="124">
        <v>0</v>
      </c>
      <c r="F64" s="124">
        <v>0</v>
      </c>
      <c r="G64" s="124">
        <v>0</v>
      </c>
    </row>
    <row r="65" spans="1:7" s="91" customFormat="1">
      <c r="A65" s="92" t="s">
        <v>227</v>
      </c>
      <c r="B65" s="93"/>
      <c r="C65" s="94" t="s">
        <v>228</v>
      </c>
      <c r="D65" s="95">
        <v>0</v>
      </c>
      <c r="E65" s="124">
        <v>0</v>
      </c>
      <c r="F65" s="124">
        <v>0</v>
      </c>
      <c r="G65" s="124">
        <v>0</v>
      </c>
    </row>
    <row r="66" spans="1:7" s="153" customFormat="1" ht="14">
      <c r="A66" s="154" t="s">
        <v>229</v>
      </c>
      <c r="B66" s="152"/>
      <c r="C66" s="104" t="s">
        <v>230</v>
      </c>
      <c r="D66" s="143">
        <v>0</v>
      </c>
      <c r="E66" s="144">
        <v>0</v>
      </c>
      <c r="F66" s="144">
        <v>0</v>
      </c>
      <c r="G66" s="144">
        <v>0</v>
      </c>
    </row>
    <row r="67" spans="1:7" s="91" customFormat="1">
      <c r="A67" s="154">
        <v>481</v>
      </c>
      <c r="B67" s="93"/>
      <c r="C67" s="94" t="s">
        <v>231</v>
      </c>
      <c r="D67" s="95">
        <v>0</v>
      </c>
      <c r="E67" s="124">
        <v>0</v>
      </c>
      <c r="F67" s="124">
        <v>0</v>
      </c>
      <c r="G67" s="124">
        <v>0</v>
      </c>
    </row>
    <row r="68" spans="1:7" s="91" customFormat="1">
      <c r="A68" s="154">
        <v>482</v>
      </c>
      <c r="B68" s="93"/>
      <c r="C68" s="94" t="s">
        <v>232</v>
      </c>
      <c r="D68" s="95">
        <v>0</v>
      </c>
      <c r="E68" s="124">
        <v>0</v>
      </c>
      <c r="F68" s="124">
        <v>0</v>
      </c>
      <c r="G68" s="124">
        <v>0</v>
      </c>
    </row>
    <row r="69" spans="1:7" s="91" customFormat="1">
      <c r="A69" s="154">
        <v>483</v>
      </c>
      <c r="B69" s="93"/>
      <c r="C69" s="94" t="s">
        <v>233</v>
      </c>
      <c r="D69" s="95">
        <v>0</v>
      </c>
      <c r="E69" s="124">
        <v>0</v>
      </c>
      <c r="F69" s="124">
        <v>0</v>
      </c>
      <c r="G69" s="124">
        <v>0</v>
      </c>
    </row>
    <row r="70" spans="1:7" s="91" customFormat="1">
      <c r="A70" s="154">
        <v>484</v>
      </c>
      <c r="B70" s="93"/>
      <c r="C70" s="94" t="s">
        <v>234</v>
      </c>
      <c r="D70" s="95">
        <v>0</v>
      </c>
      <c r="E70" s="124">
        <v>0</v>
      </c>
      <c r="F70" s="124">
        <v>0</v>
      </c>
      <c r="G70" s="124">
        <v>0</v>
      </c>
    </row>
    <row r="71" spans="1:7" s="91" customFormat="1">
      <c r="A71" s="154">
        <v>485</v>
      </c>
      <c r="B71" s="93"/>
      <c r="C71" s="94" t="s">
        <v>235</v>
      </c>
      <c r="D71" s="95">
        <v>0</v>
      </c>
      <c r="E71" s="124">
        <v>0</v>
      </c>
      <c r="F71" s="124">
        <v>0</v>
      </c>
      <c r="G71" s="124">
        <v>0</v>
      </c>
    </row>
    <row r="72" spans="1:7" s="91" customFormat="1">
      <c r="A72" s="154">
        <v>486</v>
      </c>
      <c r="B72" s="93"/>
      <c r="C72" s="94" t="s">
        <v>236</v>
      </c>
      <c r="D72" s="95">
        <v>0</v>
      </c>
      <c r="E72" s="124">
        <v>0</v>
      </c>
      <c r="F72" s="124">
        <v>0</v>
      </c>
      <c r="G72" s="124">
        <v>0</v>
      </c>
    </row>
    <row r="73" spans="1:7" s="106" customFormat="1">
      <c r="A73" s="154">
        <v>487</v>
      </c>
      <c r="B73" s="98"/>
      <c r="C73" s="94" t="s">
        <v>237</v>
      </c>
      <c r="D73" s="130">
        <v>0</v>
      </c>
      <c r="E73" s="124">
        <v>0</v>
      </c>
      <c r="F73" s="124">
        <v>0</v>
      </c>
      <c r="G73" s="124">
        <v>0</v>
      </c>
    </row>
    <row r="74" spans="1:7" s="106" customFormat="1">
      <c r="A74" s="154">
        <v>489</v>
      </c>
      <c r="B74" s="155"/>
      <c r="C74" s="118" t="s">
        <v>59</v>
      </c>
      <c r="D74" s="130">
        <v>0</v>
      </c>
      <c r="E74" s="124">
        <v>0</v>
      </c>
      <c r="F74" s="124">
        <v>0</v>
      </c>
      <c r="G74" s="124">
        <v>0</v>
      </c>
    </row>
    <row r="75" spans="1:7" s="106" customFormat="1">
      <c r="A75" s="156" t="s">
        <v>238</v>
      </c>
      <c r="B75" s="155"/>
      <c r="C75" s="137" t="s">
        <v>239</v>
      </c>
      <c r="D75" s="95">
        <v>0</v>
      </c>
      <c r="E75" s="124">
        <v>0</v>
      </c>
      <c r="F75" s="124">
        <v>0</v>
      </c>
      <c r="G75" s="124">
        <v>0</v>
      </c>
    </row>
    <row r="76" spans="1:7">
      <c r="A76" s="121"/>
      <c r="B76" s="121"/>
      <c r="C76" s="122" t="s">
        <v>240</v>
      </c>
      <c r="D76" s="123">
        <f t="shared" ref="D76:G76" si="5">SUM(D65:D74)-SUM(D57:D64)</f>
        <v>0</v>
      </c>
      <c r="E76" s="123">
        <f t="shared" si="5"/>
        <v>0</v>
      </c>
      <c r="F76" s="123">
        <f t="shared" si="5"/>
        <v>0</v>
      </c>
      <c r="G76" s="123">
        <f t="shared" si="5"/>
        <v>0</v>
      </c>
    </row>
    <row r="77" spans="1:7">
      <c r="A77" s="157"/>
      <c r="B77" s="157"/>
      <c r="C77" s="122" t="s">
        <v>241</v>
      </c>
      <c r="D77" s="123">
        <f t="shared" ref="D77:G77" si="6">D56+D76</f>
        <v>0</v>
      </c>
      <c r="E77" s="123">
        <f t="shared" si="6"/>
        <v>0</v>
      </c>
      <c r="F77" s="123">
        <f t="shared" si="6"/>
        <v>0</v>
      </c>
      <c r="G77" s="123">
        <f t="shared" si="6"/>
        <v>-55237.2</v>
      </c>
    </row>
    <row r="78" spans="1:7">
      <c r="A78" s="158">
        <v>3</v>
      </c>
      <c r="B78" s="158"/>
      <c r="C78" s="159" t="s">
        <v>242</v>
      </c>
      <c r="D78" s="160">
        <f t="shared" ref="D78:G78" si="7">D20+D21+SUM(D38:D43)+SUM(D57:D64)</f>
        <v>0</v>
      </c>
      <c r="E78" s="160">
        <f t="shared" si="7"/>
        <v>0</v>
      </c>
      <c r="F78" s="160">
        <f t="shared" si="7"/>
        <v>0</v>
      </c>
      <c r="G78" s="160">
        <f t="shared" si="7"/>
        <v>1452702.6</v>
      </c>
    </row>
    <row r="79" spans="1:7" ht="14" customHeight="1">
      <c r="A79" s="158">
        <v>4</v>
      </c>
      <c r="B79" s="158"/>
      <c r="C79" s="159" t="s">
        <v>243</v>
      </c>
      <c r="D79" s="160">
        <f t="shared" ref="D79:G79" si="8">D35+D36+SUM(D44:D53)+SUM(D65:D74)</f>
        <v>0</v>
      </c>
      <c r="E79" s="160">
        <f t="shared" si="8"/>
        <v>0</v>
      </c>
      <c r="F79" s="160">
        <f t="shared" si="8"/>
        <v>0</v>
      </c>
      <c r="G79" s="160">
        <f t="shared" si="8"/>
        <v>1397465.4000000001</v>
      </c>
    </row>
    <row r="80" spans="1:7">
      <c r="C80" s="135"/>
    </row>
    <row r="81" spans="1:7">
      <c r="A81" s="680" t="s">
        <v>244</v>
      </c>
      <c r="B81" s="681"/>
      <c r="C81" s="681"/>
    </row>
    <row r="82" spans="1:7" s="91" customFormat="1">
      <c r="A82" s="164">
        <v>50</v>
      </c>
      <c r="B82" s="165"/>
      <c r="C82" s="165" t="s">
        <v>245</v>
      </c>
      <c r="D82" s="272">
        <v>0</v>
      </c>
      <c r="E82" s="272">
        <v>0</v>
      </c>
      <c r="F82" s="272">
        <v>0</v>
      </c>
      <c r="G82" s="272">
        <v>75650</v>
      </c>
    </row>
    <row r="83" spans="1:7" s="91" customFormat="1">
      <c r="A83" s="164">
        <v>51</v>
      </c>
      <c r="B83" s="165"/>
      <c r="C83" s="165" t="s">
        <v>246</v>
      </c>
      <c r="D83" s="95">
        <v>0</v>
      </c>
      <c r="E83" s="124">
        <v>0</v>
      </c>
      <c r="F83" s="124">
        <v>0</v>
      </c>
      <c r="G83" s="124">
        <v>0</v>
      </c>
    </row>
    <row r="84" spans="1:7" s="91" customFormat="1">
      <c r="A84" s="164">
        <v>52</v>
      </c>
      <c r="B84" s="165"/>
      <c r="C84" s="165" t="s">
        <v>247</v>
      </c>
      <c r="D84" s="95">
        <v>0</v>
      </c>
      <c r="E84" s="124">
        <v>0</v>
      </c>
      <c r="F84" s="124">
        <v>0</v>
      </c>
      <c r="G84" s="124">
        <v>0</v>
      </c>
    </row>
    <row r="85" spans="1:7" s="91" customFormat="1">
      <c r="A85" s="166">
        <v>54</v>
      </c>
      <c r="B85" s="167"/>
      <c r="C85" s="167" t="s">
        <v>248</v>
      </c>
      <c r="D85" s="100">
        <v>0</v>
      </c>
      <c r="E85" s="132">
        <v>0</v>
      </c>
      <c r="F85" s="132">
        <v>0</v>
      </c>
      <c r="G85" s="132">
        <v>0</v>
      </c>
    </row>
    <row r="86" spans="1:7" s="91" customFormat="1">
      <c r="A86" s="166">
        <v>55</v>
      </c>
      <c r="B86" s="167"/>
      <c r="C86" s="167" t="s">
        <v>249</v>
      </c>
      <c r="D86" s="100">
        <v>0</v>
      </c>
      <c r="E86" s="132">
        <v>0</v>
      </c>
      <c r="F86" s="132">
        <v>0</v>
      </c>
      <c r="G86" s="132">
        <v>1650</v>
      </c>
    </row>
    <row r="87" spans="1:7" s="91" customFormat="1">
      <c r="A87" s="166">
        <v>56</v>
      </c>
      <c r="B87" s="167"/>
      <c r="C87" s="167" t="s">
        <v>250</v>
      </c>
      <c r="D87" s="100">
        <v>0</v>
      </c>
      <c r="E87" s="100">
        <v>0</v>
      </c>
      <c r="F87" s="100">
        <v>0</v>
      </c>
      <c r="G87" s="100">
        <v>0</v>
      </c>
    </row>
    <row r="88" spans="1:7" s="91" customFormat="1">
      <c r="A88" s="164">
        <v>57</v>
      </c>
      <c r="B88" s="165"/>
      <c r="C88" s="165" t="s">
        <v>251</v>
      </c>
      <c r="D88" s="95">
        <v>0</v>
      </c>
      <c r="E88" s="124">
        <v>0</v>
      </c>
      <c r="F88" s="124">
        <v>0</v>
      </c>
      <c r="G88" s="124">
        <v>0</v>
      </c>
    </row>
    <row r="89" spans="1:7" s="91" customFormat="1">
      <c r="A89" s="164">
        <v>580</v>
      </c>
      <c r="B89" s="165"/>
      <c r="C89" s="165" t="s">
        <v>252</v>
      </c>
      <c r="D89" s="95">
        <v>0</v>
      </c>
      <c r="E89" s="124">
        <v>0</v>
      </c>
      <c r="F89" s="124">
        <v>0</v>
      </c>
      <c r="G89" s="124">
        <v>0</v>
      </c>
    </row>
    <row r="90" spans="1:7" s="91" customFormat="1">
      <c r="A90" s="164">
        <v>582</v>
      </c>
      <c r="B90" s="165"/>
      <c r="C90" s="165" t="s">
        <v>253</v>
      </c>
      <c r="D90" s="95">
        <v>0</v>
      </c>
      <c r="E90" s="124">
        <v>0</v>
      </c>
      <c r="F90" s="124">
        <v>0</v>
      </c>
      <c r="G90" s="124">
        <v>0</v>
      </c>
    </row>
    <row r="91" spans="1:7" s="91" customFormat="1">
      <c r="A91" s="164">
        <v>584</v>
      </c>
      <c r="B91" s="165"/>
      <c r="C91" s="165" t="s">
        <v>254</v>
      </c>
      <c r="D91" s="95">
        <v>0</v>
      </c>
      <c r="E91" s="124">
        <v>0</v>
      </c>
      <c r="F91" s="124">
        <v>0</v>
      </c>
      <c r="G91" s="124">
        <v>0</v>
      </c>
    </row>
    <row r="92" spans="1:7" s="91" customFormat="1">
      <c r="A92" s="164">
        <v>585</v>
      </c>
      <c r="B92" s="165"/>
      <c r="C92" s="165" t="s">
        <v>255</v>
      </c>
      <c r="D92" s="95">
        <v>0</v>
      </c>
      <c r="E92" s="124">
        <v>0</v>
      </c>
      <c r="F92" s="124">
        <v>0</v>
      </c>
      <c r="G92" s="124">
        <v>0</v>
      </c>
    </row>
    <row r="93" spans="1:7" s="91" customFormat="1">
      <c r="A93" s="164">
        <v>586</v>
      </c>
      <c r="B93" s="165"/>
      <c r="C93" s="165" t="s">
        <v>256</v>
      </c>
      <c r="D93" s="95">
        <v>0</v>
      </c>
      <c r="E93" s="124">
        <v>0</v>
      </c>
      <c r="F93" s="124">
        <v>0</v>
      </c>
      <c r="G93" s="124">
        <v>0</v>
      </c>
    </row>
    <row r="94" spans="1:7" s="91" customFormat="1">
      <c r="A94" s="168">
        <v>589</v>
      </c>
      <c r="B94" s="169"/>
      <c r="C94" s="169" t="s">
        <v>257</v>
      </c>
      <c r="D94" s="119">
        <v>0</v>
      </c>
      <c r="E94" s="133">
        <v>0</v>
      </c>
      <c r="F94" s="133">
        <v>0</v>
      </c>
      <c r="G94" s="133">
        <v>0</v>
      </c>
    </row>
    <row r="95" spans="1:7">
      <c r="A95" s="170">
        <v>5</v>
      </c>
      <c r="B95" s="171"/>
      <c r="C95" s="171" t="s">
        <v>258</v>
      </c>
      <c r="D95" s="172">
        <f t="shared" ref="D95:G95" si="9">SUM(D82:D94)</f>
        <v>0</v>
      </c>
      <c r="E95" s="172">
        <f t="shared" si="9"/>
        <v>0</v>
      </c>
      <c r="F95" s="172">
        <f t="shared" si="9"/>
        <v>0</v>
      </c>
      <c r="G95" s="172">
        <f t="shared" si="9"/>
        <v>77300</v>
      </c>
    </row>
    <row r="96" spans="1:7" s="91" customFormat="1">
      <c r="A96" s="164">
        <v>60</v>
      </c>
      <c r="B96" s="165"/>
      <c r="C96" s="165" t="s">
        <v>259</v>
      </c>
      <c r="D96" s="95">
        <v>0</v>
      </c>
      <c r="E96" s="124">
        <v>0</v>
      </c>
      <c r="F96" s="124">
        <v>0</v>
      </c>
      <c r="G96" s="124">
        <v>0</v>
      </c>
    </row>
    <row r="97" spans="1:7" s="91" customFormat="1">
      <c r="A97" s="164">
        <v>61</v>
      </c>
      <c r="B97" s="165"/>
      <c r="C97" s="165" t="s">
        <v>260</v>
      </c>
      <c r="D97" s="95">
        <v>0</v>
      </c>
      <c r="E97" s="124">
        <v>0</v>
      </c>
      <c r="F97" s="124">
        <v>0</v>
      </c>
      <c r="G97" s="124">
        <v>15855</v>
      </c>
    </row>
    <row r="98" spans="1:7" s="91" customFormat="1">
      <c r="A98" s="164">
        <v>62</v>
      </c>
      <c r="B98" s="165"/>
      <c r="C98" s="165" t="s">
        <v>261</v>
      </c>
      <c r="D98" s="95">
        <v>0</v>
      </c>
      <c r="E98" s="124">
        <v>0</v>
      </c>
      <c r="F98" s="124">
        <v>0</v>
      </c>
      <c r="G98" s="124">
        <v>0</v>
      </c>
    </row>
    <row r="99" spans="1:7" s="91" customFormat="1">
      <c r="A99" s="164">
        <v>63</v>
      </c>
      <c r="B99" s="165"/>
      <c r="C99" s="165" t="s">
        <v>262</v>
      </c>
      <c r="D99" s="95">
        <v>0</v>
      </c>
      <c r="E99" s="95">
        <v>0</v>
      </c>
      <c r="F99" s="95">
        <v>0</v>
      </c>
      <c r="G99" s="95">
        <v>4923</v>
      </c>
    </row>
    <row r="100" spans="1:7" s="91" customFormat="1">
      <c r="A100" s="164">
        <v>64</v>
      </c>
      <c r="B100" s="165"/>
      <c r="C100" s="165" t="s">
        <v>263</v>
      </c>
      <c r="D100" s="95">
        <v>0</v>
      </c>
      <c r="E100" s="124">
        <v>0</v>
      </c>
      <c r="F100" s="124">
        <v>0</v>
      </c>
      <c r="G100" s="124">
        <v>10800</v>
      </c>
    </row>
    <row r="101" spans="1:7" s="91" customFormat="1">
      <c r="A101" s="164">
        <v>65</v>
      </c>
      <c r="B101" s="165"/>
      <c r="C101" s="165" t="s">
        <v>264</v>
      </c>
      <c r="D101" s="95">
        <v>0</v>
      </c>
      <c r="E101" s="124">
        <v>0</v>
      </c>
      <c r="F101" s="124">
        <v>0</v>
      </c>
      <c r="G101" s="124">
        <v>0</v>
      </c>
    </row>
    <row r="102" spans="1:7" s="91" customFormat="1">
      <c r="A102" s="164">
        <v>66</v>
      </c>
      <c r="B102" s="165"/>
      <c r="C102" s="165" t="s">
        <v>265</v>
      </c>
      <c r="D102" s="95">
        <v>0</v>
      </c>
      <c r="E102" s="124">
        <v>0</v>
      </c>
      <c r="F102" s="124">
        <v>0</v>
      </c>
      <c r="G102" s="124">
        <v>0</v>
      </c>
    </row>
    <row r="103" spans="1:7" s="91" customFormat="1">
      <c r="A103" s="164">
        <v>67</v>
      </c>
      <c r="B103" s="165"/>
      <c r="C103" s="165" t="s">
        <v>251</v>
      </c>
      <c r="D103" s="130">
        <v>0</v>
      </c>
      <c r="E103" s="96">
        <v>0</v>
      </c>
      <c r="F103" s="96">
        <v>0</v>
      </c>
      <c r="G103" s="96">
        <v>0</v>
      </c>
    </row>
    <row r="104" spans="1:7" s="91" customFormat="1" ht="28">
      <c r="A104" s="173" t="s">
        <v>266</v>
      </c>
      <c r="B104" s="165"/>
      <c r="C104" s="174" t="s">
        <v>267</v>
      </c>
      <c r="D104" s="267">
        <v>0</v>
      </c>
      <c r="E104" s="277">
        <v>0</v>
      </c>
      <c r="F104" s="277">
        <v>0</v>
      </c>
      <c r="G104" s="277">
        <v>0</v>
      </c>
    </row>
    <row r="105" spans="1:7" s="91" customFormat="1" ht="42">
      <c r="A105" s="175" t="s">
        <v>268</v>
      </c>
      <c r="B105" s="169"/>
      <c r="C105" s="176" t="s">
        <v>269</v>
      </c>
      <c r="D105" s="278">
        <v>0</v>
      </c>
      <c r="E105" s="279">
        <v>0</v>
      </c>
      <c r="F105" s="279">
        <v>0</v>
      </c>
      <c r="G105" s="279">
        <v>0</v>
      </c>
    </row>
    <row r="106" spans="1:7">
      <c r="A106" s="170">
        <v>6</v>
      </c>
      <c r="B106" s="171"/>
      <c r="C106" s="171" t="s">
        <v>270</v>
      </c>
      <c r="D106" s="172">
        <f t="shared" ref="D106:G106" si="10">SUM(D96:D105)</f>
        <v>0</v>
      </c>
      <c r="E106" s="172">
        <f t="shared" si="10"/>
        <v>0</v>
      </c>
      <c r="F106" s="172">
        <f t="shared" si="10"/>
        <v>0</v>
      </c>
      <c r="G106" s="172">
        <f t="shared" si="10"/>
        <v>31578</v>
      </c>
    </row>
    <row r="107" spans="1:7">
      <c r="A107" s="178" t="s">
        <v>271</v>
      </c>
      <c r="B107" s="178"/>
      <c r="C107" s="171" t="s">
        <v>1</v>
      </c>
      <c r="D107" s="172">
        <f t="shared" ref="D107:G107" si="11">(D95-D88)-(D106-D103)</f>
        <v>0</v>
      </c>
      <c r="E107" s="172">
        <f t="shared" si="11"/>
        <v>0</v>
      </c>
      <c r="F107" s="172">
        <f t="shared" si="11"/>
        <v>0</v>
      </c>
      <c r="G107" s="172">
        <f t="shared" si="11"/>
        <v>45722</v>
      </c>
    </row>
    <row r="108" spans="1:7">
      <c r="A108" s="179" t="s">
        <v>272</v>
      </c>
      <c r="B108" s="179"/>
      <c r="C108" s="180" t="s">
        <v>273</v>
      </c>
      <c r="D108" s="280">
        <f t="shared" ref="D108:G108" si="12">D107-D85-D86+D100+D101</f>
        <v>0</v>
      </c>
      <c r="E108" s="280">
        <f t="shared" si="12"/>
        <v>0</v>
      </c>
      <c r="F108" s="280">
        <f t="shared" si="12"/>
        <v>0</v>
      </c>
      <c r="G108" s="280">
        <f t="shared" si="12"/>
        <v>54872</v>
      </c>
    </row>
    <row r="109" spans="1:7">
      <c r="C109" s="135"/>
    </row>
    <row r="110" spans="1:7">
      <c r="A110" s="181" t="s">
        <v>274</v>
      </c>
      <c r="B110" s="182"/>
      <c r="C110" s="181"/>
    </row>
    <row r="111" spans="1:7" s="91" customFormat="1">
      <c r="A111" s="183">
        <v>10</v>
      </c>
      <c r="B111" s="184"/>
      <c r="C111" s="184" t="s">
        <v>275</v>
      </c>
      <c r="D111" s="186">
        <f t="shared" ref="D111:G111" si="13">D112+D117</f>
        <v>0</v>
      </c>
      <c r="E111" s="186">
        <f t="shared" si="13"/>
        <v>0</v>
      </c>
      <c r="F111" s="186">
        <f t="shared" si="13"/>
        <v>0</v>
      </c>
      <c r="G111" s="186">
        <f t="shared" si="13"/>
        <v>0</v>
      </c>
    </row>
    <row r="112" spans="1:7" s="91" customFormat="1">
      <c r="A112" s="187" t="s">
        <v>276</v>
      </c>
      <c r="B112" s="188"/>
      <c r="C112" s="188" t="s">
        <v>277</v>
      </c>
      <c r="D112" s="186">
        <f t="shared" ref="D112:G112" si="14">D113+D114+D115+D116</f>
        <v>0</v>
      </c>
      <c r="E112" s="186">
        <f t="shared" si="14"/>
        <v>0</v>
      </c>
      <c r="F112" s="186">
        <f t="shared" si="14"/>
        <v>0</v>
      </c>
      <c r="G112" s="186">
        <f t="shared" si="14"/>
        <v>0</v>
      </c>
    </row>
    <row r="113" spans="1:7" s="91" customFormat="1">
      <c r="A113" s="281" t="s">
        <v>278</v>
      </c>
      <c r="B113" s="208"/>
      <c r="C113" s="208" t="s">
        <v>279</v>
      </c>
      <c r="D113" s="100">
        <v>0</v>
      </c>
      <c r="E113" s="100">
        <v>0</v>
      </c>
      <c r="F113" s="100">
        <v>0</v>
      </c>
      <c r="G113" s="100">
        <v>0</v>
      </c>
    </row>
    <row r="114" spans="1:7" s="153" customFormat="1" ht="15" customHeight="1">
      <c r="A114" s="282">
        <v>102</v>
      </c>
      <c r="B114" s="283"/>
      <c r="C114" s="283" t="s">
        <v>280</v>
      </c>
      <c r="D114" s="284">
        <v>0</v>
      </c>
      <c r="E114" s="284">
        <v>0</v>
      </c>
      <c r="F114" s="284">
        <v>0</v>
      </c>
      <c r="G114" s="284">
        <v>0</v>
      </c>
    </row>
    <row r="115" spans="1:7" s="91" customFormat="1">
      <c r="A115" s="281">
        <v>104</v>
      </c>
      <c r="B115" s="208"/>
      <c r="C115" s="208" t="s">
        <v>281</v>
      </c>
      <c r="D115" s="100">
        <v>0</v>
      </c>
      <c r="E115" s="100">
        <v>0</v>
      </c>
      <c r="F115" s="100">
        <v>0</v>
      </c>
      <c r="G115" s="100">
        <v>0</v>
      </c>
    </row>
    <row r="116" spans="1:7" s="91" customFormat="1">
      <c r="A116" s="281">
        <v>106</v>
      </c>
      <c r="B116" s="208"/>
      <c r="C116" s="208" t="s">
        <v>282</v>
      </c>
      <c r="D116" s="100">
        <v>0</v>
      </c>
      <c r="E116" s="100">
        <v>0</v>
      </c>
      <c r="F116" s="100">
        <v>0</v>
      </c>
      <c r="G116" s="100">
        <v>0</v>
      </c>
    </row>
    <row r="117" spans="1:7" s="91" customFormat="1">
      <c r="A117" s="187" t="s">
        <v>283</v>
      </c>
      <c r="B117" s="188"/>
      <c r="C117" s="188" t="s">
        <v>284</v>
      </c>
      <c r="D117" s="186">
        <f t="shared" ref="D117:G117" si="15">D118+D119+D120</f>
        <v>0</v>
      </c>
      <c r="E117" s="186">
        <f t="shared" si="15"/>
        <v>0</v>
      </c>
      <c r="F117" s="186">
        <f t="shared" si="15"/>
        <v>0</v>
      </c>
      <c r="G117" s="186">
        <f t="shared" si="15"/>
        <v>0</v>
      </c>
    </row>
    <row r="118" spans="1:7" s="91" customFormat="1">
      <c r="A118" s="281">
        <v>107</v>
      </c>
      <c r="B118" s="208"/>
      <c r="C118" s="208" t="s">
        <v>285</v>
      </c>
      <c r="D118" s="100">
        <v>0</v>
      </c>
      <c r="E118" s="100">
        <v>0</v>
      </c>
      <c r="F118" s="100">
        <v>0</v>
      </c>
      <c r="G118" s="100">
        <v>0</v>
      </c>
    </row>
    <row r="119" spans="1:7" s="91" customFormat="1">
      <c r="A119" s="281">
        <v>108</v>
      </c>
      <c r="B119" s="208"/>
      <c r="C119" s="208" t="s">
        <v>286</v>
      </c>
      <c r="D119" s="100">
        <v>0</v>
      </c>
      <c r="E119" s="100">
        <v>0</v>
      </c>
      <c r="F119" s="100">
        <v>0</v>
      </c>
      <c r="G119" s="100">
        <v>0</v>
      </c>
    </row>
    <row r="120" spans="1:7" s="195" customFormat="1" ht="14">
      <c r="A120" s="282">
        <v>109</v>
      </c>
      <c r="B120" s="285"/>
      <c r="C120" s="285" t="s">
        <v>287</v>
      </c>
      <c r="D120" s="286">
        <v>0</v>
      </c>
      <c r="E120" s="286">
        <v>0</v>
      </c>
      <c r="F120" s="286">
        <v>0</v>
      </c>
      <c r="G120" s="286">
        <v>0</v>
      </c>
    </row>
    <row r="121" spans="1:7" s="91" customFormat="1">
      <c r="A121" s="187">
        <v>14</v>
      </c>
      <c r="B121" s="188"/>
      <c r="C121" s="188" t="s">
        <v>288</v>
      </c>
      <c r="D121" s="185">
        <f t="shared" ref="D121:G121" si="16">SUM(D122:D130)</f>
        <v>0</v>
      </c>
      <c r="E121" s="185">
        <f t="shared" si="16"/>
        <v>0</v>
      </c>
      <c r="F121" s="185">
        <f t="shared" si="16"/>
        <v>0</v>
      </c>
      <c r="G121" s="185">
        <f t="shared" si="16"/>
        <v>0</v>
      </c>
    </row>
    <row r="122" spans="1:7" s="91" customFormat="1">
      <c r="A122" s="189" t="s">
        <v>289</v>
      </c>
      <c r="B122" s="190"/>
      <c r="C122" s="190" t="s">
        <v>290</v>
      </c>
      <c r="D122" s="95">
        <v>0</v>
      </c>
      <c r="E122" s="95">
        <v>0</v>
      </c>
      <c r="F122" s="95">
        <v>0</v>
      </c>
      <c r="G122" s="95">
        <v>0</v>
      </c>
    </row>
    <row r="123" spans="1:7" s="91" customFormat="1">
      <c r="A123" s="189">
        <v>144</v>
      </c>
      <c r="B123" s="190"/>
      <c r="C123" s="190" t="s">
        <v>248</v>
      </c>
      <c r="D123" s="100">
        <v>0</v>
      </c>
      <c r="E123" s="100">
        <v>0</v>
      </c>
      <c r="F123" s="100">
        <v>0</v>
      </c>
      <c r="G123" s="100">
        <v>0</v>
      </c>
    </row>
    <row r="124" spans="1:7" s="91" customFormat="1">
      <c r="A124" s="189">
        <v>145</v>
      </c>
      <c r="B124" s="190"/>
      <c r="C124" s="190" t="s">
        <v>291</v>
      </c>
      <c r="D124" s="100">
        <v>0</v>
      </c>
      <c r="E124" s="100">
        <v>0</v>
      </c>
      <c r="F124" s="100">
        <v>0</v>
      </c>
      <c r="G124" s="100">
        <v>0</v>
      </c>
    </row>
    <row r="125" spans="1:7" s="91" customFormat="1">
      <c r="A125" s="189">
        <v>146</v>
      </c>
      <c r="B125" s="190"/>
      <c r="C125" s="190" t="s">
        <v>292</v>
      </c>
      <c r="D125" s="100">
        <v>0</v>
      </c>
      <c r="E125" s="100">
        <v>0</v>
      </c>
      <c r="F125" s="100">
        <v>0</v>
      </c>
      <c r="G125" s="100">
        <v>0</v>
      </c>
    </row>
    <row r="126" spans="1:7" s="195" customFormat="1" ht="29.5" customHeight="1">
      <c r="A126" s="191" t="s">
        <v>293</v>
      </c>
      <c r="B126" s="193"/>
      <c r="C126" s="193" t="s">
        <v>294</v>
      </c>
      <c r="D126" s="131">
        <v>0</v>
      </c>
      <c r="E126" s="131">
        <v>0</v>
      </c>
      <c r="F126" s="131">
        <v>0</v>
      </c>
      <c r="G126" s="131">
        <v>0</v>
      </c>
    </row>
    <row r="127" spans="1:7" s="91" customFormat="1">
      <c r="A127" s="189">
        <v>1484</v>
      </c>
      <c r="B127" s="190"/>
      <c r="C127" s="190" t="s">
        <v>295</v>
      </c>
      <c r="D127" s="95">
        <v>0</v>
      </c>
      <c r="E127" s="95">
        <v>0</v>
      </c>
      <c r="F127" s="95">
        <v>0</v>
      </c>
      <c r="G127" s="95">
        <v>0</v>
      </c>
    </row>
    <row r="128" spans="1:7" s="91" customFormat="1">
      <c r="A128" s="189">
        <v>1485</v>
      </c>
      <c r="B128" s="190"/>
      <c r="C128" s="190" t="s">
        <v>296</v>
      </c>
      <c r="D128" s="95">
        <v>0</v>
      </c>
      <c r="E128" s="95">
        <v>0</v>
      </c>
      <c r="F128" s="95">
        <v>0</v>
      </c>
      <c r="G128" s="95">
        <v>0</v>
      </c>
    </row>
    <row r="129" spans="1:7" s="91" customFormat="1">
      <c r="A129" s="189">
        <v>1486</v>
      </c>
      <c r="B129" s="190"/>
      <c r="C129" s="190" t="s">
        <v>297</v>
      </c>
      <c r="D129" s="95">
        <v>0</v>
      </c>
      <c r="E129" s="95">
        <v>0</v>
      </c>
      <c r="F129" s="95">
        <v>0</v>
      </c>
      <c r="G129" s="95">
        <v>0</v>
      </c>
    </row>
    <row r="130" spans="1:7" s="91" customFormat="1">
      <c r="A130" s="198">
        <v>1489</v>
      </c>
      <c r="B130" s="199"/>
      <c r="C130" s="199" t="s">
        <v>298</v>
      </c>
      <c r="D130" s="119">
        <v>0</v>
      </c>
      <c r="E130" s="119">
        <v>0</v>
      </c>
      <c r="F130" s="119">
        <v>0</v>
      </c>
      <c r="G130" s="119">
        <v>0</v>
      </c>
    </row>
    <row r="131" spans="1:7">
      <c r="A131" s="201">
        <v>1</v>
      </c>
      <c r="B131" s="202"/>
      <c r="C131" s="201" t="s">
        <v>299</v>
      </c>
      <c r="D131" s="203">
        <f t="shared" ref="D131:G131" si="17">D111+D121</f>
        <v>0</v>
      </c>
      <c r="E131" s="203">
        <f t="shared" si="17"/>
        <v>0</v>
      </c>
      <c r="F131" s="203">
        <f t="shared" si="17"/>
        <v>0</v>
      </c>
      <c r="G131" s="203">
        <f t="shared" si="17"/>
        <v>0</v>
      </c>
    </row>
    <row r="132" spans="1:7">
      <c r="C132" s="135"/>
    </row>
    <row r="133" spans="1:7" s="91" customFormat="1">
      <c r="A133" s="183">
        <v>20</v>
      </c>
      <c r="B133" s="184"/>
      <c r="C133" s="184" t="s">
        <v>300</v>
      </c>
      <c r="D133" s="204">
        <f>D134+D140</f>
        <v>0</v>
      </c>
      <c r="E133" s="204">
        <f t="shared" ref="E133:G133" si="18">E134+E140</f>
        <v>0</v>
      </c>
      <c r="F133" s="204">
        <f t="shared" si="18"/>
        <v>0</v>
      </c>
      <c r="G133" s="204">
        <f t="shared" si="18"/>
        <v>0</v>
      </c>
    </row>
    <row r="134" spans="1:7" s="91" customFormat="1">
      <c r="A134" s="205" t="s">
        <v>301</v>
      </c>
      <c r="B134" s="188"/>
      <c r="C134" s="188" t="s">
        <v>302</v>
      </c>
      <c r="D134" s="185">
        <f t="shared" ref="D134:G134" si="19">D135+D136+D138+D139</f>
        <v>0</v>
      </c>
      <c r="E134" s="186">
        <f t="shared" si="19"/>
        <v>0</v>
      </c>
      <c r="F134" s="186">
        <f t="shared" si="19"/>
        <v>0</v>
      </c>
      <c r="G134" s="186">
        <f t="shared" si="19"/>
        <v>0</v>
      </c>
    </row>
    <row r="135" spans="1:7" s="106" customFormat="1">
      <c r="A135" s="206">
        <v>200</v>
      </c>
      <c r="B135" s="190"/>
      <c r="C135" s="190" t="s">
        <v>303</v>
      </c>
      <c r="D135" s="100">
        <v>0</v>
      </c>
      <c r="E135" s="100">
        <v>0</v>
      </c>
      <c r="F135" s="100">
        <v>0</v>
      </c>
      <c r="G135" s="100">
        <v>0</v>
      </c>
    </row>
    <row r="136" spans="1:7" s="106" customFormat="1">
      <c r="A136" s="206">
        <v>201</v>
      </c>
      <c r="B136" s="190"/>
      <c r="C136" s="190" t="s">
        <v>304</v>
      </c>
      <c r="D136" s="100">
        <v>0</v>
      </c>
      <c r="E136" s="100">
        <v>0</v>
      </c>
      <c r="F136" s="100">
        <v>0</v>
      </c>
      <c r="G136" s="100">
        <v>0</v>
      </c>
    </row>
    <row r="137" spans="1:7" s="106" customFormat="1">
      <c r="A137" s="207" t="s">
        <v>305</v>
      </c>
      <c r="B137" s="208"/>
      <c r="C137" s="208" t="s">
        <v>306</v>
      </c>
      <c r="D137" s="100">
        <v>0</v>
      </c>
      <c r="E137" s="100">
        <v>0</v>
      </c>
      <c r="F137" s="100">
        <v>0</v>
      </c>
      <c r="G137" s="100">
        <v>0</v>
      </c>
    </row>
    <row r="138" spans="1:7" s="106" customFormat="1">
      <c r="A138" s="206">
        <v>204</v>
      </c>
      <c r="B138" s="190"/>
      <c r="C138" s="190" t="s">
        <v>307</v>
      </c>
      <c r="D138" s="100">
        <v>0</v>
      </c>
      <c r="E138" s="100">
        <v>0</v>
      </c>
      <c r="F138" s="100">
        <v>0</v>
      </c>
      <c r="G138" s="100">
        <v>0</v>
      </c>
    </row>
    <row r="139" spans="1:7" s="106" customFormat="1">
      <c r="A139" s="206">
        <v>205</v>
      </c>
      <c r="B139" s="190"/>
      <c r="C139" s="190" t="s">
        <v>308</v>
      </c>
      <c r="D139" s="100">
        <v>0</v>
      </c>
      <c r="E139" s="100">
        <v>0</v>
      </c>
      <c r="F139" s="100">
        <v>0</v>
      </c>
      <c r="G139" s="100">
        <v>0</v>
      </c>
    </row>
    <row r="140" spans="1:7" s="106" customFormat="1">
      <c r="A140" s="205" t="s">
        <v>309</v>
      </c>
      <c r="B140" s="188"/>
      <c r="C140" s="188" t="s">
        <v>310</v>
      </c>
      <c r="D140" s="186">
        <f t="shared" ref="D140:G140" si="20">D141+D143+D144</f>
        <v>0</v>
      </c>
      <c r="E140" s="186">
        <f t="shared" si="20"/>
        <v>0</v>
      </c>
      <c r="F140" s="186">
        <f t="shared" si="20"/>
        <v>0</v>
      </c>
      <c r="G140" s="186">
        <f t="shared" si="20"/>
        <v>0</v>
      </c>
    </row>
    <row r="141" spans="1:7" s="106" customFormat="1">
      <c r="A141" s="206">
        <v>206</v>
      </c>
      <c r="B141" s="190"/>
      <c r="C141" s="190" t="s">
        <v>311</v>
      </c>
      <c r="D141" s="100">
        <v>0</v>
      </c>
      <c r="E141" s="100">
        <v>0</v>
      </c>
      <c r="F141" s="100">
        <v>0</v>
      </c>
      <c r="G141" s="100">
        <v>0</v>
      </c>
    </row>
    <row r="142" spans="1:7" s="106" customFormat="1">
      <c r="A142" s="207" t="s">
        <v>312</v>
      </c>
      <c r="B142" s="208"/>
      <c r="C142" s="208" t="s">
        <v>313</v>
      </c>
      <c r="D142" s="100">
        <v>0</v>
      </c>
      <c r="E142" s="100">
        <v>0</v>
      </c>
      <c r="F142" s="100">
        <v>0</v>
      </c>
      <c r="G142" s="100">
        <v>0</v>
      </c>
    </row>
    <row r="143" spans="1:7" s="106" customFormat="1">
      <c r="A143" s="206">
        <v>208</v>
      </c>
      <c r="B143" s="190"/>
      <c r="C143" s="190" t="s">
        <v>314</v>
      </c>
      <c r="D143" s="100">
        <v>0</v>
      </c>
      <c r="E143" s="100">
        <v>0</v>
      </c>
      <c r="F143" s="100">
        <v>0</v>
      </c>
      <c r="G143" s="100">
        <v>0</v>
      </c>
    </row>
    <row r="144" spans="1:7" s="111" customFormat="1" ht="28">
      <c r="A144" s="191">
        <v>209</v>
      </c>
      <c r="B144" s="193"/>
      <c r="C144" s="193" t="s">
        <v>315</v>
      </c>
      <c r="D144" s="284">
        <v>0</v>
      </c>
      <c r="E144" s="284">
        <v>0</v>
      </c>
      <c r="F144" s="284">
        <v>0</v>
      </c>
      <c r="G144" s="284">
        <v>0</v>
      </c>
    </row>
    <row r="145" spans="1:7" s="91" customFormat="1">
      <c r="A145" s="205">
        <v>29</v>
      </c>
      <c r="B145" s="188"/>
      <c r="C145" s="188" t="s">
        <v>316</v>
      </c>
      <c r="D145" s="100">
        <v>0</v>
      </c>
      <c r="E145" s="100">
        <v>0</v>
      </c>
      <c r="F145" s="100">
        <v>0</v>
      </c>
      <c r="G145" s="100">
        <v>0</v>
      </c>
    </row>
    <row r="146" spans="1:7" s="91" customFormat="1">
      <c r="A146" s="211" t="s">
        <v>317</v>
      </c>
      <c r="B146" s="212"/>
      <c r="C146" s="212" t="s">
        <v>318</v>
      </c>
      <c r="D146" s="138">
        <v>0</v>
      </c>
      <c r="E146" s="138">
        <v>0</v>
      </c>
      <c r="F146" s="138">
        <v>0</v>
      </c>
      <c r="G146" s="138">
        <v>0</v>
      </c>
    </row>
    <row r="147" spans="1:7">
      <c r="A147" s="201">
        <v>2</v>
      </c>
      <c r="B147" s="202"/>
      <c r="C147" s="287" t="s">
        <v>319</v>
      </c>
      <c r="D147" s="203">
        <f t="shared" ref="D147:G147" si="21">D133+D145</f>
        <v>0</v>
      </c>
      <c r="E147" s="203">
        <f t="shared" si="21"/>
        <v>0</v>
      </c>
      <c r="F147" s="203">
        <f t="shared" si="21"/>
        <v>0</v>
      </c>
      <c r="G147" s="203">
        <f t="shared" si="21"/>
        <v>0</v>
      </c>
    </row>
    <row r="148" spans="1:7" ht="7.5" customHeight="1"/>
    <row r="149" spans="1:7" ht="13.5" customHeight="1">
      <c r="A149" s="213" t="s">
        <v>320</v>
      </c>
      <c r="B149" s="214"/>
      <c r="C149" s="288" t="s">
        <v>321</v>
      </c>
      <c r="D149" s="214"/>
      <c r="E149" s="214"/>
      <c r="F149" s="214"/>
      <c r="G149" s="214"/>
    </row>
    <row r="150" spans="1:7">
      <c r="A150" s="289" t="s">
        <v>322</v>
      </c>
      <c r="B150" s="290"/>
      <c r="C150" s="291" t="s">
        <v>82</v>
      </c>
      <c r="D150" s="218">
        <f t="shared" ref="D150:G150" si="22">D77+SUM(D8:D12)-D30-D31+D16-D33+D59+D63-D73+D64-D74-D54+D20-D35</f>
        <v>0</v>
      </c>
      <c r="E150" s="218">
        <f t="shared" si="22"/>
        <v>0</v>
      </c>
      <c r="F150" s="218">
        <f t="shared" si="22"/>
        <v>0</v>
      </c>
      <c r="G150" s="218">
        <f t="shared" si="22"/>
        <v>38946.400000000009</v>
      </c>
    </row>
    <row r="151" spans="1:7">
      <c r="A151" s="215" t="s">
        <v>323</v>
      </c>
      <c r="B151" s="214"/>
      <c r="C151" s="292" t="s">
        <v>324</v>
      </c>
      <c r="D151" s="221">
        <f t="shared" ref="D151:G151" si="23">IF(D177=0,0,D150/D177)</f>
        <v>0</v>
      </c>
      <c r="E151" s="221">
        <f t="shared" si="23"/>
        <v>0</v>
      </c>
      <c r="F151" s="221">
        <f t="shared" si="23"/>
        <v>0</v>
      </c>
      <c r="G151" s="221">
        <f t="shared" si="23"/>
        <v>3.2209880622208517E-2</v>
      </c>
    </row>
    <row r="152" spans="1:7" s="296" customFormat="1" ht="28">
      <c r="A152" s="229" t="s">
        <v>325</v>
      </c>
      <c r="B152" s="293"/>
      <c r="C152" s="294" t="s">
        <v>326</v>
      </c>
      <c r="D152" s="295">
        <f t="shared" ref="D152:G152" si="24">IF(D107=0,0,D150/D107)</f>
        <v>0</v>
      </c>
      <c r="E152" s="295">
        <f t="shared" si="24"/>
        <v>0</v>
      </c>
      <c r="F152" s="295">
        <f t="shared" si="24"/>
        <v>0</v>
      </c>
      <c r="G152" s="295">
        <f t="shared" si="24"/>
        <v>0.8518087572722105</v>
      </c>
    </row>
    <row r="153" spans="1:7" s="296" customFormat="1" ht="28">
      <c r="A153" s="222" t="s">
        <v>325</v>
      </c>
      <c r="B153" s="297"/>
      <c r="C153" s="298" t="s">
        <v>327</v>
      </c>
      <c r="D153" s="241">
        <f t="shared" ref="D153:G153" si="25">IF(0=D108,0,D150/D108)</f>
        <v>0</v>
      </c>
      <c r="E153" s="241">
        <f t="shared" si="25"/>
        <v>0</v>
      </c>
      <c r="F153" s="241">
        <f t="shared" si="25"/>
        <v>0</v>
      </c>
      <c r="G153" s="241">
        <f t="shared" si="25"/>
        <v>0.70976818778247575</v>
      </c>
    </row>
    <row r="154" spans="1:7" ht="28">
      <c r="A154" s="226" t="s">
        <v>328</v>
      </c>
      <c r="B154" s="299"/>
      <c r="C154" s="300" t="s">
        <v>329</v>
      </c>
      <c r="D154" s="234">
        <f t="shared" ref="D154:G154" si="26">D150-D107</f>
        <v>0</v>
      </c>
      <c r="E154" s="234">
        <f t="shared" si="26"/>
        <v>0</v>
      </c>
      <c r="F154" s="234">
        <f t="shared" si="26"/>
        <v>0</v>
      </c>
      <c r="G154" s="234">
        <f t="shared" si="26"/>
        <v>-6775.5999999999913</v>
      </c>
    </row>
    <row r="155" spans="1:7" ht="28">
      <c r="A155" s="222" t="s">
        <v>330</v>
      </c>
      <c r="B155" s="297"/>
      <c r="C155" s="298" t="s">
        <v>331</v>
      </c>
      <c r="D155" s="231">
        <f t="shared" ref="D155:G155" si="27">D150-D108</f>
        <v>0</v>
      </c>
      <c r="E155" s="231">
        <f t="shared" si="27"/>
        <v>0</v>
      </c>
      <c r="F155" s="231">
        <f t="shared" si="27"/>
        <v>0</v>
      </c>
      <c r="G155" s="231">
        <f t="shared" si="27"/>
        <v>-15925.599999999991</v>
      </c>
    </row>
    <row r="156" spans="1:7">
      <c r="A156" s="289" t="s">
        <v>332</v>
      </c>
      <c r="B156" s="290"/>
      <c r="C156" s="291" t="s">
        <v>333</v>
      </c>
      <c r="D156" s="235">
        <f t="shared" ref="D156:G156" si="28">D135+D136-D137+D141-D142</f>
        <v>0</v>
      </c>
      <c r="E156" s="235">
        <f t="shared" si="28"/>
        <v>0</v>
      </c>
      <c r="F156" s="235">
        <f t="shared" si="28"/>
        <v>0</v>
      </c>
      <c r="G156" s="235">
        <f t="shared" si="28"/>
        <v>0</v>
      </c>
    </row>
    <row r="157" spans="1:7">
      <c r="A157" s="301" t="s">
        <v>334</v>
      </c>
      <c r="B157" s="302"/>
      <c r="C157" s="303" t="s">
        <v>335</v>
      </c>
      <c r="D157" s="238">
        <f t="shared" ref="D157:G157" si="29">IF(D177=0,0,D156/D177)</f>
        <v>0</v>
      </c>
      <c r="E157" s="238">
        <f t="shared" si="29"/>
        <v>0</v>
      </c>
      <c r="F157" s="238">
        <f t="shared" si="29"/>
        <v>0</v>
      </c>
      <c r="G157" s="238">
        <f t="shared" si="29"/>
        <v>0</v>
      </c>
    </row>
    <row r="158" spans="1:7">
      <c r="A158" s="289" t="s">
        <v>336</v>
      </c>
      <c r="B158" s="290"/>
      <c r="C158" s="291" t="s">
        <v>337</v>
      </c>
      <c r="D158" s="235">
        <f t="shared" ref="D158:G158" si="30">D133-D142-D111</f>
        <v>0</v>
      </c>
      <c r="E158" s="235">
        <f t="shared" si="30"/>
        <v>0</v>
      </c>
      <c r="F158" s="235">
        <f t="shared" si="30"/>
        <v>0</v>
      </c>
      <c r="G158" s="235">
        <f t="shared" si="30"/>
        <v>0</v>
      </c>
    </row>
    <row r="159" spans="1:7">
      <c r="A159" s="215" t="s">
        <v>338</v>
      </c>
      <c r="B159" s="214"/>
      <c r="C159" s="292" t="s">
        <v>339</v>
      </c>
      <c r="D159" s="239">
        <f t="shared" ref="D159:G159" si="31">D121-D123-D124-D142-D145</f>
        <v>0</v>
      </c>
      <c r="E159" s="239">
        <f t="shared" si="31"/>
        <v>0</v>
      </c>
      <c r="F159" s="239">
        <f t="shared" si="31"/>
        <v>0</v>
      </c>
      <c r="G159" s="239">
        <f t="shared" si="31"/>
        <v>0</v>
      </c>
    </row>
    <row r="160" spans="1:7">
      <c r="A160" s="215" t="s">
        <v>340</v>
      </c>
      <c r="B160" s="214"/>
      <c r="C160" s="292" t="s">
        <v>341</v>
      </c>
      <c r="D160" s="240" t="str">
        <f t="shared" ref="D160:G160" si="32">IF(D175=0,"-",1000*D158/D175)</f>
        <v>-</v>
      </c>
      <c r="E160" s="240" t="str">
        <f t="shared" si="32"/>
        <v>-</v>
      </c>
      <c r="F160" s="240" t="str">
        <f t="shared" si="32"/>
        <v>-</v>
      </c>
      <c r="G160" s="240" t="str">
        <f t="shared" si="32"/>
        <v>-</v>
      </c>
    </row>
    <row r="161" spans="1:7">
      <c r="A161" s="215" t="s">
        <v>340</v>
      </c>
      <c r="B161" s="214"/>
      <c r="C161" s="292" t="s">
        <v>342</v>
      </c>
      <c r="D161" s="239">
        <f t="shared" ref="D161:G161" si="33">IF(D175=0,0,1000*(D159/D175))</f>
        <v>0</v>
      </c>
      <c r="E161" s="239">
        <f t="shared" si="33"/>
        <v>0</v>
      </c>
      <c r="F161" s="239">
        <f t="shared" si="33"/>
        <v>0</v>
      </c>
      <c r="G161" s="239">
        <f t="shared" si="33"/>
        <v>0</v>
      </c>
    </row>
    <row r="162" spans="1:7">
      <c r="A162" s="301" t="s">
        <v>343</v>
      </c>
      <c r="B162" s="302"/>
      <c r="C162" s="303" t="s">
        <v>344</v>
      </c>
      <c r="D162" s="238">
        <f t="shared" ref="D162:G162" si="34">IF((D22+D23+D65+D66)=0,0,D158/(D22+D23+D65+D66))</f>
        <v>0</v>
      </c>
      <c r="E162" s="238">
        <f t="shared" si="34"/>
        <v>0</v>
      </c>
      <c r="F162" s="238">
        <f t="shared" si="34"/>
        <v>0</v>
      </c>
      <c r="G162" s="238">
        <f t="shared" si="34"/>
        <v>0</v>
      </c>
    </row>
    <row r="163" spans="1:7">
      <c r="A163" s="215" t="s">
        <v>345</v>
      </c>
      <c r="B163" s="214"/>
      <c r="C163" s="292" t="s">
        <v>386</v>
      </c>
      <c r="D163" s="218">
        <f t="shared" ref="D163:G163" si="35">D145</f>
        <v>0</v>
      </c>
      <c r="E163" s="218">
        <f t="shared" si="35"/>
        <v>0</v>
      </c>
      <c r="F163" s="218">
        <f t="shared" si="35"/>
        <v>0</v>
      </c>
      <c r="G163" s="218">
        <f t="shared" si="35"/>
        <v>0</v>
      </c>
    </row>
    <row r="164" spans="1:7" ht="28">
      <c r="A164" s="222" t="s">
        <v>346</v>
      </c>
      <c r="B164" s="304"/>
      <c r="C164" s="305" t="s">
        <v>347</v>
      </c>
      <c r="D164" s="241">
        <f t="shared" ref="D164:G164" si="36">IF(D178=0,0,D146/D178)</f>
        <v>0</v>
      </c>
      <c r="E164" s="241">
        <f t="shared" si="36"/>
        <v>0</v>
      </c>
      <c r="F164" s="241">
        <f t="shared" si="36"/>
        <v>0</v>
      </c>
      <c r="G164" s="241">
        <f t="shared" si="36"/>
        <v>0</v>
      </c>
    </row>
    <row r="165" spans="1:7">
      <c r="A165" s="306" t="s">
        <v>348</v>
      </c>
      <c r="B165" s="307"/>
      <c r="C165" s="308" t="s">
        <v>349</v>
      </c>
      <c r="D165" s="244">
        <f t="shared" ref="D165:G165" si="37">IF(D177=0,0,D180/D177)</f>
        <v>0</v>
      </c>
      <c r="E165" s="244">
        <f t="shared" si="37"/>
        <v>0</v>
      </c>
      <c r="F165" s="244">
        <f t="shared" si="37"/>
        <v>0</v>
      </c>
      <c r="G165" s="244">
        <f t="shared" si="37"/>
        <v>8.3982352812256938E-2</v>
      </c>
    </row>
    <row r="166" spans="1:7">
      <c r="A166" s="215" t="s">
        <v>350</v>
      </c>
      <c r="B166" s="214"/>
      <c r="C166" s="292" t="s">
        <v>218</v>
      </c>
      <c r="D166" s="218">
        <f t="shared" ref="D166:G166" si="38">D55</f>
        <v>0</v>
      </c>
      <c r="E166" s="218">
        <f t="shared" si="38"/>
        <v>0</v>
      </c>
      <c r="F166" s="218">
        <f t="shared" si="38"/>
        <v>0</v>
      </c>
      <c r="G166" s="218">
        <f t="shared" si="38"/>
        <v>39096.300000000003</v>
      </c>
    </row>
    <row r="167" spans="1:7">
      <c r="A167" s="301" t="s">
        <v>351</v>
      </c>
      <c r="B167" s="302"/>
      <c r="C167" s="303" t="s">
        <v>352</v>
      </c>
      <c r="D167" s="238">
        <f t="shared" ref="D167:G167" si="39">IF(0=D111,0,(D44+D45+D46+D47+D48)/D111)</f>
        <v>0</v>
      </c>
      <c r="E167" s="238">
        <f t="shared" si="39"/>
        <v>0</v>
      </c>
      <c r="F167" s="238">
        <f t="shared" si="39"/>
        <v>0</v>
      </c>
      <c r="G167" s="238">
        <f t="shared" si="39"/>
        <v>0</v>
      </c>
    </row>
    <row r="168" spans="1:7">
      <c r="A168" s="215" t="s">
        <v>353</v>
      </c>
      <c r="B168" s="290"/>
      <c r="C168" s="291" t="s">
        <v>354</v>
      </c>
      <c r="D168" s="218">
        <f t="shared" ref="D168:G168" si="40">D38-D44</f>
        <v>0</v>
      </c>
      <c r="E168" s="218">
        <f t="shared" si="40"/>
        <v>0</v>
      </c>
      <c r="F168" s="218">
        <f t="shared" si="40"/>
        <v>0</v>
      </c>
      <c r="G168" s="218">
        <f t="shared" si="40"/>
        <v>1759.8000000000002</v>
      </c>
    </row>
    <row r="169" spans="1:7">
      <c r="A169" s="301" t="s">
        <v>355</v>
      </c>
      <c r="B169" s="302"/>
      <c r="C169" s="303" t="s">
        <v>356</v>
      </c>
      <c r="D169" s="221">
        <f t="shared" ref="D169:G169" si="41">IF(D177=0,0,D168/D177)</f>
        <v>0</v>
      </c>
      <c r="E169" s="221">
        <f t="shared" si="41"/>
        <v>0</v>
      </c>
      <c r="F169" s="221">
        <f t="shared" si="41"/>
        <v>0</v>
      </c>
      <c r="G169" s="221">
        <f t="shared" si="41"/>
        <v>1.4554091756609736E-3</v>
      </c>
    </row>
    <row r="170" spans="1:7">
      <c r="A170" s="215" t="s">
        <v>357</v>
      </c>
      <c r="B170" s="214"/>
      <c r="C170" s="292" t="s">
        <v>358</v>
      </c>
      <c r="D170" s="218">
        <f t="shared" ref="D170:G170" si="42">SUM(D82:D87)+SUM(D89:D94)</f>
        <v>0</v>
      </c>
      <c r="E170" s="218">
        <f t="shared" si="42"/>
        <v>0</v>
      </c>
      <c r="F170" s="218">
        <f t="shared" si="42"/>
        <v>0</v>
      </c>
      <c r="G170" s="218">
        <f t="shared" si="42"/>
        <v>77300</v>
      </c>
    </row>
    <row r="171" spans="1:7">
      <c r="A171" s="215" t="s">
        <v>359</v>
      </c>
      <c r="B171" s="214"/>
      <c r="C171" s="292" t="s">
        <v>360</v>
      </c>
      <c r="D171" s="239">
        <f t="shared" ref="D171:G171" si="43">SUM(D96:D102)+SUM(D104:D105)</f>
        <v>0</v>
      </c>
      <c r="E171" s="239">
        <f t="shared" si="43"/>
        <v>0</v>
      </c>
      <c r="F171" s="239">
        <f t="shared" si="43"/>
        <v>0</v>
      </c>
      <c r="G171" s="239">
        <f t="shared" si="43"/>
        <v>31578</v>
      </c>
    </row>
    <row r="172" spans="1:7">
      <c r="A172" s="306" t="s">
        <v>361</v>
      </c>
      <c r="B172" s="307"/>
      <c r="C172" s="308" t="s">
        <v>362</v>
      </c>
      <c r="D172" s="244">
        <f t="shared" ref="D172:G172" si="44">IF(D184=0,0,D170/D184)</f>
        <v>0</v>
      </c>
      <c r="E172" s="244">
        <f t="shared" si="44"/>
        <v>0</v>
      </c>
      <c r="F172" s="244">
        <f t="shared" si="44"/>
        <v>0</v>
      </c>
      <c r="G172" s="244">
        <f t="shared" si="44"/>
        <v>6.2910070095490642E-2</v>
      </c>
    </row>
    <row r="173" spans="1:7">
      <c r="C173" s="309"/>
    </row>
    <row r="174" spans="1:7">
      <c r="A174" s="310" t="s">
        <v>363</v>
      </c>
      <c r="B174" s="248"/>
      <c r="C174" s="311"/>
      <c r="D174" s="161"/>
      <c r="E174" s="161"/>
      <c r="F174" s="161"/>
      <c r="G174" s="161"/>
    </row>
    <row r="175" spans="1:7" s="91" customFormat="1">
      <c r="A175" s="312" t="s">
        <v>364</v>
      </c>
      <c r="B175" s="248"/>
      <c r="C175" s="313" t="s">
        <v>387</v>
      </c>
      <c r="D175" s="314"/>
      <c r="E175" s="314"/>
      <c r="F175" s="314"/>
      <c r="G175" s="314"/>
    </row>
    <row r="176" spans="1:7">
      <c r="A176" s="310" t="s">
        <v>366</v>
      </c>
      <c r="B176" s="248"/>
      <c r="C176" s="313"/>
      <c r="D176" s="248"/>
      <c r="E176" s="248"/>
      <c r="F176" s="248"/>
      <c r="G176" s="248"/>
    </row>
    <row r="177" spans="1:7">
      <c r="A177" s="312" t="s">
        <v>367</v>
      </c>
      <c r="B177" s="248"/>
      <c r="C177" s="313" t="s">
        <v>368</v>
      </c>
      <c r="D177" s="249">
        <f t="shared" ref="D177:G177" si="45">SUM(D22:D32)+SUM(D44:D53)+SUM(D65:D72)+D75</f>
        <v>0</v>
      </c>
      <c r="E177" s="249">
        <f t="shared" si="45"/>
        <v>0</v>
      </c>
      <c r="F177" s="249">
        <f t="shared" si="45"/>
        <v>0</v>
      </c>
      <c r="G177" s="249">
        <f t="shared" si="45"/>
        <v>1209144.5</v>
      </c>
    </row>
    <row r="178" spans="1:7">
      <c r="A178" s="312" t="s">
        <v>369</v>
      </c>
      <c r="B178" s="248"/>
      <c r="C178" s="313" t="s">
        <v>370</v>
      </c>
      <c r="D178" s="249">
        <f t="shared" ref="D178:G178" si="46">D78-D17-D20-D59-D63-D64</f>
        <v>0</v>
      </c>
      <c r="E178" s="249">
        <f t="shared" si="46"/>
        <v>0</v>
      </c>
      <c r="F178" s="249">
        <f t="shared" si="46"/>
        <v>0</v>
      </c>
      <c r="G178" s="249">
        <f t="shared" si="46"/>
        <v>1264381.7</v>
      </c>
    </row>
    <row r="179" spans="1:7">
      <c r="A179" s="312"/>
      <c r="B179" s="248"/>
      <c r="C179" s="313" t="s">
        <v>371</v>
      </c>
      <c r="D179" s="249">
        <f t="shared" ref="D179:G179" si="47">D178+D170</f>
        <v>0</v>
      </c>
      <c r="E179" s="249">
        <f t="shared" si="47"/>
        <v>0</v>
      </c>
      <c r="F179" s="249">
        <f t="shared" si="47"/>
        <v>0</v>
      </c>
      <c r="G179" s="249">
        <f t="shared" si="47"/>
        <v>1341681.7</v>
      </c>
    </row>
    <row r="180" spans="1:7">
      <c r="A180" s="312" t="s">
        <v>372</v>
      </c>
      <c r="B180" s="248"/>
      <c r="C180" s="313" t="s">
        <v>373</v>
      </c>
      <c r="D180" s="249">
        <f t="shared" ref="D180:G180" si="48">D38-D44+D8+D9+D10+D16-D33</f>
        <v>0</v>
      </c>
      <c r="E180" s="249">
        <f t="shared" si="48"/>
        <v>0</v>
      </c>
      <c r="F180" s="249">
        <f t="shared" si="48"/>
        <v>0</v>
      </c>
      <c r="G180" s="249">
        <f t="shared" si="48"/>
        <v>101546.8</v>
      </c>
    </row>
    <row r="181" spans="1:7" ht="27.5" customHeight="1">
      <c r="A181" s="315" t="s">
        <v>374</v>
      </c>
      <c r="B181" s="251"/>
      <c r="C181" s="316" t="s">
        <v>375</v>
      </c>
      <c r="D181" s="252">
        <f t="shared" ref="D181:G181" si="49">D22+D23+D24+D25+D26+D29+SUM(D44:D47)+SUM(D49:D53)-D54+D32-D33+SUM(D65:D70)+D72</f>
        <v>0</v>
      </c>
      <c r="E181" s="252">
        <f t="shared" si="49"/>
        <v>0</v>
      </c>
      <c r="F181" s="252">
        <f t="shared" si="49"/>
        <v>0</v>
      </c>
      <c r="G181" s="252">
        <f t="shared" si="49"/>
        <v>1190640.5</v>
      </c>
    </row>
    <row r="182" spans="1:7">
      <c r="A182" s="317" t="s">
        <v>376</v>
      </c>
      <c r="B182" s="251"/>
      <c r="C182" s="316" t="s">
        <v>377</v>
      </c>
      <c r="D182" s="252">
        <f t="shared" ref="D182:G182" si="50">D181+D171</f>
        <v>0</v>
      </c>
      <c r="E182" s="252">
        <f t="shared" si="50"/>
        <v>0</v>
      </c>
      <c r="F182" s="252">
        <f t="shared" si="50"/>
        <v>0</v>
      </c>
      <c r="G182" s="252">
        <f t="shared" si="50"/>
        <v>1222218.5</v>
      </c>
    </row>
    <row r="183" spans="1:7">
      <c r="A183" s="317" t="s">
        <v>378</v>
      </c>
      <c r="B183" s="251"/>
      <c r="C183" s="316" t="s">
        <v>379</v>
      </c>
      <c r="D183" s="252">
        <f t="shared" ref="D183" si="51">D4+D5-D7+D38+D39+D40+D41+D43+D13-D16+D57+D58+D60+D62</f>
        <v>0</v>
      </c>
      <c r="E183" s="252">
        <f>E4+E5-E7+E38+E39+E40+E41+E43+E13-E16+E57+E58+E60+E62</f>
        <v>0</v>
      </c>
      <c r="F183" s="252">
        <f>F4+F5-F7+F38+F39+F40+F41+F43+F13-F16+F57+F58+F60+F62</f>
        <v>0</v>
      </c>
      <c r="G183" s="252">
        <f>G4+G5-G7+G38+G39+G40+G41+G43+G13-G16+G57+G58+G60+G62</f>
        <v>1151438.1000000001</v>
      </c>
    </row>
    <row r="184" spans="1:7">
      <c r="A184" s="317" t="s">
        <v>380</v>
      </c>
      <c r="B184" s="251"/>
      <c r="C184" s="316" t="s">
        <v>381</v>
      </c>
      <c r="D184" s="252">
        <f t="shared" ref="D184:G184" si="52">D183+D170</f>
        <v>0</v>
      </c>
      <c r="E184" s="252">
        <f t="shared" si="52"/>
        <v>0</v>
      </c>
      <c r="F184" s="252">
        <f t="shared" si="52"/>
        <v>0</v>
      </c>
      <c r="G184" s="252">
        <f t="shared" si="52"/>
        <v>1228738.1000000001</v>
      </c>
    </row>
    <row r="185" spans="1:7">
      <c r="A185" s="317"/>
      <c r="B185" s="251"/>
      <c r="C185" s="316" t="s">
        <v>382</v>
      </c>
      <c r="D185" s="252">
        <f t="shared" ref="D185:G186" si="53">D181-D183</f>
        <v>0</v>
      </c>
      <c r="E185" s="252">
        <f t="shared" si="53"/>
        <v>0</v>
      </c>
      <c r="F185" s="252">
        <f t="shared" si="53"/>
        <v>0</v>
      </c>
      <c r="G185" s="252">
        <f t="shared" si="53"/>
        <v>39202.399999999907</v>
      </c>
    </row>
    <row r="186" spans="1:7">
      <c r="A186" s="317"/>
      <c r="B186" s="251"/>
      <c r="C186" s="316" t="s">
        <v>383</v>
      </c>
      <c r="D186" s="252">
        <f t="shared" si="53"/>
        <v>0</v>
      </c>
      <c r="E186" s="252">
        <f t="shared" si="53"/>
        <v>0</v>
      </c>
      <c r="F186" s="252">
        <f t="shared" si="53"/>
        <v>0</v>
      </c>
      <c r="G186" s="252">
        <f t="shared" si="53"/>
        <v>-6519.6000000000931</v>
      </c>
    </row>
  </sheetData>
  <sheetProtection selectLockedCells="1" sort="0" autoFilter="0" pivotTables="0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0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17" man="1"/>
    <brk id="148" max="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J186"/>
  <sheetViews>
    <sheetView tabSelected="1" zoomScale="115" zoomScaleNormal="115" workbookViewId="0">
      <pane xSplit="3" ySplit="2" topLeftCell="D3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11.5" defaultRowHeight="13"/>
  <cols>
    <col min="1" max="1" width="15.1640625" style="84" customWidth="1"/>
    <col min="2" max="2" width="3.6640625" style="84" customWidth="1"/>
    <col min="3" max="3" width="44.6640625" style="84" customWidth="1"/>
    <col min="4" max="5" width="11.5" style="84"/>
    <col min="6" max="7" width="11.5" style="84" customWidth="1"/>
    <col min="8" max="16384" width="11.5" style="84"/>
  </cols>
  <sheetData>
    <row r="1" spans="1:36" s="77" customFormat="1" ht="18" customHeight="1">
      <c r="A1" s="72" t="s">
        <v>156</v>
      </c>
      <c r="B1" s="73" t="s">
        <v>620</v>
      </c>
      <c r="C1" s="73" t="s">
        <v>90</v>
      </c>
      <c r="D1" s="74" t="s">
        <v>7</v>
      </c>
      <c r="E1" s="75" t="s">
        <v>9</v>
      </c>
      <c r="F1" s="74" t="s">
        <v>7</v>
      </c>
      <c r="G1" s="75" t="s">
        <v>9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</row>
    <row r="2" spans="1:36" s="83" customFormat="1" ht="15" customHeight="1">
      <c r="A2" s="78"/>
      <c r="B2" s="79"/>
      <c r="C2" s="80" t="s">
        <v>158</v>
      </c>
      <c r="D2" s="81">
        <v>2014</v>
      </c>
      <c r="E2" s="82">
        <v>2015</v>
      </c>
      <c r="F2" s="81">
        <v>2015</v>
      </c>
      <c r="G2" s="82">
        <v>2016</v>
      </c>
    </row>
    <row r="3" spans="1:36" ht="15" customHeight="1">
      <c r="A3" s="678" t="s">
        <v>159</v>
      </c>
      <c r="B3" s="679"/>
      <c r="C3" s="679"/>
      <c r="D3" s="91"/>
      <c r="E3" s="394" t="s">
        <v>621</v>
      </c>
      <c r="F3" s="85"/>
      <c r="G3" s="85"/>
    </row>
    <row r="4" spans="1:36" s="91" customFormat="1" ht="12.75" customHeight="1">
      <c r="A4" s="86">
        <v>30</v>
      </c>
      <c r="B4" s="87"/>
      <c r="C4" s="88" t="s">
        <v>14</v>
      </c>
      <c r="D4" s="89">
        <v>55500</v>
      </c>
      <c r="E4" s="90">
        <v>55866</v>
      </c>
      <c r="F4" s="453">
        <v>55636</v>
      </c>
      <c r="G4" s="453">
        <v>55971</v>
      </c>
    </row>
    <row r="5" spans="1:36" s="91" customFormat="1" ht="12.75" customHeight="1">
      <c r="A5" s="92">
        <v>31</v>
      </c>
      <c r="B5" s="93"/>
      <c r="C5" s="94" t="s">
        <v>160</v>
      </c>
      <c r="D5" s="95">
        <v>28430</v>
      </c>
      <c r="E5" s="96">
        <v>29009</v>
      </c>
      <c r="F5" s="454">
        <v>31838</v>
      </c>
      <c r="G5" s="454">
        <v>28030</v>
      </c>
    </row>
    <row r="6" spans="1:36" s="91" customFormat="1" ht="12.75" customHeight="1">
      <c r="A6" s="97" t="s">
        <v>17</v>
      </c>
      <c r="B6" s="98"/>
      <c r="C6" s="99" t="s">
        <v>161</v>
      </c>
      <c r="D6" s="100">
        <v>3465</v>
      </c>
      <c r="E6" s="96">
        <v>3289</v>
      </c>
      <c r="F6" s="454">
        <v>3754</v>
      </c>
      <c r="G6" s="454">
        <v>3332</v>
      </c>
    </row>
    <row r="7" spans="1:36" s="91" customFormat="1" ht="12.75" customHeight="1">
      <c r="A7" s="97" t="s">
        <v>162</v>
      </c>
      <c r="B7" s="98"/>
      <c r="C7" s="99" t="s">
        <v>163</v>
      </c>
      <c r="D7" s="100">
        <v>896</v>
      </c>
      <c r="E7" s="96">
        <v>499</v>
      </c>
      <c r="F7" s="454">
        <v>1718</v>
      </c>
      <c r="G7" s="454">
        <v>480</v>
      </c>
    </row>
    <row r="8" spans="1:36" s="91" customFormat="1" ht="12.75" customHeight="1">
      <c r="A8" s="101">
        <v>330</v>
      </c>
      <c r="B8" s="93"/>
      <c r="C8" s="94" t="s">
        <v>164</v>
      </c>
      <c r="D8" s="95">
        <v>7555</v>
      </c>
      <c r="E8" s="96">
        <v>8533</v>
      </c>
      <c r="F8" s="454">
        <v>9257</v>
      </c>
      <c r="G8" s="454">
        <v>8266</v>
      </c>
    </row>
    <row r="9" spans="1:36" s="91" customFormat="1" ht="12.75" customHeight="1">
      <c r="A9" s="101">
        <v>332</v>
      </c>
      <c r="B9" s="93"/>
      <c r="C9" s="94" t="s">
        <v>165</v>
      </c>
      <c r="D9" s="95">
        <v>953</v>
      </c>
      <c r="E9" s="96">
        <v>677</v>
      </c>
      <c r="F9" s="454">
        <v>741</v>
      </c>
      <c r="G9" s="454">
        <v>945</v>
      </c>
    </row>
    <row r="10" spans="1:36" s="91" customFormat="1" ht="12.75" customHeight="1">
      <c r="A10" s="101">
        <v>339</v>
      </c>
      <c r="B10" s="93"/>
      <c r="C10" s="94" t="s">
        <v>166</v>
      </c>
      <c r="D10" s="95">
        <v>0</v>
      </c>
      <c r="E10" s="96">
        <v>0</v>
      </c>
      <c r="F10" s="454">
        <v>0</v>
      </c>
      <c r="G10" s="454">
        <v>0</v>
      </c>
    </row>
    <row r="11" spans="1:36" s="91" customFormat="1" ht="12.75" customHeight="1">
      <c r="A11" s="92">
        <v>350</v>
      </c>
      <c r="B11" s="93"/>
      <c r="C11" s="94" t="s">
        <v>167</v>
      </c>
      <c r="D11" s="95">
        <v>414</v>
      </c>
      <c r="E11" s="96">
        <v>0</v>
      </c>
      <c r="F11" s="454">
        <v>2481</v>
      </c>
      <c r="G11" s="454">
        <v>332</v>
      </c>
    </row>
    <row r="12" spans="1:36" s="106" customFormat="1" ht="14">
      <c r="A12" s="102">
        <v>351</v>
      </c>
      <c r="B12" s="103"/>
      <c r="C12" s="104" t="s">
        <v>168</v>
      </c>
      <c r="D12" s="105">
        <v>0</v>
      </c>
      <c r="E12" s="96">
        <v>1785</v>
      </c>
      <c r="F12" s="454">
        <v>0</v>
      </c>
      <c r="G12" s="454">
        <v>1793</v>
      </c>
    </row>
    <row r="13" spans="1:36" s="91" customFormat="1" ht="12.75" customHeight="1">
      <c r="A13" s="92">
        <v>36</v>
      </c>
      <c r="B13" s="93"/>
      <c r="C13" s="94" t="s">
        <v>169</v>
      </c>
      <c r="D13" s="130">
        <v>143468</v>
      </c>
      <c r="E13" s="96">
        <v>148985</v>
      </c>
      <c r="F13" s="454">
        <v>146532</v>
      </c>
      <c r="G13" s="454">
        <v>150117</v>
      </c>
    </row>
    <row r="14" spans="1:36" s="91" customFormat="1" ht="12.75" customHeight="1">
      <c r="A14" s="107" t="s">
        <v>170</v>
      </c>
      <c r="B14" s="93"/>
      <c r="C14" s="108" t="s">
        <v>171</v>
      </c>
      <c r="D14" s="130">
        <v>0</v>
      </c>
      <c r="E14" s="96">
        <v>0</v>
      </c>
      <c r="F14" s="454">
        <v>39110</v>
      </c>
      <c r="G14" s="454">
        <v>40119</v>
      </c>
    </row>
    <row r="15" spans="1:36" s="91" customFormat="1" ht="12.75" customHeight="1">
      <c r="A15" s="107" t="s">
        <v>172</v>
      </c>
      <c r="B15" s="93"/>
      <c r="C15" s="108" t="s">
        <v>173</v>
      </c>
      <c r="D15" s="130">
        <v>0</v>
      </c>
      <c r="E15" s="96">
        <v>0</v>
      </c>
      <c r="F15" s="454">
        <v>20326</v>
      </c>
      <c r="G15" s="454">
        <v>21342</v>
      </c>
    </row>
    <row r="16" spans="1:36" s="111" customFormat="1" ht="26.25" customHeight="1">
      <c r="A16" s="107" t="s">
        <v>174</v>
      </c>
      <c r="B16" s="109"/>
      <c r="C16" s="108" t="s">
        <v>175</v>
      </c>
      <c r="D16" s="395">
        <v>7818</v>
      </c>
      <c r="E16" s="395">
        <v>8486</v>
      </c>
      <c r="F16" s="454">
        <v>8428</v>
      </c>
      <c r="G16" s="454">
        <v>7493</v>
      </c>
    </row>
    <row r="17" spans="1:7" s="113" customFormat="1">
      <c r="A17" s="92">
        <v>37</v>
      </c>
      <c r="B17" s="93"/>
      <c r="C17" s="94" t="s">
        <v>176</v>
      </c>
      <c r="D17" s="130">
        <v>39289</v>
      </c>
      <c r="E17" s="96">
        <v>40293</v>
      </c>
      <c r="F17" s="454">
        <v>39890</v>
      </c>
      <c r="G17" s="454">
        <v>40967</v>
      </c>
    </row>
    <row r="18" spans="1:7" s="113" customFormat="1">
      <c r="A18" s="114" t="s">
        <v>177</v>
      </c>
      <c r="B18" s="98"/>
      <c r="C18" s="99" t="s">
        <v>178</v>
      </c>
      <c r="D18" s="130">
        <v>0</v>
      </c>
      <c r="E18" s="96">
        <v>0</v>
      </c>
      <c r="F18" s="454">
        <v>745</v>
      </c>
      <c r="G18" s="454">
        <v>790</v>
      </c>
    </row>
    <row r="19" spans="1:7" s="113" customFormat="1">
      <c r="A19" s="114" t="s">
        <v>179</v>
      </c>
      <c r="B19" s="98"/>
      <c r="C19" s="99" t="s">
        <v>180</v>
      </c>
      <c r="D19" s="130">
        <v>0</v>
      </c>
      <c r="E19" s="96">
        <v>0</v>
      </c>
      <c r="F19" s="454">
        <v>1369</v>
      </c>
      <c r="G19" s="454">
        <v>1141</v>
      </c>
    </row>
    <row r="20" spans="1:7" s="91" customFormat="1" ht="12.75" customHeight="1">
      <c r="A20" s="116">
        <v>39</v>
      </c>
      <c r="B20" s="117"/>
      <c r="C20" s="118" t="s">
        <v>181</v>
      </c>
      <c r="D20" s="177">
        <v>22507</v>
      </c>
      <c r="E20" s="120">
        <v>22283</v>
      </c>
      <c r="F20" s="455">
        <v>22168</v>
      </c>
      <c r="G20" s="455">
        <v>22396</v>
      </c>
    </row>
    <row r="21" spans="1:7" ht="12.75" customHeight="1">
      <c r="A21" s="121"/>
      <c r="B21" s="121"/>
      <c r="C21" s="122" t="s">
        <v>182</v>
      </c>
      <c r="D21" s="123">
        <f t="shared" ref="D21:G21" si="0">D4+D5+SUM(D8:D13)+D17</f>
        <v>275609</v>
      </c>
      <c r="E21" s="123">
        <f t="shared" si="0"/>
        <v>285148</v>
      </c>
      <c r="F21" s="123">
        <f t="shared" si="0"/>
        <v>286375</v>
      </c>
      <c r="G21" s="123">
        <f t="shared" si="0"/>
        <v>286421</v>
      </c>
    </row>
    <row r="22" spans="1:7" s="91" customFormat="1" ht="12.75" customHeight="1">
      <c r="A22" s="101" t="s">
        <v>183</v>
      </c>
      <c r="B22" s="93"/>
      <c r="C22" s="94" t="s">
        <v>184</v>
      </c>
      <c r="D22" s="95">
        <v>71257</v>
      </c>
      <c r="E22" s="124">
        <f>67775+9650</f>
        <v>77425</v>
      </c>
      <c r="F22" s="456">
        <v>82236</v>
      </c>
      <c r="G22" s="456">
        <v>81230</v>
      </c>
    </row>
    <row r="23" spans="1:7" s="91" customFormat="1" ht="12.75" customHeight="1">
      <c r="A23" s="101" t="s">
        <v>185</v>
      </c>
      <c r="B23" s="93"/>
      <c r="C23" s="94" t="s">
        <v>186</v>
      </c>
      <c r="D23" s="95">
        <v>16674</v>
      </c>
      <c r="E23" s="124">
        <v>16880</v>
      </c>
      <c r="F23" s="456">
        <v>16324</v>
      </c>
      <c r="G23" s="456">
        <v>16783</v>
      </c>
    </row>
    <row r="24" spans="1:7" s="125" customFormat="1" ht="12.75" customHeight="1">
      <c r="A24" s="92">
        <v>41</v>
      </c>
      <c r="B24" s="93"/>
      <c r="C24" s="94" t="s">
        <v>187</v>
      </c>
      <c r="D24" s="95">
        <v>4431</v>
      </c>
      <c r="E24" s="124">
        <v>4622</v>
      </c>
      <c r="F24" s="456">
        <v>10778</v>
      </c>
      <c r="G24" s="456">
        <v>4802</v>
      </c>
    </row>
    <row r="25" spans="1:7" s="91" customFormat="1" ht="12.75" customHeight="1">
      <c r="A25" s="126">
        <v>42</v>
      </c>
      <c r="B25" s="127"/>
      <c r="C25" s="94" t="s">
        <v>188</v>
      </c>
      <c r="D25" s="95">
        <v>18083</v>
      </c>
      <c r="E25" s="124">
        <v>18428</v>
      </c>
      <c r="F25" s="456">
        <v>18356</v>
      </c>
      <c r="G25" s="456">
        <v>18270</v>
      </c>
    </row>
    <row r="26" spans="1:7" s="129" customFormat="1" ht="12.75" customHeight="1">
      <c r="A26" s="102">
        <v>430</v>
      </c>
      <c r="B26" s="93"/>
      <c r="C26" s="94" t="s">
        <v>189</v>
      </c>
      <c r="D26" s="112">
        <v>1055</v>
      </c>
      <c r="E26" s="128">
        <v>1418</v>
      </c>
      <c r="F26" s="457">
        <v>1408</v>
      </c>
      <c r="G26" s="457">
        <v>1453</v>
      </c>
    </row>
    <row r="27" spans="1:7" s="129" customFormat="1" ht="12.75" customHeight="1">
      <c r="A27" s="102">
        <v>431</v>
      </c>
      <c r="B27" s="93"/>
      <c r="C27" s="94" t="s">
        <v>190</v>
      </c>
      <c r="D27" s="112">
        <v>870</v>
      </c>
      <c r="E27" s="128">
        <v>737</v>
      </c>
      <c r="F27" s="457">
        <v>716</v>
      </c>
      <c r="G27" s="457">
        <v>762</v>
      </c>
    </row>
    <row r="28" spans="1:7" s="129" customFormat="1" ht="12.75" customHeight="1">
      <c r="A28" s="102">
        <v>432</v>
      </c>
      <c r="B28" s="93"/>
      <c r="C28" s="94" t="s">
        <v>191</v>
      </c>
      <c r="D28" s="112">
        <v>0</v>
      </c>
      <c r="E28" s="128">
        <v>0</v>
      </c>
      <c r="F28" s="457">
        <v>0</v>
      </c>
      <c r="G28" s="457">
        <v>0</v>
      </c>
    </row>
    <row r="29" spans="1:7" s="129" customFormat="1" ht="12.75" customHeight="1">
      <c r="A29" s="102">
        <v>439</v>
      </c>
      <c r="B29" s="93"/>
      <c r="C29" s="94" t="s">
        <v>192</v>
      </c>
      <c r="D29" s="112">
        <v>1651</v>
      </c>
      <c r="E29" s="128">
        <v>1182</v>
      </c>
      <c r="F29" s="457">
        <v>1371</v>
      </c>
      <c r="G29" s="457">
        <v>1007</v>
      </c>
    </row>
    <row r="30" spans="1:7" s="91" customFormat="1" ht="14">
      <c r="A30" s="102">
        <v>450</v>
      </c>
      <c r="B30" s="103"/>
      <c r="C30" s="104" t="s">
        <v>193</v>
      </c>
      <c r="D30" s="130">
        <v>8</v>
      </c>
      <c r="E30" s="96">
        <v>366</v>
      </c>
      <c r="F30" s="454">
        <v>759</v>
      </c>
      <c r="G30" s="454">
        <v>404</v>
      </c>
    </row>
    <row r="31" spans="1:7" s="106" customFormat="1" ht="14">
      <c r="A31" s="102">
        <v>451</v>
      </c>
      <c r="B31" s="103"/>
      <c r="C31" s="104" t="s">
        <v>194</v>
      </c>
      <c r="D31" s="131">
        <v>48</v>
      </c>
      <c r="E31" s="124">
        <v>2</v>
      </c>
      <c r="F31" s="456">
        <v>31</v>
      </c>
      <c r="G31" s="456">
        <v>3</v>
      </c>
    </row>
    <row r="32" spans="1:7" s="91" customFormat="1" ht="12.75" customHeight="1">
      <c r="A32" s="92">
        <v>46</v>
      </c>
      <c r="B32" s="93"/>
      <c r="C32" s="94" t="s">
        <v>195</v>
      </c>
      <c r="D32" s="95">
        <v>87620</v>
      </c>
      <c r="E32" s="124">
        <v>86068</v>
      </c>
      <c r="F32" s="456">
        <v>85860</v>
      </c>
      <c r="G32" s="456">
        <v>77205</v>
      </c>
    </row>
    <row r="33" spans="1:7" s="106" customFormat="1" ht="12.75" customHeight="1">
      <c r="A33" s="114" t="s">
        <v>196</v>
      </c>
      <c r="B33" s="98"/>
      <c r="C33" s="99" t="s">
        <v>197</v>
      </c>
      <c r="D33" s="95">
        <v>0</v>
      </c>
      <c r="E33" s="132">
        <v>0</v>
      </c>
      <c r="F33" s="458">
        <v>0</v>
      </c>
      <c r="G33" s="458">
        <v>0</v>
      </c>
    </row>
    <row r="34" spans="1:7" s="91" customFormat="1" ht="15" customHeight="1">
      <c r="A34" s="92">
        <v>47</v>
      </c>
      <c r="B34" s="93"/>
      <c r="C34" s="94" t="s">
        <v>176</v>
      </c>
      <c r="D34" s="95">
        <v>39288</v>
      </c>
      <c r="E34" s="124">
        <v>40293</v>
      </c>
      <c r="F34" s="456">
        <v>39890</v>
      </c>
      <c r="G34" s="456">
        <v>40967</v>
      </c>
    </row>
    <row r="35" spans="1:7" s="91" customFormat="1" ht="15" customHeight="1">
      <c r="A35" s="116">
        <v>49</v>
      </c>
      <c r="B35" s="117"/>
      <c r="C35" s="118" t="s">
        <v>198</v>
      </c>
      <c r="D35" s="177">
        <v>22506</v>
      </c>
      <c r="E35" s="120">
        <v>22283</v>
      </c>
      <c r="F35" s="455">
        <v>22168</v>
      </c>
      <c r="G35" s="455">
        <v>22396</v>
      </c>
    </row>
    <row r="36" spans="1:7" ht="13.5" customHeight="1">
      <c r="A36" s="121"/>
      <c r="B36" s="134"/>
      <c r="C36" s="122" t="s">
        <v>199</v>
      </c>
      <c r="D36" s="123">
        <f t="shared" ref="D36:G36" si="1">D22+D23+D24+D25+D26+D27+D28+D29+D30+D31+D32+D34</f>
        <v>240985</v>
      </c>
      <c r="E36" s="123">
        <f t="shared" si="1"/>
        <v>247421</v>
      </c>
      <c r="F36" s="123">
        <f t="shared" si="1"/>
        <v>257729</v>
      </c>
      <c r="G36" s="123">
        <f t="shared" si="1"/>
        <v>242886</v>
      </c>
    </row>
    <row r="37" spans="1:7" s="135" customFormat="1" ht="15" customHeight="1">
      <c r="A37" s="121"/>
      <c r="B37" s="134"/>
      <c r="C37" s="122" t="s">
        <v>200</v>
      </c>
      <c r="D37" s="123">
        <f t="shared" ref="D37:G37" si="2">D36-D21</f>
        <v>-34624</v>
      </c>
      <c r="E37" s="123">
        <f t="shared" si="2"/>
        <v>-37727</v>
      </c>
      <c r="F37" s="123">
        <f t="shared" si="2"/>
        <v>-28646</v>
      </c>
      <c r="G37" s="123">
        <f t="shared" si="2"/>
        <v>-43535</v>
      </c>
    </row>
    <row r="38" spans="1:7" s="106" customFormat="1" ht="15" customHeight="1">
      <c r="A38" s="101">
        <v>340</v>
      </c>
      <c r="B38" s="93"/>
      <c r="C38" s="94" t="s">
        <v>201</v>
      </c>
      <c r="D38" s="130">
        <v>600</v>
      </c>
      <c r="E38" s="124">
        <v>519</v>
      </c>
      <c r="F38" s="456">
        <v>681</v>
      </c>
      <c r="G38" s="456">
        <v>266</v>
      </c>
    </row>
    <row r="39" spans="1:7" s="106" customFormat="1" ht="15" customHeight="1">
      <c r="A39" s="101">
        <v>341</v>
      </c>
      <c r="B39" s="93"/>
      <c r="C39" s="94" t="s">
        <v>202</v>
      </c>
      <c r="D39" s="95">
        <v>0</v>
      </c>
      <c r="E39" s="124">
        <v>0</v>
      </c>
      <c r="F39" s="456">
        <v>1</v>
      </c>
      <c r="G39" s="456">
        <v>0</v>
      </c>
    </row>
    <row r="40" spans="1:7" s="106" customFormat="1" ht="15" customHeight="1">
      <c r="A40" s="101">
        <v>342</v>
      </c>
      <c r="B40" s="93"/>
      <c r="C40" s="94" t="s">
        <v>203</v>
      </c>
      <c r="D40" s="95">
        <v>0</v>
      </c>
      <c r="E40" s="124">
        <v>0</v>
      </c>
      <c r="F40" s="456">
        <v>0</v>
      </c>
      <c r="G40" s="456">
        <v>0</v>
      </c>
    </row>
    <row r="41" spans="1:7" s="106" customFormat="1" ht="15" customHeight="1">
      <c r="A41" s="101">
        <v>343</v>
      </c>
      <c r="B41" s="93"/>
      <c r="C41" s="94" t="s">
        <v>204</v>
      </c>
      <c r="D41" s="95">
        <v>0</v>
      </c>
      <c r="E41" s="124">
        <v>0</v>
      </c>
      <c r="F41" s="456">
        <v>0</v>
      </c>
      <c r="G41" s="456">
        <v>0</v>
      </c>
    </row>
    <row r="42" spans="1:7" s="106" customFormat="1" ht="15" customHeight="1">
      <c r="A42" s="101">
        <v>344</v>
      </c>
      <c r="B42" s="93"/>
      <c r="C42" s="94" t="s">
        <v>205</v>
      </c>
      <c r="D42" s="95">
        <v>0</v>
      </c>
      <c r="E42" s="124">
        <v>0</v>
      </c>
      <c r="F42" s="456">
        <v>0</v>
      </c>
      <c r="G42" s="456">
        <v>0</v>
      </c>
    </row>
    <row r="43" spans="1:7" s="106" customFormat="1" ht="15" customHeight="1">
      <c r="A43" s="101">
        <v>349</v>
      </c>
      <c r="B43" s="93"/>
      <c r="C43" s="94" t="s">
        <v>206</v>
      </c>
      <c r="D43" s="95">
        <v>0</v>
      </c>
      <c r="E43" s="124">
        <v>0</v>
      </c>
      <c r="F43" s="456">
        <v>0</v>
      </c>
      <c r="G43" s="456">
        <v>0</v>
      </c>
    </row>
    <row r="44" spans="1:7" s="91" customFormat="1" ht="15" customHeight="1">
      <c r="A44" s="92">
        <v>440</v>
      </c>
      <c r="B44" s="93"/>
      <c r="C44" s="94" t="s">
        <v>207</v>
      </c>
      <c r="D44" s="130">
        <v>1584</v>
      </c>
      <c r="E44" s="124">
        <v>1371</v>
      </c>
      <c r="F44" s="456">
        <v>1351</v>
      </c>
      <c r="G44" s="456">
        <v>1098</v>
      </c>
    </row>
    <row r="45" spans="1:7" s="91" customFormat="1" ht="15" customHeight="1">
      <c r="A45" s="92">
        <v>441</v>
      </c>
      <c r="B45" s="93"/>
      <c r="C45" s="94" t="s">
        <v>208</v>
      </c>
      <c r="D45" s="130">
        <v>111</v>
      </c>
      <c r="E45" s="124">
        <v>0</v>
      </c>
      <c r="F45" s="456">
        <v>100</v>
      </c>
      <c r="G45" s="456">
        <v>0</v>
      </c>
    </row>
    <row r="46" spans="1:7" s="91" customFormat="1" ht="15" customHeight="1">
      <c r="A46" s="92">
        <v>442</v>
      </c>
      <c r="B46" s="93"/>
      <c r="C46" s="94" t="s">
        <v>209</v>
      </c>
      <c r="D46" s="130">
        <v>0</v>
      </c>
      <c r="E46" s="124">
        <v>0</v>
      </c>
      <c r="F46" s="456">
        <v>0</v>
      </c>
      <c r="G46" s="456">
        <v>0</v>
      </c>
    </row>
    <row r="47" spans="1:7" s="91" customFormat="1" ht="15" customHeight="1">
      <c r="A47" s="92">
        <v>443</v>
      </c>
      <c r="B47" s="93"/>
      <c r="C47" s="94" t="s">
        <v>210</v>
      </c>
      <c r="D47" s="130">
        <v>0</v>
      </c>
      <c r="E47" s="124">
        <v>0</v>
      </c>
      <c r="F47" s="456">
        <v>0</v>
      </c>
      <c r="G47" s="456">
        <v>0</v>
      </c>
    </row>
    <row r="48" spans="1:7" s="91" customFormat="1" ht="15" customHeight="1">
      <c r="A48" s="92">
        <v>444</v>
      </c>
      <c r="B48" s="93"/>
      <c r="C48" s="94" t="s">
        <v>205</v>
      </c>
      <c r="D48" s="130">
        <v>1</v>
      </c>
      <c r="E48" s="124">
        <v>0</v>
      </c>
      <c r="F48" s="456">
        <v>5</v>
      </c>
      <c r="G48" s="456">
        <v>0</v>
      </c>
    </row>
    <row r="49" spans="1:7" s="91" customFormat="1" ht="15" customHeight="1">
      <c r="A49" s="92">
        <v>445</v>
      </c>
      <c r="B49" s="93"/>
      <c r="C49" s="94" t="s">
        <v>211</v>
      </c>
      <c r="D49" s="130">
        <v>289</v>
      </c>
      <c r="E49" s="124">
        <v>223</v>
      </c>
      <c r="F49" s="456">
        <v>232</v>
      </c>
      <c r="G49" s="456">
        <v>224</v>
      </c>
    </row>
    <row r="50" spans="1:7" s="91" customFormat="1" ht="15" customHeight="1">
      <c r="A50" s="92">
        <v>446</v>
      </c>
      <c r="B50" s="93"/>
      <c r="C50" s="94" t="s">
        <v>212</v>
      </c>
      <c r="D50" s="130">
        <v>11165</v>
      </c>
      <c r="E50" s="124">
        <v>11165</v>
      </c>
      <c r="F50" s="456">
        <v>11742</v>
      </c>
      <c r="G50" s="456">
        <v>11778</v>
      </c>
    </row>
    <row r="51" spans="1:7" s="91" customFormat="1" ht="15" customHeight="1">
      <c r="A51" s="92">
        <v>447</v>
      </c>
      <c r="B51" s="93"/>
      <c r="C51" s="94" t="s">
        <v>213</v>
      </c>
      <c r="D51" s="130">
        <v>7002</v>
      </c>
      <c r="E51" s="124">
        <v>7244</v>
      </c>
      <c r="F51" s="456">
        <v>7228</v>
      </c>
      <c r="G51" s="456">
        <v>7260</v>
      </c>
    </row>
    <row r="52" spans="1:7" s="91" customFormat="1" ht="15" customHeight="1">
      <c r="A52" s="92">
        <v>448</v>
      </c>
      <c r="B52" s="93"/>
      <c r="C52" s="94" t="s">
        <v>214</v>
      </c>
      <c r="D52" s="130">
        <v>0</v>
      </c>
      <c r="E52" s="124">
        <v>0</v>
      </c>
      <c r="F52" s="456">
        <v>0</v>
      </c>
      <c r="G52" s="456">
        <v>0</v>
      </c>
    </row>
    <row r="53" spans="1:7" s="91" customFormat="1" ht="15" customHeight="1">
      <c r="A53" s="92">
        <v>449</v>
      </c>
      <c r="B53" s="93"/>
      <c r="C53" s="94" t="s">
        <v>215</v>
      </c>
      <c r="D53" s="130">
        <v>322</v>
      </c>
      <c r="E53" s="124">
        <v>0</v>
      </c>
      <c r="F53" s="456">
        <v>170</v>
      </c>
      <c r="G53" s="456">
        <v>0</v>
      </c>
    </row>
    <row r="54" spans="1:7" s="106" customFormat="1" ht="13.5" customHeight="1">
      <c r="A54" s="136" t="s">
        <v>216</v>
      </c>
      <c r="B54" s="137"/>
      <c r="C54" s="137" t="s">
        <v>217</v>
      </c>
      <c r="D54" s="264">
        <v>0</v>
      </c>
      <c r="E54" s="139">
        <v>0</v>
      </c>
      <c r="F54" s="459">
        <v>36</v>
      </c>
      <c r="G54" s="459">
        <v>0</v>
      </c>
    </row>
    <row r="55" spans="1:7" ht="15" customHeight="1">
      <c r="A55" s="134"/>
      <c r="B55" s="134"/>
      <c r="C55" s="122" t="s">
        <v>218</v>
      </c>
      <c r="D55" s="123">
        <f t="shared" ref="D55:G55" si="3">SUM(D44:D53)-SUM(D38:D43)</f>
        <v>19874</v>
      </c>
      <c r="E55" s="123">
        <f t="shared" si="3"/>
        <v>19484</v>
      </c>
      <c r="F55" s="123">
        <f t="shared" si="3"/>
        <v>20146</v>
      </c>
      <c r="G55" s="123">
        <f t="shared" si="3"/>
        <v>20094</v>
      </c>
    </row>
    <row r="56" spans="1:7" ht="14.25" customHeight="1">
      <c r="A56" s="134"/>
      <c r="B56" s="134"/>
      <c r="C56" s="122" t="s">
        <v>219</v>
      </c>
      <c r="D56" s="123">
        <f t="shared" ref="D56:G56" si="4">D55+D37</f>
        <v>-14750</v>
      </c>
      <c r="E56" s="123">
        <f t="shared" si="4"/>
        <v>-18243</v>
      </c>
      <c r="F56" s="123">
        <f t="shared" si="4"/>
        <v>-8500</v>
      </c>
      <c r="G56" s="123">
        <f t="shared" si="4"/>
        <v>-23441</v>
      </c>
    </row>
    <row r="57" spans="1:7" s="91" customFormat="1" ht="15.75" customHeight="1">
      <c r="A57" s="140">
        <v>380</v>
      </c>
      <c r="B57" s="141"/>
      <c r="C57" s="142" t="s">
        <v>220</v>
      </c>
      <c r="D57" s="265">
        <v>0</v>
      </c>
      <c r="E57" s="266">
        <v>0</v>
      </c>
      <c r="F57" s="460">
        <v>0</v>
      </c>
      <c r="G57" s="460">
        <v>0</v>
      </c>
    </row>
    <row r="58" spans="1:7" s="91" customFormat="1" ht="15.75" customHeight="1">
      <c r="A58" s="140">
        <v>381</v>
      </c>
      <c r="B58" s="141"/>
      <c r="C58" s="142" t="s">
        <v>221</v>
      </c>
      <c r="D58" s="265">
        <v>0</v>
      </c>
      <c r="E58" s="266">
        <v>0</v>
      </c>
      <c r="F58" s="460">
        <v>0</v>
      </c>
      <c r="G58" s="460">
        <v>0</v>
      </c>
    </row>
    <row r="59" spans="1:7" s="106" customFormat="1" ht="14">
      <c r="A59" s="102">
        <v>383</v>
      </c>
      <c r="B59" s="103"/>
      <c r="C59" s="104" t="s">
        <v>222</v>
      </c>
      <c r="D59" s="267">
        <v>0</v>
      </c>
      <c r="E59" s="144">
        <v>0</v>
      </c>
      <c r="F59" s="461">
        <v>0</v>
      </c>
      <c r="G59" s="461">
        <v>0</v>
      </c>
    </row>
    <row r="60" spans="1:7" s="106" customFormat="1" ht="14">
      <c r="A60" s="102">
        <v>3840</v>
      </c>
      <c r="B60" s="103"/>
      <c r="C60" s="104" t="s">
        <v>223</v>
      </c>
      <c r="D60" s="145">
        <v>0</v>
      </c>
      <c r="E60" s="146">
        <v>0</v>
      </c>
      <c r="F60" s="462">
        <v>0</v>
      </c>
      <c r="G60" s="462">
        <v>0</v>
      </c>
    </row>
    <row r="61" spans="1:7" s="106" customFormat="1" ht="14">
      <c r="A61" s="102">
        <v>3841</v>
      </c>
      <c r="B61" s="103"/>
      <c r="C61" s="104" t="s">
        <v>224</v>
      </c>
      <c r="D61" s="145">
        <v>0</v>
      </c>
      <c r="E61" s="146">
        <v>0</v>
      </c>
      <c r="F61" s="462">
        <v>0</v>
      </c>
      <c r="G61" s="462">
        <v>0</v>
      </c>
    </row>
    <row r="62" spans="1:7" s="106" customFormat="1" ht="14">
      <c r="A62" s="147">
        <v>386</v>
      </c>
      <c r="B62" s="148"/>
      <c r="C62" s="149" t="s">
        <v>225</v>
      </c>
      <c r="D62" s="145">
        <v>0</v>
      </c>
      <c r="E62" s="146">
        <v>0</v>
      </c>
      <c r="F62" s="462">
        <v>0</v>
      </c>
      <c r="G62" s="462">
        <v>0</v>
      </c>
    </row>
    <row r="63" spans="1:7" s="106" customFormat="1" ht="28">
      <c r="A63" s="102">
        <v>387</v>
      </c>
      <c r="B63" s="103"/>
      <c r="C63" s="104" t="s">
        <v>226</v>
      </c>
      <c r="D63" s="145">
        <v>0</v>
      </c>
      <c r="E63" s="146">
        <v>0</v>
      </c>
      <c r="F63" s="462">
        <v>0</v>
      </c>
      <c r="G63" s="462">
        <v>0</v>
      </c>
    </row>
    <row r="64" spans="1:7" s="106" customFormat="1">
      <c r="A64" s="114">
        <v>389</v>
      </c>
      <c r="B64" s="343"/>
      <c r="C64" s="99" t="s">
        <v>42</v>
      </c>
      <c r="D64" s="100">
        <v>0</v>
      </c>
      <c r="E64" s="132">
        <v>0</v>
      </c>
      <c r="F64" s="458">
        <v>20000</v>
      </c>
      <c r="G64" s="458">
        <v>0</v>
      </c>
    </row>
    <row r="65" spans="1:7" s="91" customFormat="1">
      <c r="A65" s="101" t="s">
        <v>227</v>
      </c>
      <c r="B65" s="93"/>
      <c r="C65" s="94" t="s">
        <v>228</v>
      </c>
      <c r="D65" s="95">
        <v>0</v>
      </c>
      <c r="E65" s="124">
        <v>0</v>
      </c>
      <c r="F65" s="456">
        <v>26000</v>
      </c>
      <c r="G65" s="456">
        <v>0</v>
      </c>
    </row>
    <row r="66" spans="1:7" s="153" customFormat="1" ht="14">
      <c r="A66" s="151" t="s">
        <v>229</v>
      </c>
      <c r="B66" s="152"/>
      <c r="C66" s="104" t="s">
        <v>230</v>
      </c>
      <c r="D66" s="143">
        <v>0</v>
      </c>
      <c r="E66" s="144">
        <v>0</v>
      </c>
      <c r="F66" s="461">
        <v>0</v>
      </c>
      <c r="G66" s="461">
        <v>0</v>
      </c>
    </row>
    <row r="67" spans="1:7" s="91" customFormat="1">
      <c r="A67" s="154">
        <v>481</v>
      </c>
      <c r="B67" s="93"/>
      <c r="C67" s="94" t="s">
        <v>231</v>
      </c>
      <c r="D67" s="95">
        <v>0</v>
      </c>
      <c r="E67" s="124">
        <v>0</v>
      </c>
      <c r="F67" s="456">
        <v>0</v>
      </c>
      <c r="G67" s="456">
        <v>0</v>
      </c>
    </row>
    <row r="68" spans="1:7" s="91" customFormat="1">
      <c r="A68" s="154">
        <v>482</v>
      </c>
      <c r="B68" s="93"/>
      <c r="C68" s="94" t="s">
        <v>232</v>
      </c>
      <c r="D68" s="95">
        <v>0</v>
      </c>
      <c r="E68" s="124">
        <v>0</v>
      </c>
      <c r="F68" s="456">
        <v>0</v>
      </c>
      <c r="G68" s="456">
        <v>0</v>
      </c>
    </row>
    <row r="69" spans="1:7" s="91" customFormat="1">
      <c r="A69" s="154">
        <v>483</v>
      </c>
      <c r="B69" s="93"/>
      <c r="C69" s="94" t="s">
        <v>233</v>
      </c>
      <c r="D69" s="95">
        <v>0</v>
      </c>
      <c r="E69" s="124">
        <v>0</v>
      </c>
      <c r="F69" s="456">
        <v>0</v>
      </c>
      <c r="G69" s="456">
        <v>0</v>
      </c>
    </row>
    <row r="70" spans="1:7" s="91" customFormat="1">
      <c r="A70" s="154">
        <v>484</v>
      </c>
      <c r="B70" s="93"/>
      <c r="C70" s="94" t="s">
        <v>234</v>
      </c>
      <c r="D70" s="95">
        <v>0</v>
      </c>
      <c r="E70" s="124">
        <v>0</v>
      </c>
      <c r="F70" s="456">
        <v>0</v>
      </c>
      <c r="G70" s="456">
        <v>0</v>
      </c>
    </row>
    <row r="71" spans="1:7" s="91" customFormat="1">
      <c r="A71" s="154">
        <v>485</v>
      </c>
      <c r="B71" s="93"/>
      <c r="C71" s="94" t="s">
        <v>235</v>
      </c>
      <c r="D71" s="95">
        <v>0</v>
      </c>
      <c r="E71" s="124">
        <v>0</v>
      </c>
      <c r="F71" s="456">
        <v>0</v>
      </c>
      <c r="G71" s="456">
        <v>0</v>
      </c>
    </row>
    <row r="72" spans="1:7" s="91" customFormat="1">
      <c r="A72" s="154">
        <v>486</v>
      </c>
      <c r="B72" s="93"/>
      <c r="C72" s="94" t="s">
        <v>236</v>
      </c>
      <c r="D72" s="95">
        <v>0</v>
      </c>
      <c r="E72" s="124">
        <v>0</v>
      </c>
      <c r="F72" s="456">
        <v>0</v>
      </c>
      <c r="G72" s="456">
        <v>0</v>
      </c>
    </row>
    <row r="73" spans="1:7" s="106" customFormat="1">
      <c r="A73" s="154">
        <v>487</v>
      </c>
      <c r="B73" s="98"/>
      <c r="C73" s="99" t="s">
        <v>237</v>
      </c>
      <c r="D73" s="256">
        <v>0</v>
      </c>
      <c r="E73" s="132">
        <v>0</v>
      </c>
      <c r="F73" s="458">
        <v>0</v>
      </c>
      <c r="G73" s="458">
        <v>0</v>
      </c>
    </row>
    <row r="74" spans="1:7" s="106" customFormat="1">
      <c r="A74" s="154">
        <v>489</v>
      </c>
      <c r="B74" s="155"/>
      <c r="C74" s="118" t="s">
        <v>59</v>
      </c>
      <c r="D74" s="130">
        <v>11000</v>
      </c>
      <c r="E74" s="132">
        <v>10300</v>
      </c>
      <c r="F74" s="458">
        <v>0</v>
      </c>
      <c r="G74" s="458">
        <v>16000</v>
      </c>
    </row>
    <row r="75" spans="1:7" s="106" customFormat="1">
      <c r="A75" s="156" t="s">
        <v>238</v>
      </c>
      <c r="B75" s="155"/>
      <c r="C75" s="118" t="s">
        <v>239</v>
      </c>
      <c r="D75" s="95">
        <v>0</v>
      </c>
      <c r="E75" s="124">
        <v>0</v>
      </c>
      <c r="F75" s="456">
        <v>0</v>
      </c>
      <c r="G75" s="456">
        <v>0</v>
      </c>
    </row>
    <row r="76" spans="1:7">
      <c r="A76" s="121"/>
      <c r="B76" s="121"/>
      <c r="C76" s="122" t="s">
        <v>240</v>
      </c>
      <c r="D76" s="123">
        <f t="shared" ref="D76:G76" si="5">SUM(D65:D74)-SUM(D57:D64)</f>
        <v>11000</v>
      </c>
      <c r="E76" s="123">
        <f t="shared" si="5"/>
        <v>10300</v>
      </c>
      <c r="F76" s="123">
        <f t="shared" si="5"/>
        <v>6000</v>
      </c>
      <c r="G76" s="123">
        <f t="shared" si="5"/>
        <v>16000</v>
      </c>
    </row>
    <row r="77" spans="1:7">
      <c r="A77" s="157"/>
      <c r="B77" s="157"/>
      <c r="C77" s="122" t="s">
        <v>241</v>
      </c>
      <c r="D77" s="123">
        <f t="shared" ref="D77:G77" si="6">D56+D76</f>
        <v>-3750</v>
      </c>
      <c r="E77" s="123">
        <f t="shared" si="6"/>
        <v>-7943</v>
      </c>
      <c r="F77" s="123">
        <f t="shared" si="6"/>
        <v>-2500</v>
      </c>
      <c r="G77" s="123">
        <f t="shared" si="6"/>
        <v>-7441</v>
      </c>
    </row>
    <row r="78" spans="1:7">
      <c r="A78" s="158">
        <v>3</v>
      </c>
      <c r="B78" s="158"/>
      <c r="C78" s="159" t="s">
        <v>242</v>
      </c>
      <c r="D78" s="160">
        <f t="shared" ref="D78:G78" si="7">D20+D21+SUM(D38:D43)+SUM(D57:D64)</f>
        <v>298716</v>
      </c>
      <c r="E78" s="160">
        <f t="shared" si="7"/>
        <v>307950</v>
      </c>
      <c r="F78" s="160">
        <f t="shared" si="7"/>
        <v>329225</v>
      </c>
      <c r="G78" s="160">
        <f t="shared" si="7"/>
        <v>309083</v>
      </c>
    </row>
    <row r="79" spans="1:7">
      <c r="A79" s="158">
        <v>4</v>
      </c>
      <c r="B79" s="158"/>
      <c r="C79" s="159" t="s">
        <v>243</v>
      </c>
      <c r="D79" s="160">
        <f t="shared" ref="D79:G79" si="8">D35+D36+SUM(D44:D53)+SUM(D65:D74)</f>
        <v>294965</v>
      </c>
      <c r="E79" s="160">
        <f t="shared" si="8"/>
        <v>300007</v>
      </c>
      <c r="F79" s="160">
        <f t="shared" si="8"/>
        <v>326725</v>
      </c>
      <c r="G79" s="160">
        <f t="shared" si="8"/>
        <v>301642</v>
      </c>
    </row>
    <row r="80" spans="1:7">
      <c r="C80" s="135"/>
      <c r="D80" s="161"/>
      <c r="E80" s="161"/>
      <c r="F80" s="161"/>
      <c r="G80" s="161"/>
    </row>
    <row r="81" spans="1:7">
      <c r="A81" s="680" t="s">
        <v>244</v>
      </c>
      <c r="B81" s="681"/>
      <c r="C81" s="681"/>
      <c r="D81" s="163"/>
      <c r="E81" s="162"/>
      <c r="F81" s="162"/>
      <c r="G81" s="162"/>
    </row>
    <row r="82" spans="1:7" s="91" customFormat="1">
      <c r="A82" s="164">
        <v>50</v>
      </c>
      <c r="B82" s="165"/>
      <c r="C82" s="165" t="s">
        <v>245</v>
      </c>
      <c r="D82" s="95">
        <v>15628</v>
      </c>
      <c r="E82" s="124">
        <v>13356</v>
      </c>
      <c r="F82" s="456">
        <v>6889</v>
      </c>
      <c r="G82" s="456">
        <v>9105</v>
      </c>
    </row>
    <row r="83" spans="1:7" s="91" customFormat="1">
      <c r="A83" s="164">
        <v>51</v>
      </c>
      <c r="B83" s="165"/>
      <c r="C83" s="165" t="s">
        <v>246</v>
      </c>
      <c r="D83" s="95">
        <v>3985</v>
      </c>
      <c r="E83" s="124">
        <v>2282</v>
      </c>
      <c r="F83" s="456">
        <v>2109</v>
      </c>
      <c r="G83" s="456">
        <v>1232</v>
      </c>
    </row>
    <row r="84" spans="1:7" s="91" customFormat="1">
      <c r="A84" s="164">
        <v>52</v>
      </c>
      <c r="B84" s="165"/>
      <c r="C84" s="165" t="s">
        <v>247</v>
      </c>
      <c r="D84" s="95">
        <v>593</v>
      </c>
      <c r="E84" s="124">
        <v>1062</v>
      </c>
      <c r="F84" s="456">
        <v>536</v>
      </c>
      <c r="G84" s="456">
        <v>892</v>
      </c>
    </row>
    <row r="85" spans="1:7" s="91" customFormat="1">
      <c r="A85" s="166">
        <v>54</v>
      </c>
      <c r="B85" s="167"/>
      <c r="C85" s="167" t="s">
        <v>248</v>
      </c>
      <c r="D85" s="95">
        <v>125</v>
      </c>
      <c r="E85" s="124">
        <v>787</v>
      </c>
      <c r="F85" s="456">
        <v>652</v>
      </c>
      <c r="G85" s="456">
        <v>1300</v>
      </c>
    </row>
    <row r="86" spans="1:7" s="91" customFormat="1">
      <c r="A86" s="166">
        <v>55</v>
      </c>
      <c r="B86" s="167"/>
      <c r="C86" s="167" t="s">
        <v>249</v>
      </c>
      <c r="D86" s="95">
        <v>342</v>
      </c>
      <c r="E86" s="124">
        <v>0</v>
      </c>
      <c r="F86" s="456">
        <v>0</v>
      </c>
      <c r="G86" s="456">
        <v>0</v>
      </c>
    </row>
    <row r="87" spans="1:7" s="91" customFormat="1">
      <c r="A87" s="166">
        <v>56</v>
      </c>
      <c r="B87" s="167"/>
      <c r="C87" s="167" t="s">
        <v>250</v>
      </c>
      <c r="D87" s="95">
        <v>10170</v>
      </c>
      <c r="E87" s="124">
        <v>7202</v>
      </c>
      <c r="F87" s="456">
        <v>5638</v>
      </c>
      <c r="G87" s="456">
        <v>7180</v>
      </c>
    </row>
    <row r="88" spans="1:7" s="91" customFormat="1">
      <c r="A88" s="164">
        <v>57</v>
      </c>
      <c r="B88" s="165"/>
      <c r="C88" s="165" t="s">
        <v>251</v>
      </c>
      <c r="D88" s="95">
        <v>12984</v>
      </c>
      <c r="E88" s="124">
        <v>11663</v>
      </c>
      <c r="F88" s="456">
        <v>7052</v>
      </c>
      <c r="G88" s="456">
        <v>10578</v>
      </c>
    </row>
    <row r="89" spans="1:7" s="91" customFormat="1">
      <c r="A89" s="164">
        <v>580</v>
      </c>
      <c r="B89" s="165"/>
      <c r="C89" s="165" t="s">
        <v>252</v>
      </c>
      <c r="D89" s="95">
        <v>0</v>
      </c>
      <c r="E89" s="124">
        <v>0</v>
      </c>
      <c r="F89" s="456">
        <v>0</v>
      </c>
      <c r="G89" s="456">
        <v>0</v>
      </c>
    </row>
    <row r="90" spans="1:7" s="91" customFormat="1">
      <c r="A90" s="164">
        <v>582</v>
      </c>
      <c r="B90" s="165"/>
      <c r="C90" s="165" t="s">
        <v>253</v>
      </c>
      <c r="D90" s="95">
        <v>0</v>
      </c>
      <c r="E90" s="124">
        <v>0</v>
      </c>
      <c r="F90" s="456">
        <v>0</v>
      </c>
      <c r="G90" s="456">
        <v>0</v>
      </c>
    </row>
    <row r="91" spans="1:7" s="91" customFormat="1">
      <c r="A91" s="164">
        <v>584</v>
      </c>
      <c r="B91" s="165"/>
      <c r="C91" s="165" t="s">
        <v>254</v>
      </c>
      <c r="D91" s="95">
        <v>0</v>
      </c>
      <c r="E91" s="124">
        <v>0</v>
      </c>
      <c r="F91" s="456">
        <v>0</v>
      </c>
      <c r="G91" s="456">
        <v>0</v>
      </c>
    </row>
    <row r="92" spans="1:7" s="91" customFormat="1">
      <c r="A92" s="164">
        <v>585</v>
      </c>
      <c r="B92" s="165"/>
      <c r="C92" s="165" t="s">
        <v>255</v>
      </c>
      <c r="D92" s="95">
        <v>0</v>
      </c>
      <c r="E92" s="124">
        <v>0</v>
      </c>
      <c r="F92" s="456">
        <v>0</v>
      </c>
      <c r="G92" s="456">
        <v>0</v>
      </c>
    </row>
    <row r="93" spans="1:7" s="91" customFormat="1">
      <c r="A93" s="164">
        <v>586</v>
      </c>
      <c r="B93" s="165"/>
      <c r="C93" s="165" t="s">
        <v>256</v>
      </c>
      <c r="D93" s="95">
        <v>0</v>
      </c>
      <c r="E93" s="124">
        <v>0</v>
      </c>
      <c r="F93" s="456">
        <v>0</v>
      </c>
      <c r="G93" s="456">
        <v>0</v>
      </c>
    </row>
    <row r="94" spans="1:7" s="91" customFormat="1">
      <c r="A94" s="168">
        <v>589</v>
      </c>
      <c r="B94" s="169"/>
      <c r="C94" s="169" t="s">
        <v>257</v>
      </c>
      <c r="D94" s="119">
        <v>0</v>
      </c>
      <c r="E94" s="133">
        <v>0</v>
      </c>
      <c r="F94" s="463">
        <v>0</v>
      </c>
      <c r="G94" s="463">
        <v>0</v>
      </c>
    </row>
    <row r="95" spans="1:7">
      <c r="A95" s="170">
        <v>5</v>
      </c>
      <c r="B95" s="171"/>
      <c r="C95" s="171" t="s">
        <v>258</v>
      </c>
      <c r="D95" s="172">
        <f t="shared" ref="D95:G95" si="9">SUM(D82:D94)</f>
        <v>43827</v>
      </c>
      <c r="E95" s="172">
        <f t="shared" si="9"/>
        <v>36352</v>
      </c>
      <c r="F95" s="172">
        <f t="shared" si="9"/>
        <v>22876</v>
      </c>
      <c r="G95" s="172">
        <f t="shared" si="9"/>
        <v>30287</v>
      </c>
    </row>
    <row r="96" spans="1:7" s="91" customFormat="1">
      <c r="A96" s="164">
        <v>60</v>
      </c>
      <c r="B96" s="165"/>
      <c r="C96" s="165" t="s">
        <v>259</v>
      </c>
      <c r="D96" s="95">
        <v>33</v>
      </c>
      <c r="E96" s="95">
        <v>0</v>
      </c>
      <c r="F96" s="464">
        <v>0</v>
      </c>
      <c r="G96" s="464">
        <v>0</v>
      </c>
    </row>
    <row r="97" spans="1:7" s="91" customFormat="1">
      <c r="A97" s="164">
        <v>61</v>
      </c>
      <c r="B97" s="165"/>
      <c r="C97" s="165" t="s">
        <v>260</v>
      </c>
      <c r="D97" s="95">
        <v>4593</v>
      </c>
      <c r="E97" s="95">
        <v>6021</v>
      </c>
      <c r="F97" s="464">
        <v>2081</v>
      </c>
      <c r="G97" s="464">
        <v>1795</v>
      </c>
    </row>
    <row r="98" spans="1:7" s="91" customFormat="1">
      <c r="A98" s="164">
        <v>62</v>
      </c>
      <c r="B98" s="165"/>
      <c r="C98" s="165" t="s">
        <v>261</v>
      </c>
      <c r="D98" s="95">
        <v>0</v>
      </c>
      <c r="E98" s="95">
        <v>0</v>
      </c>
      <c r="F98" s="464">
        <v>0</v>
      </c>
      <c r="G98" s="464">
        <v>0</v>
      </c>
    </row>
    <row r="99" spans="1:7" s="91" customFormat="1">
      <c r="A99" s="164">
        <v>63</v>
      </c>
      <c r="B99" s="165"/>
      <c r="C99" s="165" t="s">
        <v>262</v>
      </c>
      <c r="D99" s="95">
        <v>506</v>
      </c>
      <c r="E99" s="95">
        <v>1356</v>
      </c>
      <c r="F99" s="464">
        <v>1152</v>
      </c>
      <c r="G99" s="464">
        <v>70</v>
      </c>
    </row>
    <row r="100" spans="1:7" s="91" customFormat="1">
      <c r="A100" s="166">
        <v>64</v>
      </c>
      <c r="B100" s="167"/>
      <c r="C100" s="167" t="s">
        <v>263</v>
      </c>
      <c r="D100" s="95">
        <v>988</v>
      </c>
      <c r="E100" s="95">
        <v>882</v>
      </c>
      <c r="F100" s="464">
        <v>918</v>
      </c>
      <c r="G100" s="464">
        <v>911</v>
      </c>
    </row>
    <row r="101" spans="1:7" s="91" customFormat="1">
      <c r="A101" s="166">
        <v>65</v>
      </c>
      <c r="B101" s="167"/>
      <c r="C101" s="167" t="s">
        <v>264</v>
      </c>
      <c r="D101" s="95">
        <v>0</v>
      </c>
      <c r="E101" s="95">
        <v>0</v>
      </c>
      <c r="F101" s="464">
        <v>0</v>
      </c>
      <c r="G101" s="464">
        <v>0</v>
      </c>
    </row>
    <row r="102" spans="1:7" s="91" customFormat="1">
      <c r="A102" s="166">
        <v>66</v>
      </c>
      <c r="B102" s="167"/>
      <c r="C102" s="167" t="s">
        <v>265</v>
      </c>
      <c r="D102" s="95">
        <v>0</v>
      </c>
      <c r="E102" s="95">
        <v>0</v>
      </c>
      <c r="F102" s="464">
        <v>0</v>
      </c>
      <c r="G102" s="464">
        <v>0</v>
      </c>
    </row>
    <row r="103" spans="1:7" s="91" customFormat="1">
      <c r="A103" s="164">
        <v>67</v>
      </c>
      <c r="B103" s="165"/>
      <c r="C103" s="165" t="s">
        <v>251</v>
      </c>
      <c r="D103" s="130">
        <v>12984</v>
      </c>
      <c r="E103" s="130">
        <v>11663</v>
      </c>
      <c r="F103" s="465">
        <v>7053</v>
      </c>
      <c r="G103" s="465">
        <v>10578</v>
      </c>
    </row>
    <row r="104" spans="1:7" s="91" customFormat="1" ht="28">
      <c r="A104" s="173" t="s">
        <v>266</v>
      </c>
      <c r="B104" s="165"/>
      <c r="C104" s="174" t="s">
        <v>267</v>
      </c>
      <c r="D104" s="130">
        <v>0</v>
      </c>
      <c r="E104" s="130">
        <v>0</v>
      </c>
      <c r="F104" s="465">
        <v>0</v>
      </c>
      <c r="G104" s="465">
        <v>0</v>
      </c>
    </row>
    <row r="105" spans="1:7" s="91" customFormat="1" ht="42">
      <c r="A105" s="175" t="s">
        <v>268</v>
      </c>
      <c r="B105" s="169"/>
      <c r="C105" s="176" t="s">
        <v>269</v>
      </c>
      <c r="D105" s="177">
        <v>200</v>
      </c>
      <c r="E105" s="177">
        <v>2100</v>
      </c>
      <c r="F105" s="466">
        <v>30</v>
      </c>
      <c r="G105" s="466">
        <v>2185</v>
      </c>
    </row>
    <row r="106" spans="1:7">
      <c r="A106" s="170">
        <v>6</v>
      </c>
      <c r="B106" s="171"/>
      <c r="C106" s="171" t="s">
        <v>270</v>
      </c>
      <c r="D106" s="172">
        <f t="shared" ref="D106:G106" si="10">SUM(D96:D105)</f>
        <v>19304</v>
      </c>
      <c r="E106" s="172">
        <f t="shared" si="10"/>
        <v>22022</v>
      </c>
      <c r="F106" s="172">
        <f t="shared" si="10"/>
        <v>11234</v>
      </c>
      <c r="G106" s="172">
        <f t="shared" si="10"/>
        <v>15539</v>
      </c>
    </row>
    <row r="107" spans="1:7">
      <c r="A107" s="178" t="s">
        <v>271</v>
      </c>
      <c r="B107" s="178"/>
      <c r="C107" s="171" t="s">
        <v>1</v>
      </c>
      <c r="D107" s="172">
        <f t="shared" ref="D107:G107" si="11">(D95-D88)-(D106-D103)</f>
        <v>24523</v>
      </c>
      <c r="E107" s="172">
        <f t="shared" si="11"/>
        <v>14330</v>
      </c>
      <c r="F107" s="172">
        <f t="shared" si="11"/>
        <v>11643</v>
      </c>
      <c r="G107" s="172">
        <f t="shared" si="11"/>
        <v>14748</v>
      </c>
    </row>
    <row r="108" spans="1:7">
      <c r="A108" s="179" t="s">
        <v>272</v>
      </c>
      <c r="B108" s="179"/>
      <c r="C108" s="180" t="s">
        <v>273</v>
      </c>
      <c r="D108" s="172">
        <f t="shared" ref="D108:G108" si="12">D107-D85-D86+D100+D101</f>
        <v>25044</v>
      </c>
      <c r="E108" s="172">
        <f t="shared" si="12"/>
        <v>14425</v>
      </c>
      <c r="F108" s="172">
        <f t="shared" si="12"/>
        <v>11909</v>
      </c>
      <c r="G108" s="172">
        <f t="shared" si="12"/>
        <v>14359</v>
      </c>
    </row>
    <row r="109" spans="1:7">
      <c r="C109" s="135"/>
      <c r="D109" s="161"/>
      <c r="E109" s="161"/>
      <c r="F109" s="161"/>
      <c r="G109" s="161"/>
    </row>
    <row r="110" spans="1:7">
      <c r="A110" s="181" t="s">
        <v>274</v>
      </c>
      <c r="B110" s="182"/>
      <c r="C110" s="181"/>
      <c r="D110" s="161"/>
      <c r="E110" s="161"/>
      <c r="F110" s="161"/>
      <c r="G110" s="161"/>
    </row>
    <row r="111" spans="1:7" s="91" customFormat="1">
      <c r="A111" s="183">
        <v>10</v>
      </c>
      <c r="B111" s="184"/>
      <c r="C111" s="184" t="s">
        <v>275</v>
      </c>
      <c r="D111" s="185">
        <f t="shared" ref="D111:G111" si="13">D112+D117</f>
        <v>173549</v>
      </c>
      <c r="E111" s="186">
        <f t="shared" si="13"/>
        <v>0</v>
      </c>
      <c r="F111" s="186">
        <f t="shared" si="13"/>
        <v>175078</v>
      </c>
      <c r="G111" s="186">
        <f t="shared" si="13"/>
        <v>0</v>
      </c>
    </row>
    <row r="112" spans="1:7" s="91" customFormat="1">
      <c r="A112" s="187" t="s">
        <v>276</v>
      </c>
      <c r="B112" s="188"/>
      <c r="C112" s="188" t="s">
        <v>277</v>
      </c>
      <c r="D112" s="185">
        <f t="shared" ref="D112:G112" si="14">D113+D114+D115+D116</f>
        <v>113105</v>
      </c>
      <c r="E112" s="186">
        <f t="shared" si="14"/>
        <v>0</v>
      </c>
      <c r="F112" s="186">
        <f t="shared" si="14"/>
        <v>117943</v>
      </c>
      <c r="G112" s="186">
        <f t="shared" si="14"/>
        <v>0</v>
      </c>
    </row>
    <row r="113" spans="1:7" s="91" customFormat="1">
      <c r="A113" s="189" t="s">
        <v>278</v>
      </c>
      <c r="B113" s="190"/>
      <c r="C113" s="190" t="s">
        <v>279</v>
      </c>
      <c r="D113" s="95">
        <f>11541+81468</f>
        <v>93009</v>
      </c>
      <c r="E113" s="124"/>
      <c r="F113" s="456">
        <v>100631</v>
      </c>
      <c r="G113" s="124"/>
    </row>
    <row r="114" spans="1:7" s="153" customFormat="1" ht="15" customHeight="1">
      <c r="A114" s="191">
        <v>102</v>
      </c>
      <c r="B114" s="192"/>
      <c r="C114" s="192" t="s">
        <v>280</v>
      </c>
      <c r="D114" s="143">
        <v>13000</v>
      </c>
      <c r="E114" s="144"/>
      <c r="F114" s="461">
        <v>6652</v>
      </c>
      <c r="G114" s="144"/>
    </row>
    <row r="115" spans="1:7" s="91" customFormat="1">
      <c r="A115" s="189">
        <v>104</v>
      </c>
      <c r="B115" s="190"/>
      <c r="C115" s="190" t="s">
        <v>281</v>
      </c>
      <c r="D115" s="95">
        <v>6889</v>
      </c>
      <c r="E115" s="124"/>
      <c r="F115" s="456">
        <v>10497</v>
      </c>
      <c r="G115" s="124"/>
    </row>
    <row r="116" spans="1:7" s="91" customFormat="1">
      <c r="A116" s="189">
        <v>106</v>
      </c>
      <c r="B116" s="190"/>
      <c r="C116" s="190" t="s">
        <v>282</v>
      </c>
      <c r="D116" s="95">
        <v>207</v>
      </c>
      <c r="E116" s="124"/>
      <c r="F116" s="456">
        <v>163</v>
      </c>
      <c r="G116" s="124"/>
    </row>
    <row r="117" spans="1:7" s="91" customFormat="1">
      <c r="A117" s="187" t="s">
        <v>283</v>
      </c>
      <c r="B117" s="188"/>
      <c r="C117" s="188" t="s">
        <v>284</v>
      </c>
      <c r="D117" s="185">
        <f t="shared" ref="D117:G117" si="15">D118+D119+D120</f>
        <v>60444</v>
      </c>
      <c r="E117" s="186">
        <f t="shared" si="15"/>
        <v>0</v>
      </c>
      <c r="F117" s="186">
        <f t="shared" si="15"/>
        <v>57135</v>
      </c>
      <c r="G117" s="186">
        <f t="shared" si="15"/>
        <v>0</v>
      </c>
    </row>
    <row r="118" spans="1:7" s="91" customFormat="1">
      <c r="A118" s="189">
        <v>107</v>
      </c>
      <c r="B118" s="190"/>
      <c r="C118" s="190" t="s">
        <v>285</v>
      </c>
      <c r="D118" s="95">
        <v>60127</v>
      </c>
      <c r="E118" s="124"/>
      <c r="F118" s="456">
        <v>56817</v>
      </c>
      <c r="G118" s="124"/>
    </row>
    <row r="119" spans="1:7" s="91" customFormat="1">
      <c r="A119" s="189">
        <v>108</v>
      </c>
      <c r="B119" s="190"/>
      <c r="C119" s="190" t="s">
        <v>286</v>
      </c>
      <c r="D119" s="95">
        <v>317</v>
      </c>
      <c r="E119" s="124"/>
      <c r="F119" s="456">
        <v>318</v>
      </c>
      <c r="G119" s="124"/>
    </row>
    <row r="120" spans="1:7" s="195" customFormat="1" ht="14">
      <c r="A120" s="191">
        <v>109</v>
      </c>
      <c r="B120" s="193"/>
      <c r="C120" s="193" t="s">
        <v>287</v>
      </c>
      <c r="D120" s="131">
        <v>0</v>
      </c>
      <c r="E120" s="194"/>
      <c r="F120" s="467"/>
      <c r="G120" s="194"/>
    </row>
    <row r="121" spans="1:7" s="91" customFormat="1">
      <c r="A121" s="187">
        <v>14</v>
      </c>
      <c r="B121" s="188"/>
      <c r="C121" s="188" t="s">
        <v>288</v>
      </c>
      <c r="D121" s="185">
        <f t="shared" ref="D121:G121" si="16">SUM(D122:D130)</f>
        <v>135339</v>
      </c>
      <c r="E121" s="185">
        <f t="shared" si="16"/>
        <v>0</v>
      </c>
      <c r="F121" s="185">
        <f t="shared" si="16"/>
        <v>128585</v>
      </c>
      <c r="G121" s="185">
        <f t="shared" si="16"/>
        <v>0</v>
      </c>
    </row>
    <row r="122" spans="1:7" s="91" customFormat="1">
      <c r="A122" s="189" t="s">
        <v>289</v>
      </c>
      <c r="B122" s="190"/>
      <c r="C122" s="190" t="s">
        <v>290</v>
      </c>
      <c r="D122" s="95">
        <f>71923+1090</f>
        <v>73013</v>
      </c>
      <c r="E122" s="124"/>
      <c r="F122" s="456">
        <v>69258</v>
      </c>
      <c r="G122" s="124"/>
    </row>
    <row r="123" spans="1:7" s="91" customFormat="1">
      <c r="A123" s="189">
        <v>144</v>
      </c>
      <c r="B123" s="190"/>
      <c r="C123" s="190" t="s">
        <v>248</v>
      </c>
      <c r="D123" s="95">
        <v>6444</v>
      </c>
      <c r="E123" s="124"/>
      <c r="F123" s="456">
        <v>6178</v>
      </c>
      <c r="G123" s="124"/>
    </row>
    <row r="124" spans="1:7" s="91" customFormat="1">
      <c r="A124" s="189">
        <v>145</v>
      </c>
      <c r="B124" s="190"/>
      <c r="C124" s="190" t="s">
        <v>291</v>
      </c>
      <c r="D124" s="95">
        <v>22165</v>
      </c>
      <c r="E124" s="196"/>
      <c r="F124" s="468">
        <v>22165</v>
      </c>
      <c r="G124" s="196"/>
    </row>
    <row r="125" spans="1:7" s="91" customFormat="1">
      <c r="A125" s="189">
        <v>146</v>
      </c>
      <c r="B125" s="190"/>
      <c r="C125" s="190" t="s">
        <v>292</v>
      </c>
      <c r="D125" s="95">
        <v>33717</v>
      </c>
      <c r="E125" s="196"/>
      <c r="F125" s="468">
        <v>30984</v>
      </c>
      <c r="G125" s="196"/>
    </row>
    <row r="126" spans="1:7" s="195" customFormat="1" ht="29.5" customHeight="1">
      <c r="A126" s="191" t="s">
        <v>293</v>
      </c>
      <c r="B126" s="193"/>
      <c r="C126" s="193" t="s">
        <v>294</v>
      </c>
      <c r="D126" s="131">
        <v>0</v>
      </c>
      <c r="E126" s="197"/>
      <c r="F126" s="469"/>
      <c r="G126" s="197"/>
    </row>
    <row r="127" spans="1:7" s="91" customFormat="1">
      <c r="A127" s="189">
        <v>1484</v>
      </c>
      <c r="B127" s="190"/>
      <c r="C127" s="190" t="s">
        <v>295</v>
      </c>
      <c r="D127" s="95">
        <v>0</v>
      </c>
      <c r="E127" s="196"/>
      <c r="F127" s="468"/>
      <c r="G127" s="196"/>
    </row>
    <row r="128" spans="1:7" s="91" customFormat="1">
      <c r="A128" s="189">
        <v>1485</v>
      </c>
      <c r="B128" s="190"/>
      <c r="C128" s="190" t="s">
        <v>296</v>
      </c>
      <c r="D128" s="95">
        <v>0</v>
      </c>
      <c r="E128" s="196"/>
      <c r="F128" s="468"/>
      <c r="G128" s="196"/>
    </row>
    <row r="129" spans="1:7" s="91" customFormat="1">
      <c r="A129" s="189">
        <v>1486</v>
      </c>
      <c r="B129" s="190"/>
      <c r="C129" s="190" t="s">
        <v>297</v>
      </c>
      <c r="D129" s="95">
        <v>0</v>
      </c>
      <c r="E129" s="196"/>
      <c r="F129" s="468"/>
      <c r="G129" s="196"/>
    </row>
    <row r="130" spans="1:7" s="91" customFormat="1">
      <c r="A130" s="198">
        <v>1489</v>
      </c>
      <c r="B130" s="199"/>
      <c r="C130" s="199" t="s">
        <v>298</v>
      </c>
      <c r="D130" s="119">
        <v>0</v>
      </c>
      <c r="E130" s="200"/>
      <c r="F130" s="470"/>
      <c r="G130" s="200"/>
    </row>
    <row r="131" spans="1:7">
      <c r="A131" s="201">
        <v>1</v>
      </c>
      <c r="B131" s="202"/>
      <c r="C131" s="201" t="s">
        <v>299</v>
      </c>
      <c r="D131" s="203">
        <f t="shared" ref="D131:G131" si="17">D111+D121</f>
        <v>308888</v>
      </c>
      <c r="E131" s="203">
        <f t="shared" si="17"/>
        <v>0</v>
      </c>
      <c r="F131" s="203">
        <f t="shared" si="17"/>
        <v>303663</v>
      </c>
      <c r="G131" s="203">
        <f t="shared" si="17"/>
        <v>0</v>
      </c>
    </row>
    <row r="132" spans="1:7">
      <c r="C132" s="135"/>
      <c r="D132" s="161"/>
      <c r="E132" s="161"/>
      <c r="F132" s="161"/>
      <c r="G132" s="161"/>
    </row>
    <row r="133" spans="1:7" s="91" customFormat="1">
      <c r="A133" s="183">
        <v>20</v>
      </c>
      <c r="B133" s="184"/>
      <c r="C133" s="184" t="s">
        <v>300</v>
      </c>
      <c r="D133" s="204">
        <f t="shared" ref="D133:G133" si="18">D134+D140</f>
        <v>133378</v>
      </c>
      <c r="E133" s="318">
        <f t="shared" si="18"/>
        <v>0</v>
      </c>
      <c r="F133" s="318">
        <f t="shared" si="18"/>
        <v>110692</v>
      </c>
      <c r="G133" s="318">
        <f t="shared" si="18"/>
        <v>0</v>
      </c>
    </row>
    <row r="134" spans="1:7" s="91" customFormat="1">
      <c r="A134" s="205" t="s">
        <v>301</v>
      </c>
      <c r="B134" s="188"/>
      <c r="C134" s="188" t="s">
        <v>302</v>
      </c>
      <c r="D134" s="185">
        <f t="shared" ref="D134:G134" si="19">D135+D136+D138+D139</f>
        <v>87949</v>
      </c>
      <c r="E134" s="186">
        <f t="shared" si="19"/>
        <v>0</v>
      </c>
      <c r="F134" s="186">
        <f t="shared" si="19"/>
        <v>59819</v>
      </c>
      <c r="G134" s="186">
        <f t="shared" si="19"/>
        <v>0</v>
      </c>
    </row>
    <row r="135" spans="1:7" s="106" customFormat="1">
      <c r="A135" s="206">
        <v>200</v>
      </c>
      <c r="B135" s="190"/>
      <c r="C135" s="190" t="s">
        <v>303</v>
      </c>
      <c r="D135" s="95">
        <v>43675</v>
      </c>
      <c r="E135" s="124"/>
      <c r="F135" s="456">
        <v>37785</v>
      </c>
      <c r="G135" s="124"/>
    </row>
    <row r="136" spans="1:7" s="106" customFormat="1">
      <c r="A136" s="206">
        <v>201</v>
      </c>
      <c r="B136" s="190"/>
      <c r="C136" s="190" t="s">
        <v>304</v>
      </c>
      <c r="D136" s="95">
        <v>28605</v>
      </c>
      <c r="E136" s="124"/>
      <c r="F136" s="456">
        <v>8409</v>
      </c>
      <c r="G136" s="124"/>
    </row>
    <row r="137" spans="1:7" s="106" customFormat="1">
      <c r="A137" s="207" t="s">
        <v>305</v>
      </c>
      <c r="B137" s="208"/>
      <c r="C137" s="208" t="s">
        <v>306</v>
      </c>
      <c r="D137" s="100">
        <v>0</v>
      </c>
      <c r="E137" s="209"/>
      <c r="F137" s="471"/>
      <c r="G137" s="209"/>
    </row>
    <row r="138" spans="1:7" s="106" customFormat="1">
      <c r="A138" s="206">
        <v>204</v>
      </c>
      <c r="B138" s="190"/>
      <c r="C138" s="190" t="s">
        <v>307</v>
      </c>
      <c r="D138" s="95">
        <v>13978</v>
      </c>
      <c r="E138" s="196"/>
      <c r="F138" s="468">
        <v>11579</v>
      </c>
      <c r="G138" s="196"/>
    </row>
    <row r="139" spans="1:7" s="106" customFormat="1">
      <c r="A139" s="206">
        <v>205</v>
      </c>
      <c r="B139" s="190"/>
      <c r="C139" s="190" t="s">
        <v>308</v>
      </c>
      <c r="D139" s="95">
        <v>1691</v>
      </c>
      <c r="E139" s="196"/>
      <c r="F139" s="468">
        <v>2046</v>
      </c>
      <c r="G139" s="196"/>
    </row>
    <row r="140" spans="1:7" s="106" customFormat="1">
      <c r="A140" s="205" t="s">
        <v>309</v>
      </c>
      <c r="B140" s="188"/>
      <c r="C140" s="188" t="s">
        <v>310</v>
      </c>
      <c r="D140" s="185">
        <f t="shared" ref="D140:G140" si="20">D141+D143+D144</f>
        <v>45429</v>
      </c>
      <c r="E140" s="186">
        <f t="shared" si="20"/>
        <v>0</v>
      </c>
      <c r="F140" s="186">
        <f t="shared" si="20"/>
        <v>50873</v>
      </c>
      <c r="G140" s="186">
        <f t="shared" si="20"/>
        <v>0</v>
      </c>
    </row>
    <row r="141" spans="1:7" s="106" customFormat="1">
      <c r="A141" s="206">
        <v>206</v>
      </c>
      <c r="B141" s="190"/>
      <c r="C141" s="190" t="s">
        <v>311</v>
      </c>
      <c r="D141" s="95">
        <v>0</v>
      </c>
      <c r="E141" s="196"/>
      <c r="F141" s="468">
        <v>5000</v>
      </c>
      <c r="G141" s="196"/>
    </row>
    <row r="142" spans="1:7" s="106" customFormat="1">
      <c r="A142" s="207" t="s">
        <v>312</v>
      </c>
      <c r="B142" s="208"/>
      <c r="C142" s="208" t="s">
        <v>313</v>
      </c>
      <c r="D142" s="100">
        <v>0</v>
      </c>
      <c r="E142" s="209"/>
      <c r="F142" s="471"/>
      <c r="G142" s="209"/>
    </row>
    <row r="143" spans="1:7" s="106" customFormat="1">
      <c r="A143" s="206">
        <v>208</v>
      </c>
      <c r="B143" s="190"/>
      <c r="C143" s="190" t="s">
        <v>314</v>
      </c>
      <c r="D143" s="95">
        <v>3939</v>
      </c>
      <c r="E143" s="196"/>
      <c r="F143" s="468">
        <v>3644</v>
      </c>
      <c r="G143" s="196"/>
    </row>
    <row r="144" spans="1:7" s="111" customFormat="1" ht="28">
      <c r="A144" s="191">
        <v>209</v>
      </c>
      <c r="B144" s="193"/>
      <c r="C144" s="193" t="s">
        <v>315</v>
      </c>
      <c r="D144" s="131">
        <v>41490</v>
      </c>
      <c r="E144" s="197"/>
      <c r="F144" s="469">
        <v>42229</v>
      </c>
      <c r="G144" s="197"/>
    </row>
    <row r="145" spans="1:7" s="91" customFormat="1">
      <c r="A145" s="205">
        <v>29</v>
      </c>
      <c r="B145" s="188"/>
      <c r="C145" s="188" t="s">
        <v>316</v>
      </c>
      <c r="D145" s="210">
        <v>175510</v>
      </c>
      <c r="E145" s="196"/>
      <c r="F145" s="468">
        <v>192971</v>
      </c>
      <c r="G145" s="196"/>
    </row>
    <row r="146" spans="1:7" s="91" customFormat="1">
      <c r="A146" s="211" t="s">
        <v>317</v>
      </c>
      <c r="B146" s="212"/>
      <c r="C146" s="212" t="s">
        <v>318</v>
      </c>
      <c r="D146" s="138">
        <v>146057</v>
      </c>
      <c r="E146" s="139"/>
      <c r="F146" s="459">
        <v>143558</v>
      </c>
      <c r="G146" s="139"/>
    </row>
    <row r="147" spans="1:7">
      <c r="A147" s="201">
        <v>2</v>
      </c>
      <c r="B147" s="202"/>
      <c r="C147" s="201" t="s">
        <v>319</v>
      </c>
      <c r="D147" s="203">
        <f t="shared" ref="D147:G147" si="21">D133+D145</f>
        <v>308888</v>
      </c>
      <c r="E147" s="203">
        <f t="shared" si="21"/>
        <v>0</v>
      </c>
      <c r="F147" s="203">
        <f t="shared" si="21"/>
        <v>303663</v>
      </c>
      <c r="G147" s="203">
        <f t="shared" si="21"/>
        <v>0</v>
      </c>
    </row>
    <row r="148" spans="1:7" ht="7.5" customHeight="1"/>
    <row r="149" spans="1:7" ht="13.5" customHeight="1">
      <c r="A149" s="213" t="s">
        <v>320</v>
      </c>
      <c r="B149" s="214"/>
      <c r="C149" s="215" t="s">
        <v>321</v>
      </c>
      <c r="D149" s="214"/>
      <c r="E149" s="214"/>
      <c r="F149" s="214"/>
      <c r="G149" s="214"/>
    </row>
    <row r="150" spans="1:7">
      <c r="A150" s="216" t="s">
        <v>322</v>
      </c>
      <c r="B150" s="217"/>
      <c r="C150" s="217" t="s">
        <v>82</v>
      </c>
      <c r="D150" s="218">
        <f t="shared" ref="D150:G150" si="22">D77+SUM(D8:D12)-D30-D31+D16-D33+D59+D63-D73+D64-D74-D54+D20-D35</f>
        <v>1935</v>
      </c>
      <c r="E150" s="218">
        <f t="shared" si="22"/>
        <v>870</v>
      </c>
      <c r="F150" s="218">
        <f t="shared" si="22"/>
        <v>37581</v>
      </c>
      <c r="G150" s="218">
        <f t="shared" si="22"/>
        <v>-5019</v>
      </c>
    </row>
    <row r="151" spans="1:7">
      <c r="A151" s="219" t="s">
        <v>323</v>
      </c>
      <c r="B151" s="220"/>
      <c r="C151" s="220" t="s">
        <v>324</v>
      </c>
      <c r="D151" s="221">
        <f t="shared" ref="D151:G151" si="23">IF(D177=0,0,D150/D177)</f>
        <v>8.7095075414883125E-3</v>
      </c>
      <c r="E151" s="221">
        <f t="shared" si="23"/>
        <v>3.8303886303498861E-3</v>
      </c>
      <c r="F151" s="221">
        <f t="shared" si="23"/>
        <v>0.14199352393762729</v>
      </c>
      <c r="G151" s="221">
        <f t="shared" si="23"/>
        <v>-2.2579730878760477E-2</v>
      </c>
    </row>
    <row r="152" spans="1:7" s="225" customFormat="1" ht="28">
      <c r="A152" s="222" t="s">
        <v>325</v>
      </c>
      <c r="B152" s="223"/>
      <c r="C152" s="223" t="s">
        <v>326</v>
      </c>
      <c r="D152" s="224">
        <f t="shared" ref="D152:G152" si="24">IF(D107=0,0,D150/D107)</f>
        <v>7.8905517269502096E-2</v>
      </c>
      <c r="E152" s="224">
        <f t="shared" si="24"/>
        <v>6.0711793440334963E-2</v>
      </c>
      <c r="F152" s="224">
        <f t="shared" si="24"/>
        <v>3.2277763463024995</v>
      </c>
      <c r="G152" s="224">
        <f t="shared" si="24"/>
        <v>-0.34031733116354762</v>
      </c>
    </row>
    <row r="153" spans="1:7" s="296" customFormat="1" ht="28">
      <c r="A153" s="226" t="s">
        <v>325</v>
      </c>
      <c r="B153" s="227"/>
      <c r="C153" s="227" t="s">
        <v>327</v>
      </c>
      <c r="D153" s="423">
        <f t="shared" ref="D153:G153" si="25">IF(0=D108,0,D150/D108)</f>
        <v>7.72640153330139E-2</v>
      </c>
      <c r="E153" s="423">
        <f t="shared" si="25"/>
        <v>6.0311958405545929E-2</v>
      </c>
      <c r="F153" s="423">
        <f t="shared" si="25"/>
        <v>3.1556805777143335</v>
      </c>
      <c r="G153" s="423">
        <f t="shared" si="25"/>
        <v>-0.34953687582700743</v>
      </c>
    </row>
    <row r="154" spans="1:7" s="296" customFormat="1" ht="28">
      <c r="A154" s="229" t="s">
        <v>328</v>
      </c>
      <c r="B154" s="230"/>
      <c r="C154" s="230" t="s">
        <v>329</v>
      </c>
      <c r="D154" s="231">
        <f t="shared" ref="D154:G154" si="26">D150-D107</f>
        <v>-22588</v>
      </c>
      <c r="E154" s="231">
        <f t="shared" si="26"/>
        <v>-13460</v>
      </c>
      <c r="F154" s="231">
        <f t="shared" si="26"/>
        <v>25938</v>
      </c>
      <c r="G154" s="231">
        <f t="shared" si="26"/>
        <v>-19767</v>
      </c>
    </row>
    <row r="155" spans="1:7" ht="28">
      <c r="A155" s="232" t="s">
        <v>330</v>
      </c>
      <c r="B155" s="233"/>
      <c r="C155" s="233" t="s">
        <v>331</v>
      </c>
      <c r="D155" s="234">
        <f t="shared" ref="D155:G155" si="27">D150-D108</f>
        <v>-23109</v>
      </c>
      <c r="E155" s="234">
        <f t="shared" si="27"/>
        <v>-13555</v>
      </c>
      <c r="F155" s="234">
        <f t="shared" si="27"/>
        <v>25672</v>
      </c>
      <c r="G155" s="234">
        <f t="shared" si="27"/>
        <v>-19378</v>
      </c>
    </row>
    <row r="156" spans="1:7">
      <c r="A156" s="216" t="s">
        <v>332</v>
      </c>
      <c r="B156" s="217"/>
      <c r="C156" s="217" t="s">
        <v>333</v>
      </c>
      <c r="D156" s="235">
        <f t="shared" ref="D156:G156" si="28">D135+D136-D137+D141-D142</f>
        <v>72280</v>
      </c>
      <c r="E156" s="235">
        <f t="shared" si="28"/>
        <v>0</v>
      </c>
      <c r="F156" s="235">
        <f t="shared" si="28"/>
        <v>51194</v>
      </c>
      <c r="G156" s="235">
        <f t="shared" si="28"/>
        <v>0</v>
      </c>
    </row>
    <row r="157" spans="1:7">
      <c r="A157" s="236" t="s">
        <v>334</v>
      </c>
      <c r="B157" s="237"/>
      <c r="C157" s="237" t="s">
        <v>335</v>
      </c>
      <c r="D157" s="238">
        <f t="shared" ref="D157:G157" si="29">IF(D177=0,0,D156/D177)</f>
        <v>0.32533498971512936</v>
      </c>
      <c r="E157" s="238">
        <f t="shared" si="29"/>
        <v>0</v>
      </c>
      <c r="F157" s="238">
        <f t="shared" si="29"/>
        <v>0.19342796797485143</v>
      </c>
      <c r="G157" s="238">
        <f t="shared" si="29"/>
        <v>0</v>
      </c>
    </row>
    <row r="158" spans="1:7">
      <c r="A158" s="216" t="s">
        <v>336</v>
      </c>
      <c r="B158" s="217"/>
      <c r="C158" s="217" t="s">
        <v>337</v>
      </c>
      <c r="D158" s="235">
        <f t="shared" ref="D158:G158" si="30">D133-D142-D111</f>
        <v>-40171</v>
      </c>
      <c r="E158" s="235">
        <f t="shared" si="30"/>
        <v>0</v>
      </c>
      <c r="F158" s="235">
        <f t="shared" si="30"/>
        <v>-64386</v>
      </c>
      <c r="G158" s="235">
        <f t="shared" si="30"/>
        <v>0</v>
      </c>
    </row>
    <row r="159" spans="1:7">
      <c r="A159" s="219" t="s">
        <v>338</v>
      </c>
      <c r="B159" s="220"/>
      <c r="C159" s="220" t="s">
        <v>339</v>
      </c>
      <c r="D159" s="239">
        <f t="shared" ref="D159:G159" si="31">D121-D123-D124-D142-D145</f>
        <v>-68780</v>
      </c>
      <c r="E159" s="239">
        <f t="shared" si="31"/>
        <v>0</v>
      </c>
      <c r="F159" s="239">
        <f t="shared" si="31"/>
        <v>-92729</v>
      </c>
      <c r="G159" s="239">
        <f t="shared" si="31"/>
        <v>0</v>
      </c>
    </row>
    <row r="160" spans="1:7">
      <c r="A160" s="219" t="s">
        <v>340</v>
      </c>
      <c r="B160" s="220"/>
      <c r="C160" s="220" t="s">
        <v>341</v>
      </c>
      <c r="D160" s="240">
        <f t="shared" ref="D160:G160" si="32">IF(D175=0,"-",1000*D158/D175)</f>
        <v>-1085.6440192422031</v>
      </c>
      <c r="E160" s="240">
        <f t="shared" si="32"/>
        <v>0</v>
      </c>
      <c r="F160" s="240">
        <f t="shared" si="32"/>
        <v>-1731.2718472707718</v>
      </c>
      <c r="G160" s="240">
        <f t="shared" si="32"/>
        <v>0</v>
      </c>
    </row>
    <row r="161" spans="1:7">
      <c r="A161" s="219" t="s">
        <v>340</v>
      </c>
      <c r="B161" s="220"/>
      <c r="C161" s="220" t="s">
        <v>342</v>
      </c>
      <c r="D161" s="239">
        <f t="shared" ref="D161:G161" si="33">IF(D175=0,0,1000*(D159/D175))</f>
        <v>-1858.8184422463651</v>
      </c>
      <c r="E161" s="239">
        <f t="shared" si="33"/>
        <v>0</v>
      </c>
      <c r="F161" s="239">
        <f t="shared" si="33"/>
        <v>-2493.3853186340411</v>
      </c>
      <c r="G161" s="239">
        <f t="shared" si="33"/>
        <v>0</v>
      </c>
    </row>
    <row r="162" spans="1:7">
      <c r="A162" s="236" t="s">
        <v>343</v>
      </c>
      <c r="B162" s="237"/>
      <c r="C162" s="237" t="s">
        <v>344</v>
      </c>
      <c r="D162" s="238">
        <f t="shared" ref="D162:G162" si="34">IF((D22+D23+D65+D66)=0,0,D158/(D22+D23+D65+D66))</f>
        <v>-0.45684684582229246</v>
      </c>
      <c r="E162" s="238">
        <f t="shared" si="34"/>
        <v>0</v>
      </c>
      <c r="F162" s="238">
        <f t="shared" si="34"/>
        <v>-0.51690751445086702</v>
      </c>
      <c r="G162" s="238">
        <f t="shared" si="34"/>
        <v>0</v>
      </c>
    </row>
    <row r="163" spans="1:7">
      <c r="A163" s="219" t="s">
        <v>345</v>
      </c>
      <c r="B163" s="220"/>
      <c r="C163" s="220" t="s">
        <v>316</v>
      </c>
      <c r="D163" s="218">
        <f t="shared" ref="D163:G163" si="35">D145</f>
        <v>175510</v>
      </c>
      <c r="E163" s="218">
        <f t="shared" si="35"/>
        <v>0</v>
      </c>
      <c r="F163" s="218">
        <f t="shared" si="35"/>
        <v>192971</v>
      </c>
      <c r="G163" s="218">
        <f t="shared" si="35"/>
        <v>0</v>
      </c>
    </row>
    <row r="164" spans="1:7" ht="28">
      <c r="A164" s="222" t="s">
        <v>346</v>
      </c>
      <c r="B164" s="237"/>
      <c r="C164" s="237" t="s">
        <v>347</v>
      </c>
      <c r="D164" s="241">
        <f t="shared" ref="D164:G164" si="36">IF(D178=0,0,D146/D178)</f>
        <v>0.6164823569137261</v>
      </c>
      <c r="E164" s="241">
        <f t="shared" si="36"/>
        <v>0</v>
      </c>
      <c r="F164" s="241">
        <f t="shared" si="36"/>
        <v>0.58081378177507514</v>
      </c>
      <c r="G164" s="241">
        <f t="shared" si="36"/>
        <v>0</v>
      </c>
    </row>
    <row r="165" spans="1:7">
      <c r="A165" s="242" t="s">
        <v>348</v>
      </c>
      <c r="B165" s="243"/>
      <c r="C165" s="243" t="s">
        <v>349</v>
      </c>
      <c r="D165" s="244">
        <f t="shared" ref="D165:G165" si="37">IF(D177=0,0,D180/D177)</f>
        <v>6.9054917158405019E-2</v>
      </c>
      <c r="E165" s="244">
        <f t="shared" si="37"/>
        <v>7.4159846080015496E-2</v>
      </c>
      <c r="F165" s="244">
        <f t="shared" si="37"/>
        <v>6.7088076715268619E-2</v>
      </c>
      <c r="G165" s="244">
        <f t="shared" si="37"/>
        <v>7.1405755829385589E-2</v>
      </c>
    </row>
    <row r="166" spans="1:7">
      <c r="A166" s="219" t="s">
        <v>350</v>
      </c>
      <c r="B166" s="220"/>
      <c r="C166" s="220" t="s">
        <v>218</v>
      </c>
      <c r="D166" s="218">
        <f t="shared" ref="D166:G166" si="38">D55</f>
        <v>19874</v>
      </c>
      <c r="E166" s="218">
        <f t="shared" si="38"/>
        <v>19484</v>
      </c>
      <c r="F166" s="218">
        <f t="shared" si="38"/>
        <v>20146</v>
      </c>
      <c r="G166" s="218">
        <f t="shared" si="38"/>
        <v>20094</v>
      </c>
    </row>
    <row r="167" spans="1:7">
      <c r="A167" s="236" t="s">
        <v>351</v>
      </c>
      <c r="B167" s="237"/>
      <c r="C167" s="237" t="s">
        <v>352</v>
      </c>
      <c r="D167" s="238">
        <f t="shared" ref="D167:G167" si="39">IF(0=D111,0,(D44+D45+D46+D47+D48)/D111)</f>
        <v>9.7724561939279402E-3</v>
      </c>
      <c r="E167" s="238">
        <f t="shared" si="39"/>
        <v>0</v>
      </c>
      <c r="F167" s="238">
        <f t="shared" si="39"/>
        <v>8.3162933092678689E-3</v>
      </c>
      <c r="G167" s="238">
        <f t="shared" si="39"/>
        <v>0</v>
      </c>
    </row>
    <row r="168" spans="1:7">
      <c r="A168" s="219" t="s">
        <v>353</v>
      </c>
      <c r="B168" s="217"/>
      <c r="C168" s="217" t="s">
        <v>354</v>
      </c>
      <c r="D168" s="218">
        <f t="shared" ref="D168:G168" si="40">D38-D44</f>
        <v>-984</v>
      </c>
      <c r="E168" s="218">
        <f t="shared" si="40"/>
        <v>-852</v>
      </c>
      <c r="F168" s="218">
        <f t="shared" si="40"/>
        <v>-670</v>
      </c>
      <c r="G168" s="218">
        <f t="shared" si="40"/>
        <v>-832</v>
      </c>
    </row>
    <row r="169" spans="1:7">
      <c r="A169" s="236" t="s">
        <v>355</v>
      </c>
      <c r="B169" s="237"/>
      <c r="C169" s="237" t="s">
        <v>356</v>
      </c>
      <c r="D169" s="221">
        <f t="shared" ref="D169:G169" si="41">IF(D177=0,0,D168/D177)</f>
        <v>-4.4290208893149868E-3</v>
      </c>
      <c r="E169" s="221">
        <f t="shared" si="41"/>
        <v>-3.7511392104116127E-3</v>
      </c>
      <c r="F169" s="221">
        <f t="shared" si="41"/>
        <v>-2.5314829578300278E-3</v>
      </c>
      <c r="G169" s="221">
        <f t="shared" si="41"/>
        <v>-3.7430436523468256E-3</v>
      </c>
    </row>
    <row r="170" spans="1:7">
      <c r="A170" s="219" t="s">
        <v>357</v>
      </c>
      <c r="B170" s="220"/>
      <c r="C170" s="220" t="s">
        <v>358</v>
      </c>
      <c r="D170" s="218">
        <f t="shared" ref="D170:G170" si="42">SUM(D82:D87)+SUM(D89:D94)</f>
        <v>30843</v>
      </c>
      <c r="E170" s="218">
        <f t="shared" si="42"/>
        <v>24689</v>
      </c>
      <c r="F170" s="218">
        <f t="shared" si="42"/>
        <v>15824</v>
      </c>
      <c r="G170" s="218">
        <f t="shared" si="42"/>
        <v>19709</v>
      </c>
    </row>
    <row r="171" spans="1:7">
      <c r="A171" s="219" t="s">
        <v>359</v>
      </c>
      <c r="B171" s="220"/>
      <c r="C171" s="220" t="s">
        <v>360</v>
      </c>
      <c r="D171" s="239">
        <f t="shared" ref="D171:G171" si="43">SUM(D96:D102)+SUM(D104:D105)</f>
        <v>6320</v>
      </c>
      <c r="E171" s="239">
        <f t="shared" si="43"/>
        <v>10359</v>
      </c>
      <c r="F171" s="239">
        <f t="shared" si="43"/>
        <v>4181</v>
      </c>
      <c r="G171" s="239">
        <f t="shared" si="43"/>
        <v>4961</v>
      </c>
    </row>
    <row r="172" spans="1:7">
      <c r="A172" s="242" t="s">
        <v>361</v>
      </c>
      <c r="B172" s="243"/>
      <c r="C172" s="243" t="s">
        <v>362</v>
      </c>
      <c r="D172" s="244">
        <f t="shared" ref="D172:G172" si="44">IF(D184=0,0,D170/D184)</f>
        <v>0.12330935884570639</v>
      </c>
      <c r="E172" s="244">
        <f t="shared" si="44"/>
        <v>9.8723223889668629E-2</v>
      </c>
      <c r="F172" s="244">
        <f t="shared" si="44"/>
        <v>6.5832938102726682E-2</v>
      </c>
      <c r="G172" s="244">
        <f t="shared" si="44"/>
        <v>8.007882333820901E-2</v>
      </c>
    </row>
    <row r="173" spans="1:7">
      <c r="A173" s="389"/>
    </row>
    <row r="174" spans="1:7">
      <c r="A174" s="310" t="s">
        <v>363</v>
      </c>
      <c r="B174" s="248"/>
      <c r="C174" s="247"/>
      <c r="D174" s="161"/>
      <c r="E174" s="161"/>
      <c r="F174" s="161"/>
      <c r="G174" s="161"/>
    </row>
    <row r="175" spans="1:7" s="91" customFormat="1">
      <c r="A175" s="312" t="s">
        <v>364</v>
      </c>
      <c r="B175" s="248"/>
      <c r="C175" s="248" t="s">
        <v>365</v>
      </c>
      <c r="D175" s="314">
        <v>37002</v>
      </c>
      <c r="E175" s="314">
        <f>+D175+200</f>
        <v>37202</v>
      </c>
      <c r="F175" s="314">
        <v>37190</v>
      </c>
      <c r="G175" s="314">
        <v>37500</v>
      </c>
    </row>
    <row r="176" spans="1:7">
      <c r="A176" s="310" t="s">
        <v>366</v>
      </c>
      <c r="B176" s="248"/>
      <c r="C176" s="248"/>
      <c r="D176" s="248"/>
      <c r="E176" s="248"/>
      <c r="F176" s="248"/>
      <c r="G176" s="248"/>
    </row>
    <row r="177" spans="1:7">
      <c r="A177" s="312" t="s">
        <v>367</v>
      </c>
      <c r="B177" s="248"/>
      <c r="C177" s="248" t="s">
        <v>368</v>
      </c>
      <c r="D177" s="249">
        <f t="shared" ref="D177:G177" si="45">SUM(D22:D32)+SUM(D44:D53)+SUM(D65:D72)+D75</f>
        <v>222171</v>
      </c>
      <c r="E177" s="249">
        <f t="shared" si="45"/>
        <v>227131</v>
      </c>
      <c r="F177" s="249">
        <f t="shared" si="45"/>
        <v>264667</v>
      </c>
      <c r="G177" s="249">
        <f t="shared" si="45"/>
        <v>222279</v>
      </c>
    </row>
    <row r="178" spans="1:7">
      <c r="A178" s="312" t="s">
        <v>369</v>
      </c>
      <c r="B178" s="248"/>
      <c r="C178" s="248" t="s">
        <v>370</v>
      </c>
      <c r="D178" s="249">
        <f t="shared" ref="D178:G178" si="46">D78-D17-D20-D59-D63-D64</f>
        <v>236920</v>
      </c>
      <c r="E178" s="249">
        <f t="shared" si="46"/>
        <v>245374</v>
      </c>
      <c r="F178" s="249">
        <f t="shared" si="46"/>
        <v>247167</v>
      </c>
      <c r="G178" s="249">
        <f t="shared" si="46"/>
        <v>245720</v>
      </c>
    </row>
    <row r="179" spans="1:7">
      <c r="A179" s="312"/>
      <c r="B179" s="248"/>
      <c r="C179" s="248" t="s">
        <v>371</v>
      </c>
      <c r="D179" s="249">
        <f t="shared" ref="D179:G179" si="47">D178+D170</f>
        <v>267763</v>
      </c>
      <c r="E179" s="249">
        <f t="shared" si="47"/>
        <v>270063</v>
      </c>
      <c r="F179" s="249">
        <f t="shared" si="47"/>
        <v>262991</v>
      </c>
      <c r="G179" s="249">
        <f t="shared" si="47"/>
        <v>265429</v>
      </c>
    </row>
    <row r="180" spans="1:7">
      <c r="A180" s="312" t="s">
        <v>372</v>
      </c>
      <c r="B180" s="248"/>
      <c r="C180" s="248" t="s">
        <v>373</v>
      </c>
      <c r="D180" s="249">
        <f t="shared" ref="D180:G180" si="48">D38-D44+D8+D9+D10+D16-D33</f>
        <v>15342</v>
      </c>
      <c r="E180" s="249">
        <f t="shared" si="48"/>
        <v>16844</v>
      </c>
      <c r="F180" s="249">
        <f t="shared" si="48"/>
        <v>17756</v>
      </c>
      <c r="G180" s="249">
        <f t="shared" si="48"/>
        <v>15872</v>
      </c>
    </row>
    <row r="181" spans="1:7" ht="27.5" customHeight="1">
      <c r="A181" s="315" t="s">
        <v>374</v>
      </c>
      <c r="B181" s="251"/>
      <c r="C181" s="251" t="s">
        <v>375</v>
      </c>
      <c r="D181" s="252">
        <f t="shared" ref="D181:G181" si="49">D22+D23+D24+D25+D26+D29+SUM(D44:D47)+SUM(D49:D53)-D54+D32-D33+SUM(D65:D70)+D72</f>
        <v>221244</v>
      </c>
      <c r="E181" s="252">
        <f t="shared" si="49"/>
        <v>226026</v>
      </c>
      <c r="F181" s="252">
        <f t="shared" si="49"/>
        <v>263120</v>
      </c>
      <c r="G181" s="252">
        <f t="shared" si="49"/>
        <v>221110</v>
      </c>
    </row>
    <row r="182" spans="1:7">
      <c r="A182" s="317" t="s">
        <v>376</v>
      </c>
      <c r="B182" s="251"/>
      <c r="C182" s="251" t="s">
        <v>377</v>
      </c>
      <c r="D182" s="252">
        <f t="shared" ref="D182:G182" si="50">D181+D171</f>
        <v>227564</v>
      </c>
      <c r="E182" s="252">
        <f t="shared" si="50"/>
        <v>236385</v>
      </c>
      <c r="F182" s="252">
        <f t="shared" si="50"/>
        <v>267301</v>
      </c>
      <c r="G182" s="252">
        <f t="shared" si="50"/>
        <v>226071</v>
      </c>
    </row>
    <row r="183" spans="1:7">
      <c r="A183" s="317" t="s">
        <v>378</v>
      </c>
      <c r="B183" s="251"/>
      <c r="C183" s="251" t="s">
        <v>379</v>
      </c>
      <c r="D183" s="252">
        <f t="shared" ref="D183" si="51">D4+D5-D7+D38+D39+D40+D41+D43+D13-D16+D57+D58+D60+D62</f>
        <v>219284</v>
      </c>
      <c r="E183" s="252">
        <f>E4+E5-E7+E38+E39+E40+E41+E43+E13-E16+E57+E58+E60+E62</f>
        <v>225394</v>
      </c>
      <c r="F183" s="252">
        <f>F4+F5-F7+F38+F39+F40+F41+F43+F13-F16+F57+F58+F60+F62</f>
        <v>224542</v>
      </c>
      <c r="G183" s="252">
        <f>G4+G5-G7+G38+G39+G40+G41+G43+G13-G16+G57+G58+G60+G62</f>
        <v>226411</v>
      </c>
    </row>
    <row r="184" spans="1:7">
      <c r="A184" s="317" t="s">
        <v>380</v>
      </c>
      <c r="B184" s="251"/>
      <c r="C184" s="251" t="s">
        <v>381</v>
      </c>
      <c r="D184" s="252">
        <f t="shared" ref="D184:G184" si="52">D183+D170</f>
        <v>250127</v>
      </c>
      <c r="E184" s="252">
        <f t="shared" si="52"/>
        <v>250083</v>
      </c>
      <c r="F184" s="252">
        <f t="shared" si="52"/>
        <v>240366</v>
      </c>
      <c r="G184" s="252">
        <f t="shared" si="52"/>
        <v>246120</v>
      </c>
    </row>
    <row r="185" spans="1:7">
      <c r="A185" s="317"/>
      <c r="B185" s="251"/>
      <c r="C185" s="251" t="s">
        <v>382</v>
      </c>
      <c r="D185" s="252">
        <f t="shared" ref="D185:G186" si="53">D181-D183</f>
        <v>1960</v>
      </c>
      <c r="E185" s="252">
        <f t="shared" si="53"/>
        <v>632</v>
      </c>
      <c r="F185" s="252">
        <f t="shared" si="53"/>
        <v>38578</v>
      </c>
      <c r="G185" s="252">
        <f t="shared" si="53"/>
        <v>-5301</v>
      </c>
    </row>
    <row r="186" spans="1:7">
      <c r="A186" s="317"/>
      <c r="B186" s="251"/>
      <c r="C186" s="251" t="s">
        <v>383</v>
      </c>
      <c r="D186" s="252">
        <f t="shared" si="53"/>
        <v>-22563</v>
      </c>
      <c r="E186" s="252">
        <f t="shared" si="53"/>
        <v>-13698</v>
      </c>
      <c r="F186" s="252">
        <f t="shared" si="53"/>
        <v>26935</v>
      </c>
      <c r="G186" s="252">
        <f t="shared" si="53"/>
        <v>-20049</v>
      </c>
    </row>
  </sheetData>
  <sheetProtection selectLockedCells="1" sort="0" autoFilter="0" pivotTables="0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8" man="1"/>
    <brk id="148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M186"/>
  <sheetViews>
    <sheetView tabSelected="1" zoomScale="115" zoomScaleNormal="115" workbookViewId="0">
      <pane xSplit="3" ySplit="2" topLeftCell="D3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11.5" defaultRowHeight="13"/>
  <cols>
    <col min="1" max="1" width="15.1640625" style="84" customWidth="1"/>
    <col min="2" max="2" width="3.6640625" style="84" customWidth="1"/>
    <col min="3" max="3" width="44.6640625" style="84" customWidth="1"/>
    <col min="4" max="5" width="11.5" style="84"/>
    <col min="6" max="7" width="11.5" style="84" customWidth="1"/>
    <col min="8" max="16384" width="11.5" style="84"/>
  </cols>
  <sheetData>
    <row r="1" spans="1:39" s="77" customFormat="1" ht="18" customHeight="1">
      <c r="A1" s="72" t="s">
        <v>156</v>
      </c>
      <c r="B1" s="73" t="s">
        <v>622</v>
      </c>
      <c r="C1" s="73" t="s">
        <v>91</v>
      </c>
      <c r="D1" s="74" t="s">
        <v>7</v>
      </c>
      <c r="E1" s="75" t="s">
        <v>9</v>
      </c>
      <c r="F1" s="74" t="s">
        <v>7</v>
      </c>
      <c r="G1" s="75" t="s">
        <v>9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</row>
    <row r="2" spans="1:39" s="83" customFormat="1" ht="15" customHeight="1">
      <c r="A2" s="78"/>
      <c r="B2" s="79"/>
      <c r="C2" s="80" t="s">
        <v>158</v>
      </c>
      <c r="D2" s="81">
        <v>2014</v>
      </c>
      <c r="E2" s="82">
        <v>2015</v>
      </c>
      <c r="F2" s="81">
        <v>2015</v>
      </c>
      <c r="G2" s="82">
        <v>2016</v>
      </c>
    </row>
    <row r="3" spans="1:39" ht="15" customHeight="1">
      <c r="A3" s="678" t="s">
        <v>159</v>
      </c>
      <c r="B3" s="679"/>
      <c r="C3" s="679"/>
      <c r="D3" s="91"/>
      <c r="E3" s="394" t="s">
        <v>389</v>
      </c>
      <c r="F3" s="85"/>
      <c r="G3" s="85"/>
    </row>
    <row r="4" spans="1:39" s="91" customFormat="1" ht="12.75" customHeight="1">
      <c r="A4" s="86">
        <v>30</v>
      </c>
      <c r="B4" s="87"/>
      <c r="C4" s="88" t="s">
        <v>14</v>
      </c>
      <c r="D4" s="270">
        <v>74915.600000000006</v>
      </c>
      <c r="E4" s="90">
        <v>76471</v>
      </c>
      <c r="F4" s="90">
        <v>74208.100000000006</v>
      </c>
      <c r="G4" s="90">
        <v>76608.600000000006</v>
      </c>
    </row>
    <row r="5" spans="1:39" s="91" customFormat="1" ht="12.75" customHeight="1">
      <c r="A5" s="92">
        <v>31</v>
      </c>
      <c r="B5" s="93"/>
      <c r="C5" s="94" t="s">
        <v>160</v>
      </c>
      <c r="D5" s="95">
        <v>29150.5</v>
      </c>
      <c r="E5" s="96">
        <v>28287</v>
      </c>
      <c r="F5" s="96">
        <v>27678.799999999999</v>
      </c>
      <c r="G5" s="96">
        <v>30447.200000000001</v>
      </c>
    </row>
    <row r="6" spans="1:39" s="91" customFormat="1" ht="12.75" customHeight="1">
      <c r="A6" s="97" t="s">
        <v>17</v>
      </c>
      <c r="B6" s="98"/>
      <c r="C6" s="99" t="s">
        <v>161</v>
      </c>
      <c r="D6" s="100">
        <v>5386.7</v>
      </c>
      <c r="E6" s="96">
        <v>4712</v>
      </c>
      <c r="F6" s="96">
        <v>5099.3999999999996</v>
      </c>
      <c r="G6" s="96">
        <v>6172.2</v>
      </c>
    </row>
    <row r="7" spans="1:39" s="91" customFormat="1" ht="12.75" customHeight="1">
      <c r="A7" s="97" t="s">
        <v>162</v>
      </c>
      <c r="B7" s="98"/>
      <c r="C7" s="99" t="s">
        <v>163</v>
      </c>
      <c r="D7" s="100">
        <v>1014.7</v>
      </c>
      <c r="E7" s="96">
        <v>406</v>
      </c>
      <c r="F7" s="96">
        <v>-602.70000000000005</v>
      </c>
      <c r="G7" s="96">
        <v>376</v>
      </c>
    </row>
    <row r="8" spans="1:39" s="91" customFormat="1" ht="12.75" customHeight="1">
      <c r="A8" s="101">
        <v>330</v>
      </c>
      <c r="B8" s="93"/>
      <c r="C8" s="94" t="s">
        <v>164</v>
      </c>
      <c r="D8" s="95">
        <v>6916.6</v>
      </c>
      <c r="E8" s="96">
        <v>7253</v>
      </c>
      <c r="F8" s="96">
        <v>7681.8</v>
      </c>
      <c r="G8" s="96">
        <v>7399</v>
      </c>
    </row>
    <row r="9" spans="1:39" s="91" customFormat="1" ht="12.75" customHeight="1">
      <c r="A9" s="101">
        <v>332</v>
      </c>
      <c r="B9" s="93"/>
      <c r="C9" s="94" t="s">
        <v>165</v>
      </c>
      <c r="D9" s="95">
        <v>779</v>
      </c>
      <c r="E9" s="96">
        <v>1025</v>
      </c>
      <c r="F9" s="96">
        <v>903.9</v>
      </c>
      <c r="G9" s="96">
        <v>929</v>
      </c>
    </row>
    <row r="10" spans="1:39" s="91" customFormat="1" ht="12.75" customHeight="1">
      <c r="A10" s="101">
        <v>339</v>
      </c>
      <c r="B10" s="93"/>
      <c r="C10" s="94" t="s">
        <v>166</v>
      </c>
      <c r="D10" s="95">
        <v>0</v>
      </c>
      <c r="E10" s="96">
        <v>0</v>
      </c>
      <c r="F10" s="96">
        <v>0</v>
      </c>
      <c r="G10" s="96">
        <v>0</v>
      </c>
    </row>
    <row r="11" spans="1:39" s="91" customFormat="1" ht="12.75" customHeight="1">
      <c r="A11" s="92">
        <v>350</v>
      </c>
      <c r="B11" s="93"/>
      <c r="C11" s="94" t="s">
        <v>167</v>
      </c>
      <c r="D11" s="95">
        <v>123.7</v>
      </c>
      <c r="E11" s="96">
        <v>0</v>
      </c>
      <c r="F11" s="96">
        <v>9.4</v>
      </c>
      <c r="G11" s="96">
        <v>11.6</v>
      </c>
    </row>
    <row r="12" spans="1:39" s="106" customFormat="1" ht="14">
      <c r="A12" s="102">
        <v>351</v>
      </c>
      <c r="B12" s="103"/>
      <c r="C12" s="104" t="s">
        <v>168</v>
      </c>
      <c r="D12" s="105">
        <v>742.9</v>
      </c>
      <c r="E12" s="96">
        <v>346</v>
      </c>
      <c r="F12" s="96">
        <v>387.4</v>
      </c>
      <c r="G12" s="96">
        <v>643.1</v>
      </c>
    </row>
    <row r="13" spans="1:39" s="91" customFormat="1" ht="12.75" customHeight="1">
      <c r="A13" s="92">
        <v>36</v>
      </c>
      <c r="B13" s="93"/>
      <c r="C13" s="94" t="s">
        <v>169</v>
      </c>
      <c r="D13" s="95">
        <v>198838.1</v>
      </c>
      <c r="E13" s="96">
        <v>204654</v>
      </c>
      <c r="F13" s="96">
        <v>203535.2</v>
      </c>
      <c r="G13" s="96">
        <v>218246.6</v>
      </c>
    </row>
    <row r="14" spans="1:39" s="153" customFormat="1" ht="14">
      <c r="A14" s="107" t="s">
        <v>170</v>
      </c>
      <c r="B14" s="152"/>
      <c r="C14" s="108" t="s">
        <v>171</v>
      </c>
      <c r="D14" s="143">
        <v>23606</v>
      </c>
      <c r="E14" s="96">
        <v>24126</v>
      </c>
      <c r="F14" s="96">
        <v>23370.9</v>
      </c>
      <c r="G14" s="96">
        <v>23377.5</v>
      </c>
    </row>
    <row r="15" spans="1:39" s="153" customFormat="1" ht="14">
      <c r="A15" s="107" t="s">
        <v>172</v>
      </c>
      <c r="B15" s="152"/>
      <c r="C15" s="108" t="s">
        <v>173</v>
      </c>
      <c r="D15" s="143">
        <v>7170</v>
      </c>
      <c r="E15" s="96">
        <v>7648</v>
      </c>
      <c r="F15" s="96">
        <v>7700.9</v>
      </c>
      <c r="G15" s="96">
        <v>7674</v>
      </c>
    </row>
    <row r="16" spans="1:39" s="111" customFormat="1" ht="26.25" customHeight="1">
      <c r="A16" s="107" t="s">
        <v>174</v>
      </c>
      <c r="B16" s="109"/>
      <c r="C16" s="108" t="s">
        <v>175</v>
      </c>
      <c r="D16" s="110">
        <v>11549</v>
      </c>
      <c r="E16" s="110">
        <v>10180</v>
      </c>
      <c r="F16" s="96">
        <v>11037.5</v>
      </c>
      <c r="G16" s="96">
        <v>9326</v>
      </c>
    </row>
    <row r="17" spans="1:7" s="113" customFormat="1">
      <c r="A17" s="92">
        <v>37</v>
      </c>
      <c r="B17" s="93"/>
      <c r="C17" s="94" t="s">
        <v>176</v>
      </c>
      <c r="D17" s="130">
        <v>23894</v>
      </c>
      <c r="E17" s="96">
        <v>22654</v>
      </c>
      <c r="F17" s="96">
        <v>23247.7</v>
      </c>
      <c r="G17" s="96">
        <v>23406.5</v>
      </c>
    </row>
    <row r="18" spans="1:7" s="113" customFormat="1">
      <c r="A18" s="114" t="s">
        <v>177</v>
      </c>
      <c r="B18" s="98"/>
      <c r="C18" s="99" t="s">
        <v>178</v>
      </c>
      <c r="D18" s="130">
        <v>0</v>
      </c>
      <c r="E18" s="96">
        <v>0</v>
      </c>
      <c r="F18" s="96">
        <v>0</v>
      </c>
      <c r="G18" s="96">
        <v>0</v>
      </c>
    </row>
    <row r="19" spans="1:7" s="113" customFormat="1">
      <c r="A19" s="114" t="s">
        <v>179</v>
      </c>
      <c r="B19" s="98"/>
      <c r="C19" s="99" t="s">
        <v>180</v>
      </c>
      <c r="D19" s="130">
        <v>0</v>
      </c>
      <c r="E19" s="96">
        <v>0</v>
      </c>
      <c r="F19" s="96">
        <v>0</v>
      </c>
      <c r="G19" s="96">
        <v>0</v>
      </c>
    </row>
    <row r="20" spans="1:7" s="91" customFormat="1" ht="12.75" customHeight="1">
      <c r="A20" s="116">
        <v>39</v>
      </c>
      <c r="B20" s="117"/>
      <c r="C20" s="118" t="s">
        <v>181</v>
      </c>
      <c r="D20" s="177">
        <v>31786</v>
      </c>
      <c r="E20" s="120">
        <v>31451</v>
      </c>
      <c r="F20" s="120">
        <v>31525.599999999999</v>
      </c>
      <c r="G20" s="120">
        <v>33411.4</v>
      </c>
    </row>
    <row r="21" spans="1:7" ht="12.75" customHeight="1">
      <c r="A21" s="121"/>
      <c r="B21" s="121"/>
      <c r="C21" s="122" t="s">
        <v>182</v>
      </c>
      <c r="D21" s="123">
        <f t="shared" ref="D21:G21" si="0">D4+D5+SUM(D8:D13)+D17</f>
        <v>335360.40000000002</v>
      </c>
      <c r="E21" s="123">
        <f t="shared" si="0"/>
        <v>340690</v>
      </c>
      <c r="F21" s="123">
        <f t="shared" si="0"/>
        <v>337652.30000000005</v>
      </c>
      <c r="G21" s="123">
        <f t="shared" si="0"/>
        <v>357691.60000000003</v>
      </c>
    </row>
    <row r="22" spans="1:7" s="91" customFormat="1" ht="12.75" customHeight="1">
      <c r="A22" s="101" t="s">
        <v>183</v>
      </c>
      <c r="B22" s="93"/>
      <c r="C22" s="94" t="s">
        <v>184</v>
      </c>
      <c r="D22" s="95">
        <f>128097.8+12378.8</f>
        <v>140476.6</v>
      </c>
      <c r="E22" s="124">
        <f>128400+11700</f>
        <v>140100</v>
      </c>
      <c r="F22" s="124">
        <v>161473</v>
      </c>
      <c r="G22" s="124">
        <v>147052</v>
      </c>
    </row>
    <row r="23" spans="1:7" s="91" customFormat="1" ht="12.75" customHeight="1">
      <c r="A23" s="101" t="s">
        <v>185</v>
      </c>
      <c r="B23" s="93"/>
      <c r="C23" s="94" t="s">
        <v>186</v>
      </c>
      <c r="D23" s="95">
        <f>18401.7+11273</f>
        <v>29674.7</v>
      </c>
      <c r="E23" s="124">
        <f>16500+11473</f>
        <v>27973</v>
      </c>
      <c r="F23" s="124">
        <v>30872</v>
      </c>
      <c r="G23" s="124">
        <v>28661</v>
      </c>
    </row>
    <row r="24" spans="1:7" s="125" customFormat="1" ht="12.75" customHeight="1">
      <c r="A24" s="92">
        <v>41</v>
      </c>
      <c r="B24" s="93"/>
      <c r="C24" s="94" t="s">
        <v>187</v>
      </c>
      <c r="D24" s="95">
        <v>8258.1</v>
      </c>
      <c r="E24" s="124">
        <v>10541</v>
      </c>
      <c r="F24" s="124">
        <v>15740.4</v>
      </c>
      <c r="G24" s="124">
        <v>12277</v>
      </c>
    </row>
    <row r="25" spans="1:7" s="91" customFormat="1" ht="12.75" customHeight="1">
      <c r="A25" s="126">
        <v>42</v>
      </c>
      <c r="B25" s="127"/>
      <c r="C25" s="94" t="s">
        <v>188</v>
      </c>
      <c r="D25" s="95">
        <v>19089.7</v>
      </c>
      <c r="E25" s="124">
        <v>19221</v>
      </c>
      <c r="F25" s="124">
        <v>19140.7</v>
      </c>
      <c r="G25" s="124">
        <v>18939.099999999999</v>
      </c>
    </row>
    <row r="26" spans="1:7" s="129" customFormat="1" ht="12.75" customHeight="1">
      <c r="A26" s="102">
        <v>430</v>
      </c>
      <c r="B26" s="93"/>
      <c r="C26" s="94" t="s">
        <v>189</v>
      </c>
      <c r="D26" s="112">
        <v>0</v>
      </c>
      <c r="E26" s="128">
        <v>6</v>
      </c>
      <c r="F26" s="128">
        <v>101.9</v>
      </c>
      <c r="G26" s="128">
        <v>6</v>
      </c>
    </row>
    <row r="27" spans="1:7" s="129" customFormat="1" ht="12.75" customHeight="1">
      <c r="A27" s="102">
        <v>431</v>
      </c>
      <c r="B27" s="93"/>
      <c r="C27" s="94" t="s">
        <v>190</v>
      </c>
      <c r="D27" s="112">
        <v>13.1</v>
      </c>
      <c r="E27" s="128">
        <v>45</v>
      </c>
      <c r="F27" s="128">
        <v>0</v>
      </c>
      <c r="G27" s="128">
        <v>45</v>
      </c>
    </row>
    <row r="28" spans="1:7" s="129" customFormat="1" ht="12.75" customHeight="1">
      <c r="A28" s="102">
        <v>432</v>
      </c>
      <c r="B28" s="93"/>
      <c r="C28" s="94" t="s">
        <v>191</v>
      </c>
      <c r="D28" s="112">
        <v>0</v>
      </c>
      <c r="E28" s="128">
        <v>0</v>
      </c>
      <c r="F28" s="128">
        <v>0</v>
      </c>
      <c r="G28" s="128">
        <v>0</v>
      </c>
    </row>
    <row r="29" spans="1:7" s="129" customFormat="1" ht="12.75" customHeight="1">
      <c r="A29" s="102">
        <v>439</v>
      </c>
      <c r="B29" s="93"/>
      <c r="C29" s="94" t="s">
        <v>192</v>
      </c>
      <c r="D29" s="112">
        <v>0</v>
      </c>
      <c r="E29" s="128">
        <v>0</v>
      </c>
      <c r="F29" s="128">
        <v>0</v>
      </c>
      <c r="G29" s="128">
        <v>0</v>
      </c>
    </row>
    <row r="30" spans="1:7" s="91" customFormat="1" ht="14">
      <c r="A30" s="447">
        <v>450</v>
      </c>
      <c r="B30" s="472"/>
      <c r="C30" s="473" t="s">
        <v>193</v>
      </c>
      <c r="D30" s="474">
        <v>21.6</v>
      </c>
      <c r="E30" s="475">
        <v>147</v>
      </c>
      <c r="F30" s="475">
        <v>102.8</v>
      </c>
      <c r="G30" s="475">
        <v>94.5</v>
      </c>
    </row>
    <row r="31" spans="1:7" s="106" customFormat="1" ht="14">
      <c r="A31" s="447">
        <v>451</v>
      </c>
      <c r="B31" s="472"/>
      <c r="C31" s="473" t="s">
        <v>194</v>
      </c>
      <c r="D31" s="476">
        <v>408.7</v>
      </c>
      <c r="E31" s="477">
        <v>39</v>
      </c>
      <c r="F31" s="477">
        <v>60.3</v>
      </c>
      <c r="G31" s="477">
        <v>531.5</v>
      </c>
    </row>
    <row r="32" spans="1:7" s="91" customFormat="1" ht="12.75" customHeight="1">
      <c r="A32" s="92">
        <v>46</v>
      </c>
      <c r="B32" s="93"/>
      <c r="C32" s="94" t="s">
        <v>195</v>
      </c>
      <c r="D32" s="95">
        <v>94692.7</v>
      </c>
      <c r="E32" s="124">
        <v>87520</v>
      </c>
      <c r="F32" s="124">
        <v>100272.8</v>
      </c>
      <c r="G32" s="124">
        <v>92053.8</v>
      </c>
    </row>
    <row r="33" spans="1:7" s="106" customFormat="1" ht="12.75" customHeight="1">
      <c r="A33" s="114" t="s">
        <v>196</v>
      </c>
      <c r="B33" s="98"/>
      <c r="C33" s="99" t="s">
        <v>197</v>
      </c>
      <c r="D33" s="95">
        <v>0</v>
      </c>
      <c r="E33" s="132">
        <v>0</v>
      </c>
      <c r="F33" s="132">
        <v>0</v>
      </c>
      <c r="G33" s="132">
        <v>0</v>
      </c>
    </row>
    <row r="34" spans="1:7" s="91" customFormat="1" ht="15" customHeight="1">
      <c r="A34" s="92">
        <v>47</v>
      </c>
      <c r="B34" s="93"/>
      <c r="C34" s="94" t="s">
        <v>176</v>
      </c>
      <c r="D34" s="95">
        <v>23894</v>
      </c>
      <c r="E34" s="128">
        <v>22654</v>
      </c>
      <c r="F34" s="128">
        <v>23247.7</v>
      </c>
      <c r="G34" s="128">
        <v>23406.5</v>
      </c>
    </row>
    <row r="35" spans="1:7" s="91" customFormat="1" ht="15" customHeight="1">
      <c r="A35" s="116">
        <v>49</v>
      </c>
      <c r="B35" s="117"/>
      <c r="C35" s="118" t="s">
        <v>198</v>
      </c>
      <c r="D35" s="177">
        <v>31786</v>
      </c>
      <c r="E35" s="133">
        <v>31451</v>
      </c>
      <c r="F35" s="133">
        <v>31525.599999999999</v>
      </c>
      <c r="G35" s="133">
        <v>33411.4</v>
      </c>
    </row>
    <row r="36" spans="1:7" ht="13.5" customHeight="1">
      <c r="A36" s="121"/>
      <c r="B36" s="134"/>
      <c r="C36" s="122" t="s">
        <v>199</v>
      </c>
      <c r="D36" s="123">
        <f t="shared" ref="D36:G36" si="1">D22+D23+D24+D25+D26+D27+D28+D29+D30+D31+D32+D34</f>
        <v>316529.20000000007</v>
      </c>
      <c r="E36" s="123">
        <f t="shared" si="1"/>
        <v>308246</v>
      </c>
      <c r="F36" s="123">
        <f t="shared" si="1"/>
        <v>351011.6</v>
      </c>
      <c r="G36" s="123">
        <f t="shared" si="1"/>
        <v>323066.40000000002</v>
      </c>
    </row>
    <row r="37" spans="1:7" s="135" customFormat="1" ht="15" customHeight="1">
      <c r="A37" s="121"/>
      <c r="B37" s="134"/>
      <c r="C37" s="122" t="s">
        <v>200</v>
      </c>
      <c r="D37" s="123">
        <f t="shared" ref="D37:G37" si="2">D36-D21</f>
        <v>-18831.199999999953</v>
      </c>
      <c r="E37" s="123">
        <f t="shared" si="2"/>
        <v>-32444</v>
      </c>
      <c r="F37" s="123">
        <f t="shared" si="2"/>
        <v>13359.29999999993</v>
      </c>
      <c r="G37" s="123">
        <f t="shared" si="2"/>
        <v>-34625.200000000012</v>
      </c>
    </row>
    <row r="38" spans="1:7" s="106" customFormat="1" ht="15" customHeight="1">
      <c r="A38" s="101">
        <v>340</v>
      </c>
      <c r="B38" s="93"/>
      <c r="C38" s="94" t="s">
        <v>201</v>
      </c>
      <c r="D38" s="130">
        <v>2870.5</v>
      </c>
      <c r="E38" s="124">
        <v>2887</v>
      </c>
      <c r="F38" s="124">
        <v>2671.2</v>
      </c>
      <c r="G38" s="124">
        <v>2539.5</v>
      </c>
    </row>
    <row r="39" spans="1:7" s="106" customFormat="1" ht="15" customHeight="1">
      <c r="A39" s="101">
        <v>341</v>
      </c>
      <c r="B39" s="93"/>
      <c r="C39" s="94" t="s">
        <v>202</v>
      </c>
      <c r="D39" s="95">
        <v>0</v>
      </c>
      <c r="E39" s="124">
        <v>0</v>
      </c>
      <c r="F39" s="124">
        <v>0</v>
      </c>
      <c r="G39" s="124">
        <v>0</v>
      </c>
    </row>
    <row r="40" spans="1:7" s="106" customFormat="1" ht="15" customHeight="1">
      <c r="A40" s="101">
        <v>342</v>
      </c>
      <c r="B40" s="93"/>
      <c r="C40" s="94" t="s">
        <v>203</v>
      </c>
      <c r="D40" s="95">
        <v>0</v>
      </c>
      <c r="E40" s="124">
        <v>0</v>
      </c>
      <c r="F40" s="124">
        <v>4.2</v>
      </c>
      <c r="G40" s="124">
        <v>0</v>
      </c>
    </row>
    <row r="41" spans="1:7" s="106" customFormat="1" ht="15" customHeight="1">
      <c r="A41" s="101">
        <v>343</v>
      </c>
      <c r="B41" s="93"/>
      <c r="C41" s="94" t="s">
        <v>204</v>
      </c>
      <c r="D41" s="95">
        <v>14.2</v>
      </c>
      <c r="E41" s="124">
        <v>17</v>
      </c>
      <c r="F41" s="124">
        <v>13.3</v>
      </c>
      <c r="G41" s="124">
        <v>19</v>
      </c>
    </row>
    <row r="42" spans="1:7" s="106" customFormat="1" ht="15" customHeight="1">
      <c r="A42" s="101">
        <v>344</v>
      </c>
      <c r="B42" s="93"/>
      <c r="C42" s="94" t="s">
        <v>205</v>
      </c>
      <c r="D42" s="95">
        <v>0</v>
      </c>
      <c r="E42" s="124">
        <v>0</v>
      </c>
      <c r="F42" s="124">
        <v>23.7</v>
      </c>
      <c r="G42" s="124">
        <v>0</v>
      </c>
    </row>
    <row r="43" spans="1:7" s="106" customFormat="1" ht="15" customHeight="1">
      <c r="A43" s="101">
        <v>349</v>
      </c>
      <c r="B43" s="93"/>
      <c r="C43" s="94" t="s">
        <v>206</v>
      </c>
      <c r="D43" s="95">
        <v>0</v>
      </c>
      <c r="E43" s="124">
        <v>0</v>
      </c>
      <c r="F43" s="124">
        <v>57.5</v>
      </c>
      <c r="G43" s="124">
        <v>0</v>
      </c>
    </row>
    <row r="44" spans="1:7" s="91" customFormat="1" ht="15" customHeight="1">
      <c r="A44" s="92">
        <v>440</v>
      </c>
      <c r="B44" s="93"/>
      <c r="C44" s="94" t="s">
        <v>207</v>
      </c>
      <c r="D44" s="130">
        <v>2066.1999999999998</v>
      </c>
      <c r="E44" s="124">
        <v>1779</v>
      </c>
      <c r="F44" s="124">
        <v>2077.5</v>
      </c>
      <c r="G44" s="124">
        <v>1278.3</v>
      </c>
    </row>
    <row r="45" spans="1:7" s="91" customFormat="1" ht="15" customHeight="1">
      <c r="A45" s="92">
        <v>441</v>
      </c>
      <c r="B45" s="93"/>
      <c r="C45" s="94" t="s">
        <v>208</v>
      </c>
      <c r="D45" s="130">
        <v>35.200000000000003</v>
      </c>
      <c r="E45" s="124">
        <v>0</v>
      </c>
      <c r="F45" s="124">
        <v>42</v>
      </c>
      <c r="G45" s="124">
        <v>0</v>
      </c>
    </row>
    <row r="46" spans="1:7" s="91" customFormat="1" ht="15" customHeight="1">
      <c r="A46" s="92">
        <v>442</v>
      </c>
      <c r="B46" s="93"/>
      <c r="C46" s="94" t="s">
        <v>209</v>
      </c>
      <c r="D46" s="130">
        <v>3.7</v>
      </c>
      <c r="E46" s="124">
        <v>4</v>
      </c>
      <c r="F46" s="124">
        <v>3.6</v>
      </c>
      <c r="G46" s="124">
        <v>4</v>
      </c>
    </row>
    <row r="47" spans="1:7" s="91" customFormat="1" ht="15" customHeight="1">
      <c r="A47" s="92">
        <v>443</v>
      </c>
      <c r="B47" s="93"/>
      <c r="C47" s="94" t="s">
        <v>210</v>
      </c>
      <c r="D47" s="130">
        <v>146.80000000000001</v>
      </c>
      <c r="E47" s="124">
        <v>120</v>
      </c>
      <c r="F47" s="124">
        <v>128</v>
      </c>
      <c r="G47" s="124">
        <v>120</v>
      </c>
    </row>
    <row r="48" spans="1:7" s="91" customFormat="1" ht="15" customHeight="1">
      <c r="A48" s="92">
        <v>444</v>
      </c>
      <c r="B48" s="93"/>
      <c r="C48" s="94" t="s">
        <v>205</v>
      </c>
      <c r="D48" s="130">
        <v>10.9</v>
      </c>
      <c r="E48" s="124">
        <v>0</v>
      </c>
      <c r="F48" s="124">
        <v>17.600000000000001</v>
      </c>
      <c r="G48" s="124">
        <v>0</v>
      </c>
    </row>
    <row r="49" spans="1:7" s="91" customFormat="1" ht="15" customHeight="1">
      <c r="A49" s="92">
        <v>445</v>
      </c>
      <c r="B49" s="93"/>
      <c r="C49" s="94" t="s">
        <v>211</v>
      </c>
      <c r="D49" s="130">
        <v>120.1</v>
      </c>
      <c r="E49" s="124">
        <v>55</v>
      </c>
      <c r="F49" s="124">
        <v>14.9</v>
      </c>
      <c r="G49" s="124">
        <v>54</v>
      </c>
    </row>
    <row r="50" spans="1:7" s="91" customFormat="1" ht="15" customHeight="1">
      <c r="A50" s="92">
        <v>446</v>
      </c>
      <c r="B50" s="93"/>
      <c r="C50" s="94" t="s">
        <v>212</v>
      </c>
      <c r="D50" s="130">
        <v>14616.5</v>
      </c>
      <c r="E50" s="124">
        <v>14632</v>
      </c>
      <c r="F50" s="124">
        <v>15078.5</v>
      </c>
      <c r="G50" s="124">
        <v>15117.5</v>
      </c>
    </row>
    <row r="51" spans="1:7" s="91" customFormat="1" ht="15" customHeight="1">
      <c r="A51" s="92">
        <v>447</v>
      </c>
      <c r="B51" s="93"/>
      <c r="C51" s="94" t="s">
        <v>213</v>
      </c>
      <c r="D51" s="130">
        <v>2153.5</v>
      </c>
      <c r="E51" s="124">
        <v>1999</v>
      </c>
      <c r="F51" s="124">
        <v>2042.6</v>
      </c>
      <c r="G51" s="124">
        <v>2042.1</v>
      </c>
    </row>
    <row r="52" spans="1:7" s="91" customFormat="1" ht="15" customHeight="1">
      <c r="A52" s="92">
        <v>448</v>
      </c>
      <c r="B52" s="93"/>
      <c r="C52" s="94" t="s">
        <v>214</v>
      </c>
      <c r="D52" s="130">
        <v>0</v>
      </c>
      <c r="E52" s="124">
        <v>0</v>
      </c>
      <c r="F52" s="124">
        <v>0</v>
      </c>
      <c r="G52" s="124">
        <v>0</v>
      </c>
    </row>
    <row r="53" spans="1:7" s="91" customFormat="1" ht="15" customHeight="1">
      <c r="A53" s="92">
        <v>449</v>
      </c>
      <c r="B53" s="93"/>
      <c r="C53" s="94" t="s">
        <v>215</v>
      </c>
      <c r="D53" s="130">
        <v>383.6</v>
      </c>
      <c r="E53" s="124">
        <v>0</v>
      </c>
      <c r="F53" s="124">
        <v>0</v>
      </c>
      <c r="G53" s="124">
        <v>0</v>
      </c>
    </row>
    <row r="54" spans="1:7" s="106" customFormat="1" ht="13.5" customHeight="1">
      <c r="A54" s="136" t="s">
        <v>216</v>
      </c>
      <c r="B54" s="137"/>
      <c r="C54" s="137" t="s">
        <v>217</v>
      </c>
      <c r="D54" s="264">
        <v>383.6</v>
      </c>
      <c r="E54" s="139">
        <v>0</v>
      </c>
      <c r="F54" s="139">
        <v>0</v>
      </c>
      <c r="G54" s="139">
        <v>0</v>
      </c>
    </row>
    <row r="55" spans="1:7" ht="15" customHeight="1">
      <c r="A55" s="134"/>
      <c r="B55" s="134"/>
      <c r="C55" s="122" t="s">
        <v>218</v>
      </c>
      <c r="D55" s="123">
        <f t="shared" ref="D55:G55" si="3">SUM(D44:D53)-SUM(D38:D43)</f>
        <v>16651.8</v>
      </c>
      <c r="E55" s="123">
        <f t="shared" si="3"/>
        <v>15685</v>
      </c>
      <c r="F55" s="123">
        <f t="shared" si="3"/>
        <v>16634.799999999996</v>
      </c>
      <c r="G55" s="123">
        <f t="shared" si="3"/>
        <v>16057.399999999998</v>
      </c>
    </row>
    <row r="56" spans="1:7" ht="14.25" customHeight="1">
      <c r="A56" s="134"/>
      <c r="B56" s="134"/>
      <c r="C56" s="122" t="s">
        <v>219</v>
      </c>
      <c r="D56" s="123">
        <f t="shared" ref="D56:G56" si="4">D55+D37</f>
        <v>-2179.3999999999542</v>
      </c>
      <c r="E56" s="123">
        <f t="shared" si="4"/>
        <v>-16759</v>
      </c>
      <c r="F56" s="123">
        <f t="shared" si="4"/>
        <v>29994.099999999926</v>
      </c>
      <c r="G56" s="123">
        <f t="shared" si="4"/>
        <v>-18567.800000000014</v>
      </c>
    </row>
    <row r="57" spans="1:7" s="91" customFormat="1" ht="15.75" customHeight="1">
      <c r="A57" s="140">
        <v>380</v>
      </c>
      <c r="B57" s="141"/>
      <c r="C57" s="142" t="s">
        <v>220</v>
      </c>
      <c r="D57" s="265">
        <v>0</v>
      </c>
      <c r="E57" s="266">
        <v>0</v>
      </c>
      <c r="F57" s="266">
        <v>0</v>
      </c>
      <c r="G57" s="266">
        <v>0</v>
      </c>
    </row>
    <row r="58" spans="1:7" s="91" customFormat="1" ht="15.75" customHeight="1">
      <c r="A58" s="140">
        <v>381</v>
      </c>
      <c r="B58" s="141"/>
      <c r="C58" s="142" t="s">
        <v>221</v>
      </c>
      <c r="D58" s="265">
        <v>0</v>
      </c>
      <c r="E58" s="266">
        <v>0</v>
      </c>
      <c r="F58" s="266">
        <v>0</v>
      </c>
      <c r="G58" s="266">
        <v>0</v>
      </c>
    </row>
    <row r="59" spans="1:7" s="106" customFormat="1" ht="14">
      <c r="A59" s="102">
        <v>383</v>
      </c>
      <c r="B59" s="103"/>
      <c r="C59" s="104" t="s">
        <v>222</v>
      </c>
      <c r="D59" s="267">
        <v>0</v>
      </c>
      <c r="E59" s="144">
        <v>0</v>
      </c>
      <c r="F59" s="144">
        <v>0</v>
      </c>
      <c r="G59" s="144">
        <v>0</v>
      </c>
    </row>
    <row r="60" spans="1:7" s="106" customFormat="1" ht="14">
      <c r="A60" s="102">
        <v>3840</v>
      </c>
      <c r="B60" s="103"/>
      <c r="C60" s="104" t="s">
        <v>223</v>
      </c>
      <c r="D60" s="145">
        <v>0</v>
      </c>
      <c r="E60" s="146">
        <v>0</v>
      </c>
      <c r="F60" s="146">
        <v>0</v>
      </c>
      <c r="G60" s="146">
        <v>0</v>
      </c>
    </row>
    <row r="61" spans="1:7" s="106" customFormat="1" ht="14">
      <c r="A61" s="102">
        <v>3841</v>
      </c>
      <c r="B61" s="103"/>
      <c r="C61" s="104" t="s">
        <v>224</v>
      </c>
      <c r="D61" s="145">
        <v>0</v>
      </c>
      <c r="E61" s="146">
        <v>0</v>
      </c>
      <c r="F61" s="146">
        <v>0</v>
      </c>
      <c r="G61" s="146">
        <v>0</v>
      </c>
    </row>
    <row r="62" spans="1:7" s="106" customFormat="1" ht="14">
      <c r="A62" s="147">
        <v>386</v>
      </c>
      <c r="B62" s="148"/>
      <c r="C62" s="149" t="s">
        <v>225</v>
      </c>
      <c r="D62" s="145">
        <v>0</v>
      </c>
      <c r="E62" s="146">
        <v>0</v>
      </c>
      <c r="F62" s="146">
        <v>0</v>
      </c>
      <c r="G62" s="146">
        <v>0</v>
      </c>
    </row>
    <row r="63" spans="1:7" s="106" customFormat="1" ht="28">
      <c r="A63" s="102">
        <v>387</v>
      </c>
      <c r="B63" s="103"/>
      <c r="C63" s="104" t="s">
        <v>226</v>
      </c>
      <c r="D63" s="145">
        <v>0</v>
      </c>
      <c r="E63" s="146">
        <v>0</v>
      </c>
      <c r="F63" s="146">
        <v>0</v>
      </c>
      <c r="G63" s="146">
        <v>0</v>
      </c>
    </row>
    <row r="64" spans="1:7" s="106" customFormat="1">
      <c r="A64" s="101">
        <v>389</v>
      </c>
      <c r="B64" s="150"/>
      <c r="C64" s="94" t="s">
        <v>42</v>
      </c>
      <c r="D64" s="95">
        <v>0</v>
      </c>
      <c r="E64" s="124">
        <v>0</v>
      </c>
      <c r="F64" s="124">
        <v>34440</v>
      </c>
      <c r="G64" s="124">
        <v>0</v>
      </c>
    </row>
    <row r="65" spans="1:7" s="91" customFormat="1">
      <c r="A65" s="101" t="s">
        <v>227</v>
      </c>
      <c r="B65" s="93"/>
      <c r="C65" s="94" t="s">
        <v>228</v>
      </c>
      <c r="D65" s="95">
        <v>0</v>
      </c>
      <c r="E65" s="124">
        <v>0</v>
      </c>
      <c r="F65" s="124">
        <v>0</v>
      </c>
      <c r="G65" s="124">
        <v>0</v>
      </c>
    </row>
    <row r="66" spans="1:7" s="153" customFormat="1" ht="14">
      <c r="A66" s="151" t="s">
        <v>229</v>
      </c>
      <c r="B66" s="152"/>
      <c r="C66" s="104" t="s">
        <v>230</v>
      </c>
      <c r="D66" s="143">
        <v>0</v>
      </c>
      <c r="E66" s="144">
        <v>0</v>
      </c>
      <c r="F66" s="144">
        <v>0</v>
      </c>
      <c r="G66" s="144">
        <v>0</v>
      </c>
    </row>
    <row r="67" spans="1:7" s="91" customFormat="1">
      <c r="A67" s="154">
        <v>481</v>
      </c>
      <c r="B67" s="93"/>
      <c r="C67" s="94" t="s">
        <v>231</v>
      </c>
      <c r="D67" s="95">
        <v>0</v>
      </c>
      <c r="E67" s="124">
        <v>0</v>
      </c>
      <c r="F67" s="124">
        <v>0</v>
      </c>
      <c r="G67" s="124">
        <v>0</v>
      </c>
    </row>
    <row r="68" spans="1:7" s="91" customFormat="1">
      <c r="A68" s="154">
        <v>482</v>
      </c>
      <c r="B68" s="93"/>
      <c r="C68" s="94" t="s">
        <v>232</v>
      </c>
      <c r="D68" s="95">
        <v>0</v>
      </c>
      <c r="E68" s="124">
        <v>0</v>
      </c>
      <c r="F68" s="124">
        <v>0</v>
      </c>
      <c r="G68" s="124">
        <v>0</v>
      </c>
    </row>
    <row r="69" spans="1:7" s="91" customFormat="1">
      <c r="A69" s="154">
        <v>483</v>
      </c>
      <c r="B69" s="93"/>
      <c r="C69" s="94" t="s">
        <v>233</v>
      </c>
      <c r="D69" s="95">
        <v>0</v>
      </c>
      <c r="E69" s="124">
        <v>0</v>
      </c>
      <c r="F69" s="124">
        <v>0</v>
      </c>
      <c r="G69" s="124">
        <v>0</v>
      </c>
    </row>
    <row r="70" spans="1:7" s="91" customFormat="1">
      <c r="A70" s="154">
        <v>484</v>
      </c>
      <c r="B70" s="93"/>
      <c r="C70" s="94" t="s">
        <v>234</v>
      </c>
      <c r="D70" s="95">
        <v>0</v>
      </c>
      <c r="E70" s="124">
        <v>0</v>
      </c>
      <c r="F70" s="124">
        <v>0</v>
      </c>
      <c r="G70" s="124">
        <v>0</v>
      </c>
    </row>
    <row r="71" spans="1:7" s="91" customFormat="1">
      <c r="A71" s="154">
        <v>485</v>
      </c>
      <c r="B71" s="93"/>
      <c r="C71" s="94" t="s">
        <v>235</v>
      </c>
      <c r="D71" s="95">
        <v>0</v>
      </c>
      <c r="E71" s="124">
        <v>0</v>
      </c>
      <c r="F71" s="124">
        <v>0</v>
      </c>
      <c r="G71" s="124">
        <v>0</v>
      </c>
    </row>
    <row r="72" spans="1:7" s="91" customFormat="1">
      <c r="A72" s="154">
        <v>486</v>
      </c>
      <c r="B72" s="93"/>
      <c r="C72" s="94" t="s">
        <v>236</v>
      </c>
      <c r="D72" s="95">
        <v>0</v>
      </c>
      <c r="E72" s="124">
        <v>0</v>
      </c>
      <c r="F72" s="124">
        <v>0</v>
      </c>
      <c r="G72" s="124">
        <v>0</v>
      </c>
    </row>
    <row r="73" spans="1:7" s="106" customFormat="1">
      <c r="A73" s="154">
        <v>487</v>
      </c>
      <c r="B73" s="98"/>
      <c r="C73" s="94" t="s">
        <v>237</v>
      </c>
      <c r="D73" s="130">
        <v>0</v>
      </c>
      <c r="E73" s="124">
        <v>0</v>
      </c>
      <c r="F73" s="124">
        <v>0</v>
      </c>
      <c r="G73" s="124">
        <v>0</v>
      </c>
    </row>
    <row r="74" spans="1:7" s="106" customFormat="1">
      <c r="A74" s="154">
        <v>489</v>
      </c>
      <c r="B74" s="155"/>
      <c r="C74" s="118" t="s">
        <v>59</v>
      </c>
      <c r="D74" s="130">
        <v>800</v>
      </c>
      <c r="E74" s="124">
        <v>5000</v>
      </c>
      <c r="F74" s="124">
        <v>5000</v>
      </c>
      <c r="G74" s="124">
        <v>16500</v>
      </c>
    </row>
    <row r="75" spans="1:7" s="106" customFormat="1">
      <c r="A75" s="156" t="s">
        <v>238</v>
      </c>
      <c r="B75" s="155"/>
      <c r="C75" s="137" t="s">
        <v>239</v>
      </c>
      <c r="D75" s="95">
        <v>0</v>
      </c>
      <c r="E75" s="124"/>
      <c r="F75" s="124"/>
      <c r="G75" s="124"/>
    </row>
    <row r="76" spans="1:7">
      <c r="A76" s="121"/>
      <c r="B76" s="121"/>
      <c r="C76" s="122" t="s">
        <v>240</v>
      </c>
      <c r="D76" s="123">
        <f t="shared" ref="D76:G76" si="5">SUM(D65:D74)-SUM(D57:D64)</f>
        <v>800</v>
      </c>
      <c r="E76" s="123">
        <f t="shared" si="5"/>
        <v>5000</v>
      </c>
      <c r="F76" s="123">
        <f t="shared" si="5"/>
        <v>-29440</v>
      </c>
      <c r="G76" s="123">
        <f t="shared" si="5"/>
        <v>16500</v>
      </c>
    </row>
    <row r="77" spans="1:7">
      <c r="A77" s="157"/>
      <c r="B77" s="157"/>
      <c r="C77" s="122" t="s">
        <v>241</v>
      </c>
      <c r="D77" s="123">
        <f t="shared" ref="D77:G77" si="6">D56+D76</f>
        <v>-1379.3999999999542</v>
      </c>
      <c r="E77" s="123">
        <f t="shared" si="6"/>
        <v>-11759</v>
      </c>
      <c r="F77" s="123">
        <f t="shared" si="6"/>
        <v>554.09999999992579</v>
      </c>
      <c r="G77" s="123">
        <f t="shared" si="6"/>
        <v>-2067.8000000000138</v>
      </c>
    </row>
    <row r="78" spans="1:7">
      <c r="A78" s="158">
        <v>3</v>
      </c>
      <c r="B78" s="158"/>
      <c r="C78" s="159" t="s">
        <v>242</v>
      </c>
      <c r="D78" s="160">
        <f t="shared" ref="D78:G78" si="7">D20+D21+SUM(D38:D43)+SUM(D57:D64)</f>
        <v>370031.10000000003</v>
      </c>
      <c r="E78" s="160">
        <f t="shared" si="7"/>
        <v>375045</v>
      </c>
      <c r="F78" s="160">
        <f t="shared" si="7"/>
        <v>406387.80000000005</v>
      </c>
      <c r="G78" s="160">
        <f t="shared" si="7"/>
        <v>393661.50000000006</v>
      </c>
    </row>
    <row r="79" spans="1:7">
      <c r="A79" s="158">
        <v>4</v>
      </c>
      <c r="B79" s="158"/>
      <c r="C79" s="159" t="s">
        <v>243</v>
      </c>
      <c r="D79" s="160">
        <f t="shared" ref="D79:G79" si="8">D35+D36+SUM(D44:D53)+SUM(D65:D74)</f>
        <v>368651.70000000007</v>
      </c>
      <c r="E79" s="160">
        <f t="shared" si="8"/>
        <v>363286</v>
      </c>
      <c r="F79" s="160">
        <f t="shared" si="8"/>
        <v>406941.89999999997</v>
      </c>
      <c r="G79" s="160">
        <f t="shared" si="8"/>
        <v>391593.70000000007</v>
      </c>
    </row>
    <row r="80" spans="1:7">
      <c r="C80" s="135"/>
      <c r="D80" s="161"/>
      <c r="E80" s="161"/>
      <c r="F80" s="161"/>
      <c r="G80" s="161"/>
    </row>
    <row r="81" spans="1:7">
      <c r="A81" s="680" t="s">
        <v>244</v>
      </c>
      <c r="B81" s="681"/>
      <c r="C81" s="681"/>
      <c r="D81" s="162"/>
      <c r="E81" s="163"/>
      <c r="F81" s="163"/>
      <c r="G81" s="163"/>
    </row>
    <row r="82" spans="1:7" s="91" customFormat="1">
      <c r="A82" s="164">
        <v>50</v>
      </c>
      <c r="B82" s="165"/>
      <c r="C82" s="165" t="s">
        <v>245</v>
      </c>
      <c r="D82" s="95">
        <v>10090.700000000001</v>
      </c>
      <c r="E82" s="124">
        <v>10849</v>
      </c>
      <c r="F82" s="124">
        <v>7208.8</v>
      </c>
      <c r="G82" s="124">
        <v>14396</v>
      </c>
    </row>
    <row r="83" spans="1:7" s="91" customFormat="1">
      <c r="A83" s="164">
        <v>51</v>
      </c>
      <c r="B83" s="165"/>
      <c r="C83" s="165" t="s">
        <v>246</v>
      </c>
      <c r="D83" s="95">
        <v>0</v>
      </c>
      <c r="E83" s="124">
        <v>0</v>
      </c>
      <c r="F83" s="124">
        <v>0</v>
      </c>
      <c r="G83" s="124">
        <v>0</v>
      </c>
    </row>
    <row r="84" spans="1:7" s="91" customFormat="1">
      <c r="A84" s="164">
        <v>52</v>
      </c>
      <c r="B84" s="165"/>
      <c r="C84" s="165" t="s">
        <v>247</v>
      </c>
      <c r="D84" s="95">
        <v>1040.3</v>
      </c>
      <c r="E84" s="124">
        <v>1213</v>
      </c>
      <c r="F84" s="124">
        <v>1184.0999999999999</v>
      </c>
      <c r="G84" s="124">
        <v>1086</v>
      </c>
    </row>
    <row r="85" spans="1:7" s="91" customFormat="1">
      <c r="A85" s="166">
        <v>54</v>
      </c>
      <c r="B85" s="167"/>
      <c r="C85" s="167" t="s">
        <v>248</v>
      </c>
      <c r="D85" s="95">
        <v>1505.7</v>
      </c>
      <c r="E85" s="124">
        <v>1570</v>
      </c>
      <c r="F85" s="124">
        <v>372.8</v>
      </c>
      <c r="G85" s="124">
        <v>1127</v>
      </c>
    </row>
    <row r="86" spans="1:7" s="91" customFormat="1">
      <c r="A86" s="164">
        <v>55</v>
      </c>
      <c r="B86" s="165"/>
      <c r="C86" s="165" t="s">
        <v>249</v>
      </c>
      <c r="D86" s="95">
        <v>383.6</v>
      </c>
      <c r="E86" s="124">
        <v>0</v>
      </c>
      <c r="F86" s="124">
        <v>0</v>
      </c>
      <c r="G86" s="124">
        <v>0</v>
      </c>
    </row>
    <row r="87" spans="1:7" s="91" customFormat="1">
      <c r="A87" s="164">
        <v>56</v>
      </c>
      <c r="B87" s="165"/>
      <c r="C87" s="165" t="s">
        <v>250</v>
      </c>
      <c r="D87" s="95">
        <v>13248.6</v>
      </c>
      <c r="E87" s="124">
        <v>22825</v>
      </c>
      <c r="F87" s="124">
        <v>16060.7</v>
      </c>
      <c r="G87" s="124">
        <v>12851.8</v>
      </c>
    </row>
    <row r="88" spans="1:7" s="91" customFormat="1">
      <c r="A88" s="164">
        <v>57</v>
      </c>
      <c r="B88" s="165"/>
      <c r="C88" s="165" t="s">
        <v>251</v>
      </c>
      <c r="D88" s="95">
        <v>1030.2</v>
      </c>
      <c r="E88" s="124">
        <v>2580</v>
      </c>
      <c r="F88" s="124">
        <v>484.6</v>
      </c>
      <c r="G88" s="124">
        <v>1050</v>
      </c>
    </row>
    <row r="89" spans="1:7" s="91" customFormat="1">
      <c r="A89" s="164">
        <v>580</v>
      </c>
      <c r="B89" s="165"/>
      <c r="C89" s="165" t="s">
        <v>252</v>
      </c>
      <c r="D89" s="95">
        <v>0</v>
      </c>
      <c r="E89" s="124">
        <v>0</v>
      </c>
      <c r="F89" s="124">
        <v>0</v>
      </c>
      <c r="G89" s="124">
        <v>0</v>
      </c>
    </row>
    <row r="90" spans="1:7" s="91" customFormat="1">
      <c r="A90" s="164">
        <v>582</v>
      </c>
      <c r="B90" s="165"/>
      <c r="C90" s="165" t="s">
        <v>253</v>
      </c>
      <c r="D90" s="95">
        <v>0</v>
      </c>
      <c r="E90" s="124">
        <v>0</v>
      </c>
      <c r="F90" s="124">
        <v>0</v>
      </c>
      <c r="G90" s="124">
        <v>0</v>
      </c>
    </row>
    <row r="91" spans="1:7" s="91" customFormat="1">
      <c r="A91" s="164">
        <v>584</v>
      </c>
      <c r="B91" s="165"/>
      <c r="C91" s="165" t="s">
        <v>254</v>
      </c>
      <c r="D91" s="95">
        <v>0</v>
      </c>
      <c r="E91" s="124">
        <v>0</v>
      </c>
      <c r="F91" s="124">
        <v>0</v>
      </c>
      <c r="G91" s="124">
        <v>0</v>
      </c>
    </row>
    <row r="92" spans="1:7" s="91" customFormat="1">
      <c r="A92" s="164">
        <v>585</v>
      </c>
      <c r="B92" s="165"/>
      <c r="C92" s="165" t="s">
        <v>255</v>
      </c>
      <c r="D92" s="95">
        <v>0</v>
      </c>
      <c r="E92" s="124">
        <v>0</v>
      </c>
      <c r="F92" s="124">
        <v>0</v>
      </c>
      <c r="G92" s="124">
        <v>0</v>
      </c>
    </row>
    <row r="93" spans="1:7" s="91" customFormat="1">
      <c r="A93" s="164">
        <v>586</v>
      </c>
      <c r="B93" s="165"/>
      <c r="C93" s="165" t="s">
        <v>256</v>
      </c>
      <c r="D93" s="95">
        <v>0</v>
      </c>
      <c r="E93" s="124">
        <v>0</v>
      </c>
      <c r="F93" s="124">
        <v>0</v>
      </c>
      <c r="G93" s="124">
        <v>0</v>
      </c>
    </row>
    <row r="94" spans="1:7" s="91" customFormat="1">
      <c r="A94" s="168">
        <v>589</v>
      </c>
      <c r="B94" s="169"/>
      <c r="C94" s="169" t="s">
        <v>257</v>
      </c>
      <c r="D94" s="119">
        <v>0</v>
      </c>
      <c r="E94" s="133">
        <v>0</v>
      </c>
      <c r="F94" s="133">
        <v>0</v>
      </c>
      <c r="G94" s="133">
        <v>0</v>
      </c>
    </row>
    <row r="95" spans="1:7">
      <c r="A95" s="170">
        <v>5</v>
      </c>
      <c r="B95" s="171"/>
      <c r="C95" s="171" t="s">
        <v>258</v>
      </c>
      <c r="D95" s="172">
        <f t="shared" ref="D95:G95" si="9">SUM(D82:D94)</f>
        <v>27299.100000000002</v>
      </c>
      <c r="E95" s="172">
        <f t="shared" si="9"/>
        <v>39037</v>
      </c>
      <c r="F95" s="172">
        <f t="shared" si="9"/>
        <v>25311</v>
      </c>
      <c r="G95" s="172">
        <f t="shared" si="9"/>
        <v>30510.799999999999</v>
      </c>
    </row>
    <row r="96" spans="1:7" s="91" customFormat="1">
      <c r="A96" s="164">
        <v>60</v>
      </c>
      <c r="B96" s="165"/>
      <c r="C96" s="165" t="s">
        <v>259</v>
      </c>
      <c r="D96" s="95">
        <v>0</v>
      </c>
      <c r="E96" s="124">
        <v>0</v>
      </c>
      <c r="F96" s="124">
        <v>0</v>
      </c>
      <c r="G96" s="124">
        <v>0</v>
      </c>
    </row>
    <row r="97" spans="1:7" s="91" customFormat="1">
      <c r="A97" s="164">
        <v>61</v>
      </c>
      <c r="B97" s="165"/>
      <c r="C97" s="165" t="s">
        <v>260</v>
      </c>
      <c r="D97" s="95">
        <v>0</v>
      </c>
      <c r="E97" s="124">
        <v>0</v>
      </c>
      <c r="F97" s="124">
        <v>0</v>
      </c>
      <c r="G97" s="124">
        <v>0</v>
      </c>
    </row>
    <row r="98" spans="1:7" s="91" customFormat="1">
      <c r="A98" s="164">
        <v>62</v>
      </c>
      <c r="B98" s="165"/>
      <c r="C98" s="165" t="s">
        <v>261</v>
      </c>
      <c r="D98" s="95">
        <v>0</v>
      </c>
      <c r="E98" s="124">
        <v>0</v>
      </c>
      <c r="F98" s="124">
        <v>0</v>
      </c>
      <c r="G98" s="124">
        <v>0</v>
      </c>
    </row>
    <row r="99" spans="1:7" s="91" customFormat="1">
      <c r="A99" s="164">
        <v>63</v>
      </c>
      <c r="B99" s="165"/>
      <c r="C99" s="165" t="s">
        <v>262</v>
      </c>
      <c r="D99" s="95">
        <v>11122</v>
      </c>
      <c r="E99" s="124">
        <v>13975</v>
      </c>
      <c r="F99" s="124">
        <v>10088.799999999999</v>
      </c>
      <c r="G99" s="124">
        <v>12232</v>
      </c>
    </row>
    <row r="100" spans="1:7" s="91" customFormat="1">
      <c r="A100" s="164">
        <v>64</v>
      </c>
      <c r="B100" s="165"/>
      <c r="C100" s="165" t="s">
        <v>263</v>
      </c>
      <c r="D100" s="95">
        <v>1529.8</v>
      </c>
      <c r="E100" s="124">
        <v>1526</v>
      </c>
      <c r="F100" s="124">
        <v>1551.5</v>
      </c>
      <c r="G100" s="124">
        <v>1712.5</v>
      </c>
    </row>
    <row r="101" spans="1:7" s="91" customFormat="1">
      <c r="A101" s="164">
        <v>65</v>
      </c>
      <c r="B101" s="165"/>
      <c r="C101" s="165" t="s">
        <v>264</v>
      </c>
      <c r="D101" s="95">
        <v>84.6</v>
      </c>
      <c r="E101" s="124">
        <v>0</v>
      </c>
      <c r="F101" s="124">
        <v>0</v>
      </c>
      <c r="G101" s="124">
        <v>0</v>
      </c>
    </row>
    <row r="102" spans="1:7" s="91" customFormat="1">
      <c r="A102" s="164">
        <v>66</v>
      </c>
      <c r="B102" s="165"/>
      <c r="C102" s="165" t="s">
        <v>265</v>
      </c>
      <c r="D102" s="95">
        <v>0</v>
      </c>
      <c r="E102" s="124">
        <v>0</v>
      </c>
      <c r="F102" s="124">
        <v>0</v>
      </c>
      <c r="G102" s="124">
        <v>0</v>
      </c>
    </row>
    <row r="103" spans="1:7" s="91" customFormat="1">
      <c r="A103" s="164">
        <v>67</v>
      </c>
      <c r="B103" s="165"/>
      <c r="C103" s="165" t="s">
        <v>251</v>
      </c>
      <c r="D103" s="130">
        <v>1030.2</v>
      </c>
      <c r="E103" s="96">
        <v>2580</v>
      </c>
      <c r="F103" s="96">
        <v>484.6</v>
      </c>
      <c r="G103" s="96">
        <v>1050</v>
      </c>
    </row>
    <row r="104" spans="1:7" s="91" customFormat="1" ht="28">
      <c r="A104" s="173" t="s">
        <v>266</v>
      </c>
      <c r="B104" s="165"/>
      <c r="C104" s="174" t="s">
        <v>267</v>
      </c>
      <c r="D104" s="130">
        <v>0</v>
      </c>
      <c r="E104" s="96">
        <v>0</v>
      </c>
      <c r="F104" s="96">
        <v>0</v>
      </c>
      <c r="G104" s="96">
        <v>0</v>
      </c>
    </row>
    <row r="105" spans="1:7" s="91" customFormat="1" ht="42">
      <c r="A105" s="175" t="s">
        <v>268</v>
      </c>
      <c r="B105" s="169"/>
      <c r="C105" s="176" t="s">
        <v>269</v>
      </c>
      <c r="D105" s="177">
        <v>0</v>
      </c>
      <c r="E105" s="120">
        <v>0</v>
      </c>
      <c r="F105" s="120">
        <v>0</v>
      </c>
      <c r="G105" s="120">
        <v>0</v>
      </c>
    </row>
    <row r="106" spans="1:7">
      <c r="A106" s="170">
        <v>6</v>
      </c>
      <c r="B106" s="171"/>
      <c r="C106" s="171" t="s">
        <v>270</v>
      </c>
      <c r="D106" s="172">
        <f t="shared" ref="D106:G106" si="10">SUM(D96:D105)</f>
        <v>13766.6</v>
      </c>
      <c r="E106" s="172">
        <f t="shared" si="10"/>
        <v>18081</v>
      </c>
      <c r="F106" s="172">
        <f t="shared" si="10"/>
        <v>12124.9</v>
      </c>
      <c r="G106" s="172">
        <f t="shared" si="10"/>
        <v>14994.5</v>
      </c>
    </row>
    <row r="107" spans="1:7">
      <c r="A107" s="178" t="s">
        <v>271</v>
      </c>
      <c r="B107" s="178"/>
      <c r="C107" s="171" t="s">
        <v>1</v>
      </c>
      <c r="D107" s="172">
        <f t="shared" ref="D107:G107" si="11">(D95-D88)-(D106-D103)</f>
        <v>13532.500000000002</v>
      </c>
      <c r="E107" s="172">
        <f t="shared" si="11"/>
        <v>20956</v>
      </c>
      <c r="F107" s="172">
        <f t="shared" si="11"/>
        <v>13186.100000000002</v>
      </c>
      <c r="G107" s="172">
        <f t="shared" si="11"/>
        <v>15516.3</v>
      </c>
    </row>
    <row r="108" spans="1:7">
      <c r="A108" s="179" t="s">
        <v>272</v>
      </c>
      <c r="B108" s="179"/>
      <c r="C108" s="180" t="s">
        <v>273</v>
      </c>
      <c r="D108" s="280">
        <f t="shared" ref="D108:G108" si="12">ROUND(D107-D85-D86+D100+D101,0)</f>
        <v>13258</v>
      </c>
      <c r="E108" s="280">
        <f t="shared" si="12"/>
        <v>20912</v>
      </c>
      <c r="F108" s="280">
        <f t="shared" si="12"/>
        <v>14365</v>
      </c>
      <c r="G108" s="280">
        <f t="shared" si="12"/>
        <v>16102</v>
      </c>
    </row>
    <row r="109" spans="1:7">
      <c r="C109" s="135"/>
      <c r="D109" s="161"/>
      <c r="E109" s="161"/>
      <c r="F109" s="161"/>
      <c r="G109" s="161"/>
    </row>
    <row r="110" spans="1:7">
      <c r="A110" s="181" t="s">
        <v>274</v>
      </c>
      <c r="B110" s="182"/>
      <c r="C110" s="181"/>
      <c r="D110" s="161"/>
      <c r="E110" s="161"/>
      <c r="F110" s="161"/>
      <c r="G110" s="161"/>
    </row>
    <row r="111" spans="1:7" s="91" customFormat="1">
      <c r="A111" s="183">
        <v>10</v>
      </c>
      <c r="B111" s="184"/>
      <c r="C111" s="184" t="s">
        <v>275</v>
      </c>
      <c r="D111" s="185">
        <f t="shared" ref="D111:G111" si="13">D112+D117</f>
        <v>238917.00000000003</v>
      </c>
      <c r="E111" s="186">
        <f t="shared" si="13"/>
        <v>0</v>
      </c>
      <c r="F111" s="186">
        <f t="shared" si="13"/>
        <v>283888.90000000002</v>
      </c>
      <c r="G111" s="186">
        <f t="shared" si="13"/>
        <v>264050.40000000002</v>
      </c>
    </row>
    <row r="112" spans="1:7" s="91" customFormat="1">
      <c r="A112" s="187" t="s">
        <v>276</v>
      </c>
      <c r="B112" s="188"/>
      <c r="C112" s="188" t="s">
        <v>277</v>
      </c>
      <c r="D112" s="185">
        <f t="shared" ref="D112:G112" si="14">D113+D114+D115+D116</f>
        <v>194318.90000000002</v>
      </c>
      <c r="E112" s="186">
        <f t="shared" si="14"/>
        <v>0</v>
      </c>
      <c r="F112" s="186">
        <f t="shared" si="14"/>
        <v>228095.1</v>
      </c>
      <c r="G112" s="186">
        <f t="shared" si="14"/>
        <v>210452.4</v>
      </c>
    </row>
    <row r="113" spans="1:7" s="91" customFormat="1">
      <c r="A113" s="189" t="s">
        <v>278</v>
      </c>
      <c r="B113" s="190"/>
      <c r="C113" s="190" t="s">
        <v>279</v>
      </c>
      <c r="D113" s="95">
        <f>98579.5+68238.7</f>
        <v>166818.20000000001</v>
      </c>
      <c r="E113" s="124"/>
      <c r="F113" s="124">
        <v>172635.1</v>
      </c>
      <c r="G113" s="124">
        <v>182951.4</v>
      </c>
    </row>
    <row r="114" spans="1:7" s="153" customFormat="1" ht="15" customHeight="1">
      <c r="A114" s="191">
        <v>102</v>
      </c>
      <c r="B114" s="192"/>
      <c r="C114" s="192" t="s">
        <v>280</v>
      </c>
      <c r="D114" s="143">
        <v>12000</v>
      </c>
      <c r="E114" s="144"/>
      <c r="F114" s="144">
        <v>35400</v>
      </c>
      <c r="G114" s="144">
        <v>12000</v>
      </c>
    </row>
    <row r="115" spans="1:7" s="91" customFormat="1">
      <c r="A115" s="189">
        <v>104</v>
      </c>
      <c r="B115" s="190"/>
      <c r="C115" s="190" t="s">
        <v>281</v>
      </c>
      <c r="D115" s="95">
        <v>15387.1</v>
      </c>
      <c r="E115" s="124"/>
      <c r="F115" s="124">
        <v>19960.099999999999</v>
      </c>
      <c r="G115" s="124">
        <v>15387</v>
      </c>
    </row>
    <row r="116" spans="1:7" s="91" customFormat="1">
      <c r="A116" s="189">
        <v>106</v>
      </c>
      <c r="B116" s="190"/>
      <c r="C116" s="190" t="s">
        <v>282</v>
      </c>
      <c r="D116" s="95">
        <v>113.6</v>
      </c>
      <c r="E116" s="124"/>
      <c r="F116" s="124">
        <v>99.9</v>
      </c>
      <c r="G116" s="124">
        <v>114</v>
      </c>
    </row>
    <row r="117" spans="1:7" s="91" customFormat="1">
      <c r="A117" s="187" t="s">
        <v>283</v>
      </c>
      <c r="B117" s="188"/>
      <c r="C117" s="188" t="s">
        <v>284</v>
      </c>
      <c r="D117" s="185">
        <f t="shared" ref="D117:G117" si="15">D118+D119+D120</f>
        <v>44598.1</v>
      </c>
      <c r="E117" s="186">
        <f t="shared" si="15"/>
        <v>0</v>
      </c>
      <c r="F117" s="186">
        <f t="shared" si="15"/>
        <v>55793.8</v>
      </c>
      <c r="G117" s="186">
        <f t="shared" si="15"/>
        <v>53598</v>
      </c>
    </row>
    <row r="118" spans="1:7" s="91" customFormat="1">
      <c r="A118" s="189">
        <v>107</v>
      </c>
      <c r="B118" s="190"/>
      <c r="C118" s="190" t="s">
        <v>285</v>
      </c>
      <c r="D118" s="95">
        <v>40205.1</v>
      </c>
      <c r="E118" s="124"/>
      <c r="F118" s="124">
        <v>51400.800000000003</v>
      </c>
      <c r="G118" s="124">
        <v>49205</v>
      </c>
    </row>
    <row r="119" spans="1:7" s="91" customFormat="1">
      <c r="A119" s="189">
        <v>108</v>
      </c>
      <c r="B119" s="190"/>
      <c r="C119" s="190" t="s">
        <v>286</v>
      </c>
      <c r="D119" s="95">
        <v>4393</v>
      </c>
      <c r="E119" s="124"/>
      <c r="F119" s="124">
        <v>4393</v>
      </c>
      <c r="G119" s="124">
        <v>4393</v>
      </c>
    </row>
    <row r="120" spans="1:7" s="195" customFormat="1" ht="14">
      <c r="A120" s="191">
        <v>109</v>
      </c>
      <c r="B120" s="193"/>
      <c r="C120" s="193" t="s">
        <v>287</v>
      </c>
      <c r="D120" s="131">
        <v>0</v>
      </c>
      <c r="E120" s="194"/>
      <c r="F120" s="194">
        <v>0</v>
      </c>
      <c r="G120" s="194"/>
    </row>
    <row r="121" spans="1:7" s="91" customFormat="1">
      <c r="A121" s="187">
        <v>14</v>
      </c>
      <c r="B121" s="188"/>
      <c r="C121" s="188" t="s">
        <v>288</v>
      </c>
      <c r="D121" s="185">
        <f t="shared" ref="D121:G121" si="16">SUM(D122:D130)</f>
        <v>152694</v>
      </c>
      <c r="E121" s="185">
        <f t="shared" si="16"/>
        <v>0</v>
      </c>
      <c r="F121" s="185">
        <f t="shared" si="16"/>
        <v>335266.3</v>
      </c>
      <c r="G121" s="185">
        <f t="shared" si="16"/>
        <v>343103.4</v>
      </c>
    </row>
    <row r="122" spans="1:7" s="91" customFormat="1">
      <c r="A122" s="189" t="s">
        <v>289</v>
      </c>
      <c r="B122" s="190"/>
      <c r="C122" s="190" t="s">
        <v>290</v>
      </c>
      <c r="D122" s="95">
        <f>100157.7+2460.3</f>
        <v>102618</v>
      </c>
      <c r="E122" s="124"/>
      <c r="F122" s="124">
        <v>98475.3</v>
      </c>
      <c r="G122" s="124">
        <v>101820</v>
      </c>
    </row>
    <row r="123" spans="1:7" s="91" customFormat="1">
      <c r="A123" s="189">
        <v>144</v>
      </c>
      <c r="B123" s="190"/>
      <c r="C123" s="190" t="s">
        <v>248</v>
      </c>
      <c r="D123" s="95">
        <v>24150.1</v>
      </c>
      <c r="E123" s="124"/>
      <c r="F123" s="124">
        <v>22829.7</v>
      </c>
      <c r="G123" s="124">
        <v>23631.4</v>
      </c>
    </row>
    <row r="124" spans="1:7" s="91" customFormat="1">
      <c r="A124" s="189">
        <v>145</v>
      </c>
      <c r="B124" s="190"/>
      <c r="C124" s="190" t="s">
        <v>291</v>
      </c>
      <c r="D124" s="95">
        <v>119011.5</v>
      </c>
      <c r="E124" s="196"/>
      <c r="F124" s="196">
        <v>119011.5</v>
      </c>
      <c r="G124" s="196">
        <v>119012</v>
      </c>
    </row>
    <row r="125" spans="1:7" s="91" customFormat="1">
      <c r="A125" s="189">
        <v>146</v>
      </c>
      <c r="B125" s="190"/>
      <c r="C125" s="190" t="s">
        <v>292</v>
      </c>
      <c r="D125" s="95">
        <v>96065.4</v>
      </c>
      <c r="E125" s="196"/>
      <c r="F125" s="196">
        <v>94949.8</v>
      </c>
      <c r="G125" s="196">
        <v>98640</v>
      </c>
    </row>
    <row r="126" spans="1:7" s="195" customFormat="1" ht="29.5" customHeight="1">
      <c r="A126" s="191" t="s">
        <v>293</v>
      </c>
      <c r="B126" s="193"/>
      <c r="C126" s="193" t="s">
        <v>294</v>
      </c>
      <c r="D126" s="131">
        <v>-99025</v>
      </c>
      <c r="E126" s="197"/>
      <c r="F126" s="197">
        <v>0</v>
      </c>
      <c r="G126" s="197">
        <v>0</v>
      </c>
    </row>
    <row r="127" spans="1:7" s="91" customFormat="1">
      <c r="A127" s="189">
        <v>1484</v>
      </c>
      <c r="B127" s="190"/>
      <c r="C127" s="190" t="s">
        <v>295</v>
      </c>
      <c r="D127" s="95">
        <v>0</v>
      </c>
      <c r="E127" s="196"/>
      <c r="F127" s="196">
        <v>0</v>
      </c>
      <c r="G127" s="196"/>
    </row>
    <row r="128" spans="1:7" s="91" customFormat="1">
      <c r="A128" s="189">
        <v>1485</v>
      </c>
      <c r="B128" s="190"/>
      <c r="C128" s="190" t="s">
        <v>296</v>
      </c>
      <c r="D128" s="95">
        <v>0</v>
      </c>
      <c r="E128" s="196"/>
      <c r="F128" s="196">
        <v>0</v>
      </c>
      <c r="G128" s="196"/>
    </row>
    <row r="129" spans="1:7" s="91" customFormat="1">
      <c r="A129" s="189">
        <v>1486</v>
      </c>
      <c r="B129" s="190"/>
      <c r="C129" s="190" t="s">
        <v>297</v>
      </c>
      <c r="D129" s="95">
        <v>-100910</v>
      </c>
      <c r="E129" s="196"/>
      <c r="F129" s="196">
        <v>0</v>
      </c>
      <c r="G129" s="196"/>
    </row>
    <row r="130" spans="1:7" s="91" customFormat="1">
      <c r="A130" s="198">
        <v>1489</v>
      </c>
      <c r="B130" s="199"/>
      <c r="C130" s="199" t="s">
        <v>298</v>
      </c>
      <c r="D130" s="119">
        <v>10784</v>
      </c>
      <c r="E130" s="200"/>
      <c r="F130" s="200">
        <v>0</v>
      </c>
      <c r="G130" s="200"/>
    </row>
    <row r="131" spans="1:7">
      <c r="A131" s="201">
        <v>1</v>
      </c>
      <c r="B131" s="202"/>
      <c r="C131" s="201" t="s">
        <v>299</v>
      </c>
      <c r="D131" s="203">
        <f t="shared" ref="D131:G131" si="17">D111+D121</f>
        <v>391611</v>
      </c>
      <c r="E131" s="203">
        <f t="shared" si="17"/>
        <v>0</v>
      </c>
      <c r="F131" s="203">
        <f t="shared" si="17"/>
        <v>619155.19999999995</v>
      </c>
      <c r="G131" s="203">
        <f t="shared" si="17"/>
        <v>607153.80000000005</v>
      </c>
    </row>
    <row r="132" spans="1:7">
      <c r="C132" s="135"/>
      <c r="D132" s="161"/>
      <c r="E132" s="161"/>
      <c r="F132" s="161"/>
      <c r="G132" s="161"/>
    </row>
    <row r="133" spans="1:7" s="91" customFormat="1">
      <c r="A133" s="183">
        <v>20</v>
      </c>
      <c r="B133" s="184"/>
      <c r="C133" s="184" t="s">
        <v>300</v>
      </c>
      <c r="D133" s="204">
        <f t="shared" ref="D133:G133" si="18">D134+D140</f>
        <v>292596.89999999997</v>
      </c>
      <c r="E133" s="318">
        <f t="shared" si="18"/>
        <v>0</v>
      </c>
      <c r="F133" s="318">
        <f t="shared" si="18"/>
        <v>300585.30000000005</v>
      </c>
      <c r="G133" s="318">
        <f t="shared" si="18"/>
        <v>331446.8</v>
      </c>
    </row>
    <row r="134" spans="1:7" s="91" customFormat="1">
      <c r="A134" s="205" t="s">
        <v>301</v>
      </c>
      <c r="B134" s="188"/>
      <c r="C134" s="188" t="s">
        <v>302</v>
      </c>
      <c r="D134" s="185">
        <f t="shared" ref="D134:G134" si="19">D135+D136+D138+D139</f>
        <v>122078.2</v>
      </c>
      <c r="E134" s="186">
        <f t="shared" si="19"/>
        <v>0</v>
      </c>
      <c r="F134" s="186">
        <f t="shared" si="19"/>
        <v>111412.70000000001</v>
      </c>
      <c r="G134" s="186">
        <f t="shared" si="19"/>
        <v>122128.79999999999</v>
      </c>
    </row>
    <row r="135" spans="1:7" s="106" customFormat="1">
      <c r="A135" s="206">
        <v>200</v>
      </c>
      <c r="B135" s="190"/>
      <c r="C135" s="190" t="s">
        <v>303</v>
      </c>
      <c r="D135" s="95">
        <v>98934.8</v>
      </c>
      <c r="E135" s="124"/>
      <c r="F135" s="124">
        <v>90281.8</v>
      </c>
      <c r="G135" s="124">
        <v>98935.4</v>
      </c>
    </row>
    <row r="136" spans="1:7" s="106" customFormat="1">
      <c r="A136" s="206">
        <v>201</v>
      </c>
      <c r="B136" s="190"/>
      <c r="C136" s="190" t="s">
        <v>304</v>
      </c>
      <c r="D136" s="95">
        <v>10000</v>
      </c>
      <c r="E136" s="124"/>
      <c r="F136" s="124">
        <v>0</v>
      </c>
      <c r="G136" s="124">
        <v>10000.4</v>
      </c>
    </row>
    <row r="137" spans="1:7" s="106" customFormat="1">
      <c r="A137" s="207" t="s">
        <v>305</v>
      </c>
      <c r="B137" s="208"/>
      <c r="C137" s="208" t="s">
        <v>306</v>
      </c>
      <c r="D137" s="100">
        <v>0</v>
      </c>
      <c r="E137" s="209"/>
      <c r="F137" s="209">
        <v>0</v>
      </c>
      <c r="G137" s="209"/>
    </row>
    <row r="138" spans="1:7" s="106" customFormat="1">
      <c r="A138" s="207">
        <v>204</v>
      </c>
      <c r="B138" s="208"/>
      <c r="C138" s="208" t="s">
        <v>307</v>
      </c>
      <c r="D138" s="100">
        <v>12303.4</v>
      </c>
      <c r="E138" s="209"/>
      <c r="F138" s="209">
        <v>20280.900000000001</v>
      </c>
      <c r="G138" s="209">
        <v>12303</v>
      </c>
    </row>
    <row r="139" spans="1:7" s="106" customFormat="1">
      <c r="A139" s="207">
        <v>205</v>
      </c>
      <c r="B139" s="208"/>
      <c r="C139" s="208" t="s">
        <v>308</v>
      </c>
      <c r="D139" s="100">
        <v>840</v>
      </c>
      <c r="E139" s="209"/>
      <c r="F139" s="209">
        <v>850</v>
      </c>
      <c r="G139" s="209">
        <v>890</v>
      </c>
    </row>
    <row r="140" spans="1:7" s="106" customFormat="1">
      <c r="A140" s="205" t="s">
        <v>309</v>
      </c>
      <c r="B140" s="188"/>
      <c r="C140" s="188" t="s">
        <v>310</v>
      </c>
      <c r="D140" s="185">
        <f t="shared" ref="D140:G140" si="20">D141+D143+D144</f>
        <v>170518.69999999998</v>
      </c>
      <c r="E140" s="186">
        <f t="shared" si="20"/>
        <v>0</v>
      </c>
      <c r="F140" s="186">
        <f t="shared" si="20"/>
        <v>189172.6</v>
      </c>
      <c r="G140" s="186">
        <f t="shared" si="20"/>
        <v>209318</v>
      </c>
    </row>
    <row r="141" spans="1:7" s="106" customFormat="1">
      <c r="A141" s="206">
        <v>206</v>
      </c>
      <c r="B141" s="190"/>
      <c r="C141" s="190" t="s">
        <v>311</v>
      </c>
      <c r="D141" s="95">
        <v>155924.29999999999</v>
      </c>
      <c r="E141" s="196"/>
      <c r="F141" s="196">
        <v>175292.9</v>
      </c>
      <c r="G141" s="196">
        <v>195924</v>
      </c>
    </row>
    <row r="142" spans="1:7" s="106" customFormat="1">
      <c r="A142" s="207" t="s">
        <v>312</v>
      </c>
      <c r="B142" s="208"/>
      <c r="C142" s="208" t="s">
        <v>313</v>
      </c>
      <c r="D142" s="100">
        <v>0</v>
      </c>
      <c r="E142" s="209"/>
      <c r="F142" s="209"/>
      <c r="G142" s="209"/>
    </row>
    <row r="143" spans="1:7" s="106" customFormat="1">
      <c r="A143" s="206">
        <v>208</v>
      </c>
      <c r="B143" s="190"/>
      <c r="C143" s="190" t="s">
        <v>314</v>
      </c>
      <c r="D143" s="95">
        <v>13460</v>
      </c>
      <c r="E143" s="196"/>
      <c r="F143" s="196">
        <v>12850</v>
      </c>
      <c r="G143" s="196">
        <v>12260</v>
      </c>
    </row>
    <row r="144" spans="1:7" s="111" customFormat="1" ht="28">
      <c r="A144" s="191">
        <v>209</v>
      </c>
      <c r="B144" s="193"/>
      <c r="C144" s="193" t="s">
        <v>315</v>
      </c>
      <c r="D144" s="131">
        <f>1134.4</f>
        <v>1134.4000000000001</v>
      </c>
      <c r="E144" s="197"/>
      <c r="F144" s="197">
        <v>1029.7</v>
      </c>
      <c r="G144" s="197">
        <v>1134</v>
      </c>
    </row>
    <row r="145" spans="1:7" s="91" customFormat="1">
      <c r="A145" s="205">
        <v>29</v>
      </c>
      <c r="B145" s="188"/>
      <c r="C145" s="188" t="s">
        <v>316</v>
      </c>
      <c r="D145" s="210">
        <v>99014</v>
      </c>
      <c r="E145" s="196"/>
      <c r="F145" s="196">
        <v>318570</v>
      </c>
      <c r="G145" s="196">
        <v>275707</v>
      </c>
    </row>
    <row r="146" spans="1:7" s="91" customFormat="1">
      <c r="A146" s="211" t="s">
        <v>317</v>
      </c>
      <c r="B146" s="212"/>
      <c r="C146" s="212" t="s">
        <v>318</v>
      </c>
      <c r="D146" s="138">
        <v>56393</v>
      </c>
      <c r="E146" s="139"/>
      <c r="F146" s="139">
        <v>56947</v>
      </c>
      <c r="G146" s="139">
        <v>41995</v>
      </c>
    </row>
    <row r="147" spans="1:7">
      <c r="A147" s="201">
        <v>2</v>
      </c>
      <c r="B147" s="202"/>
      <c r="C147" s="201" t="s">
        <v>319</v>
      </c>
      <c r="D147" s="203">
        <f t="shared" ref="D147:G147" si="21">D133+D145</f>
        <v>391610.89999999997</v>
      </c>
      <c r="E147" s="203">
        <f t="shared" si="21"/>
        <v>0</v>
      </c>
      <c r="F147" s="203">
        <f t="shared" si="21"/>
        <v>619155.30000000005</v>
      </c>
      <c r="G147" s="203">
        <f t="shared" si="21"/>
        <v>607153.80000000005</v>
      </c>
    </row>
    <row r="148" spans="1:7" ht="7.5" customHeight="1"/>
    <row r="149" spans="1:7" ht="13.5" customHeight="1">
      <c r="A149" s="213" t="s">
        <v>320</v>
      </c>
      <c r="B149" s="214"/>
      <c r="C149" s="215" t="s">
        <v>321</v>
      </c>
      <c r="D149" s="214"/>
      <c r="E149" s="214"/>
      <c r="F149" s="214"/>
      <c r="G149" s="214"/>
    </row>
    <row r="150" spans="1:7">
      <c r="A150" s="289" t="s">
        <v>322</v>
      </c>
      <c r="B150" s="290"/>
      <c r="C150" s="290" t="s">
        <v>82</v>
      </c>
      <c r="D150" s="218">
        <f t="shared" ref="D150:G150" si="22">D77+SUM(D8:D12)-D30-D31+D16-D33+D59+D63-D73+D64-D74-D54+D20-D35</f>
        <v>17117.900000000052</v>
      </c>
      <c r="E150" s="218">
        <f t="shared" si="22"/>
        <v>1859</v>
      </c>
      <c r="F150" s="218">
        <f t="shared" si="22"/>
        <v>49850.99999999992</v>
      </c>
      <c r="G150" s="218">
        <f t="shared" si="22"/>
        <v>-885.1000000000131</v>
      </c>
    </row>
    <row r="151" spans="1:7">
      <c r="A151" s="215" t="s">
        <v>323</v>
      </c>
      <c r="B151" s="214"/>
      <c r="C151" s="214" t="s">
        <v>324</v>
      </c>
      <c r="D151" s="221">
        <f t="shared" ref="D151:G151" si="23">IF(D177=0,0,D150/D177)</f>
        <v>5.4834887339243271E-2</v>
      </c>
      <c r="E151" s="221">
        <f t="shared" si="23"/>
        <v>6.1114928282831604E-3</v>
      </c>
      <c r="F151" s="221">
        <f t="shared" si="23"/>
        <v>0.14359305536272557</v>
      </c>
      <c r="G151" s="221">
        <f t="shared" si="23"/>
        <v>-2.7809214524007575E-3</v>
      </c>
    </row>
    <row r="152" spans="1:7" s="225" customFormat="1" ht="28">
      <c r="A152" s="478" t="s">
        <v>325</v>
      </c>
      <c r="B152" s="479"/>
      <c r="C152" s="479" t="s">
        <v>326</v>
      </c>
      <c r="D152" s="480">
        <f t="shared" ref="D152:G152" si="24">IF(D107=0,0,D150/D107)</f>
        <v>1.2649473489746943</v>
      </c>
      <c r="E152" s="480">
        <f t="shared" si="24"/>
        <v>8.8709677419354843E-2</v>
      </c>
      <c r="F152" s="480">
        <f t="shared" si="24"/>
        <v>3.7805719659338175</v>
      </c>
      <c r="G152" s="480">
        <f t="shared" si="24"/>
        <v>-5.7043238400908282E-2</v>
      </c>
    </row>
    <row r="153" spans="1:7" s="225" customFormat="1" ht="28">
      <c r="A153" s="481" t="s">
        <v>325</v>
      </c>
      <c r="B153" s="482"/>
      <c r="C153" s="482" t="s">
        <v>327</v>
      </c>
      <c r="D153" s="224">
        <f t="shared" ref="D153:G153" si="25">IF(0=D108,0,D150/D108)</f>
        <v>1.2911374264595001</v>
      </c>
      <c r="E153" s="224">
        <f t="shared" si="25"/>
        <v>8.8896327467482786E-2</v>
      </c>
      <c r="F153" s="224">
        <f t="shared" si="25"/>
        <v>3.4703097807170149</v>
      </c>
      <c r="G153" s="224">
        <f t="shared" si="25"/>
        <v>-5.4968326915911879E-2</v>
      </c>
    </row>
    <row r="154" spans="1:7" ht="28">
      <c r="A154" s="226" t="s">
        <v>328</v>
      </c>
      <c r="B154" s="299"/>
      <c r="C154" s="299" t="s">
        <v>329</v>
      </c>
      <c r="D154" s="234">
        <f t="shared" ref="D154:G154" si="26">D150-D107</f>
        <v>3585.4000000000506</v>
      </c>
      <c r="E154" s="234">
        <f t="shared" si="26"/>
        <v>-19097</v>
      </c>
      <c r="F154" s="234">
        <f t="shared" si="26"/>
        <v>36664.899999999921</v>
      </c>
      <c r="G154" s="234">
        <f t="shared" si="26"/>
        <v>-16401.400000000012</v>
      </c>
    </row>
    <row r="155" spans="1:7" ht="28">
      <c r="A155" s="222" t="s">
        <v>330</v>
      </c>
      <c r="B155" s="297"/>
      <c r="C155" s="297" t="s">
        <v>331</v>
      </c>
      <c r="D155" s="231">
        <f t="shared" ref="D155:G155" si="27">D150-D108</f>
        <v>3859.9000000000524</v>
      </c>
      <c r="E155" s="231">
        <f t="shared" si="27"/>
        <v>-19053</v>
      </c>
      <c r="F155" s="231">
        <f t="shared" si="27"/>
        <v>35485.99999999992</v>
      </c>
      <c r="G155" s="231">
        <f t="shared" si="27"/>
        <v>-16987.100000000013</v>
      </c>
    </row>
    <row r="156" spans="1:7">
      <c r="A156" s="289" t="s">
        <v>332</v>
      </c>
      <c r="B156" s="290"/>
      <c r="C156" s="290" t="s">
        <v>333</v>
      </c>
      <c r="D156" s="235">
        <f t="shared" ref="D156:G156" si="28">D135+D136-D137+D141-D142</f>
        <v>264859.09999999998</v>
      </c>
      <c r="E156" s="235">
        <f t="shared" si="28"/>
        <v>0</v>
      </c>
      <c r="F156" s="235">
        <f t="shared" si="28"/>
        <v>265574.7</v>
      </c>
      <c r="G156" s="235">
        <f t="shared" si="28"/>
        <v>304859.8</v>
      </c>
    </row>
    <row r="157" spans="1:7">
      <c r="A157" s="301" t="s">
        <v>334</v>
      </c>
      <c r="B157" s="302"/>
      <c r="C157" s="302" t="s">
        <v>335</v>
      </c>
      <c r="D157" s="238">
        <f t="shared" ref="D157:G157" si="29">IF(D177=0,0,D156/D177)</f>
        <v>0.84844045760714348</v>
      </c>
      <c r="E157" s="238">
        <f t="shared" si="29"/>
        <v>0</v>
      </c>
      <c r="F157" s="238">
        <f t="shared" si="29"/>
        <v>0.76497327235239598</v>
      </c>
      <c r="G157" s="238">
        <f t="shared" si="29"/>
        <v>0.95784787910359492</v>
      </c>
    </row>
    <row r="158" spans="1:7">
      <c r="A158" s="289" t="s">
        <v>336</v>
      </c>
      <c r="B158" s="290"/>
      <c r="C158" s="290" t="s">
        <v>337</v>
      </c>
      <c r="D158" s="235">
        <f t="shared" ref="D158:G158" si="30">D133-D142-D111</f>
        <v>53679.899999999936</v>
      </c>
      <c r="E158" s="235">
        <f t="shared" si="30"/>
        <v>0</v>
      </c>
      <c r="F158" s="235">
        <f t="shared" si="30"/>
        <v>16696.400000000023</v>
      </c>
      <c r="G158" s="235">
        <f t="shared" si="30"/>
        <v>67396.399999999965</v>
      </c>
    </row>
    <row r="159" spans="1:7">
      <c r="A159" s="215" t="s">
        <v>338</v>
      </c>
      <c r="B159" s="214"/>
      <c r="C159" s="214" t="s">
        <v>339</v>
      </c>
      <c r="D159" s="239">
        <f t="shared" ref="D159:G159" si="31">D121-D123-D124-D142-D145</f>
        <v>-89481.600000000006</v>
      </c>
      <c r="E159" s="239">
        <f t="shared" si="31"/>
        <v>0</v>
      </c>
      <c r="F159" s="239">
        <f t="shared" si="31"/>
        <v>-125144.90000000002</v>
      </c>
      <c r="G159" s="239">
        <f t="shared" si="31"/>
        <v>-75247</v>
      </c>
    </row>
    <row r="160" spans="1:7">
      <c r="A160" s="215" t="s">
        <v>340</v>
      </c>
      <c r="B160" s="214"/>
      <c r="C160" s="214" t="s">
        <v>341</v>
      </c>
      <c r="D160" s="240">
        <f t="shared" ref="D160:G160" si="32">IF(D175=0,"-",1000*D158/D175)</f>
        <v>1277.606150038079</v>
      </c>
      <c r="E160" s="240">
        <f t="shared" si="32"/>
        <v>0</v>
      </c>
      <c r="F160" s="240">
        <f t="shared" si="32"/>
        <v>394.95671098074519</v>
      </c>
      <c r="G160" s="240">
        <f t="shared" si="32"/>
        <v>1585.3500188182154</v>
      </c>
    </row>
    <row r="161" spans="1:7">
      <c r="A161" s="215" t="s">
        <v>340</v>
      </c>
      <c r="B161" s="214"/>
      <c r="C161" s="214" t="s">
        <v>342</v>
      </c>
      <c r="D161" s="239">
        <f t="shared" ref="D161:G161" si="33">IF(D175=0,0,1000*(D159/D175))</f>
        <v>-2129.7029702970299</v>
      </c>
      <c r="E161" s="239">
        <f t="shared" si="33"/>
        <v>0</v>
      </c>
      <c r="F161" s="239">
        <f t="shared" si="33"/>
        <v>-2960.3278610966559</v>
      </c>
      <c r="G161" s="239">
        <f t="shared" si="33"/>
        <v>-1770.0178773052314</v>
      </c>
    </row>
    <row r="162" spans="1:7">
      <c r="A162" s="301" t="s">
        <v>343</v>
      </c>
      <c r="B162" s="302"/>
      <c r="C162" s="302" t="s">
        <v>344</v>
      </c>
      <c r="D162" s="238">
        <f t="shared" ref="D162:G162" si="34">IF((D22+D23+D65+D66)=0,0,D158/(D22+D23+D65+D66))</f>
        <v>0.31548333747670415</v>
      </c>
      <c r="E162" s="238">
        <f t="shared" si="34"/>
        <v>0</v>
      </c>
      <c r="F162" s="238">
        <f t="shared" si="34"/>
        <v>8.6804439938652028E-2</v>
      </c>
      <c r="G162" s="238">
        <f t="shared" si="34"/>
        <v>0.38355955450080509</v>
      </c>
    </row>
    <row r="163" spans="1:7">
      <c r="A163" s="215" t="s">
        <v>345</v>
      </c>
      <c r="B163" s="214"/>
      <c r="C163" s="214" t="s">
        <v>316</v>
      </c>
      <c r="D163" s="218">
        <f t="shared" ref="D163:G163" si="35">D145</f>
        <v>99014</v>
      </c>
      <c r="E163" s="218">
        <f t="shared" si="35"/>
        <v>0</v>
      </c>
      <c r="F163" s="218">
        <f t="shared" si="35"/>
        <v>318570</v>
      </c>
      <c r="G163" s="218">
        <f t="shared" si="35"/>
        <v>275707</v>
      </c>
    </row>
    <row r="164" spans="1:7" ht="28">
      <c r="A164" s="222" t="s">
        <v>346</v>
      </c>
      <c r="B164" s="304"/>
      <c r="C164" s="304" t="s">
        <v>347</v>
      </c>
      <c r="D164" s="241">
        <f t="shared" ref="D164:G164" si="36">IF(D178=0,0,D146/D178)</f>
        <v>0.17939495042326875</v>
      </c>
      <c r="E164" s="241">
        <f t="shared" si="36"/>
        <v>0</v>
      </c>
      <c r="F164" s="241">
        <f t="shared" si="36"/>
        <v>0.17954469858074967</v>
      </c>
      <c r="G164" s="241">
        <f t="shared" si="36"/>
        <v>0.12467210301754285</v>
      </c>
    </row>
    <row r="165" spans="1:7">
      <c r="A165" s="306" t="s">
        <v>348</v>
      </c>
      <c r="B165" s="307"/>
      <c r="C165" s="307" t="s">
        <v>349</v>
      </c>
      <c r="D165" s="244">
        <f t="shared" ref="D165:G165" si="37">IF(D177=0,0,D180/D177)</f>
        <v>6.4223951114082398E-2</v>
      </c>
      <c r="E165" s="244">
        <f t="shared" si="37"/>
        <v>6.4323544205588126E-2</v>
      </c>
      <c r="F165" s="244">
        <f t="shared" si="37"/>
        <v>5.8233665141375124E-2</v>
      </c>
      <c r="G165" s="244">
        <f t="shared" si="37"/>
        <v>5.9430217440345753E-2</v>
      </c>
    </row>
    <row r="166" spans="1:7">
      <c r="A166" s="215" t="s">
        <v>350</v>
      </c>
      <c r="B166" s="214"/>
      <c r="C166" s="214" t="s">
        <v>218</v>
      </c>
      <c r="D166" s="218">
        <f t="shared" ref="D166:G166" si="38">D55</f>
        <v>16651.8</v>
      </c>
      <c r="E166" s="218">
        <f t="shared" si="38"/>
        <v>15685</v>
      </c>
      <c r="F166" s="218">
        <f t="shared" si="38"/>
        <v>16634.799999999996</v>
      </c>
      <c r="G166" s="218">
        <f t="shared" si="38"/>
        <v>16057.399999999998</v>
      </c>
    </row>
    <row r="167" spans="1:7">
      <c r="A167" s="301" t="s">
        <v>351</v>
      </c>
      <c r="B167" s="302"/>
      <c r="C167" s="302" t="s">
        <v>352</v>
      </c>
      <c r="D167" s="238">
        <f t="shared" ref="D167:G167" si="39">IF(0=D111,0,(D44+D45+D46+D47+D48)/D111)</f>
        <v>9.4710715436741606E-3</v>
      </c>
      <c r="E167" s="238">
        <f t="shared" si="39"/>
        <v>0</v>
      </c>
      <c r="F167" s="238">
        <f t="shared" si="39"/>
        <v>7.9915065365359465E-3</v>
      </c>
      <c r="G167" s="238">
        <f t="shared" si="39"/>
        <v>5.3107285578813737E-3</v>
      </c>
    </row>
    <row r="168" spans="1:7">
      <c r="A168" s="215" t="s">
        <v>353</v>
      </c>
      <c r="B168" s="290"/>
      <c r="C168" s="290" t="s">
        <v>354</v>
      </c>
      <c r="D168" s="218">
        <f t="shared" ref="D168:G168" si="40">D38-D44</f>
        <v>804.30000000000018</v>
      </c>
      <c r="E168" s="218">
        <f t="shared" si="40"/>
        <v>1108</v>
      </c>
      <c r="F168" s="218">
        <f t="shared" si="40"/>
        <v>593.69999999999982</v>
      </c>
      <c r="G168" s="218">
        <f t="shared" si="40"/>
        <v>1261.2</v>
      </c>
    </row>
    <row r="169" spans="1:7">
      <c r="A169" s="301" t="s">
        <v>355</v>
      </c>
      <c r="B169" s="302"/>
      <c r="C169" s="302" t="s">
        <v>356</v>
      </c>
      <c r="D169" s="221">
        <f t="shared" ref="D169:G169" si="41">IF(D177=0,0,D168/D177)</f>
        <v>2.5764667328909059E-3</v>
      </c>
      <c r="E169" s="221">
        <f t="shared" si="41"/>
        <v>3.6425680762440784E-3</v>
      </c>
      <c r="F169" s="221">
        <f t="shared" si="41"/>
        <v>1.7101200972668607E-3</v>
      </c>
      <c r="G169" s="221">
        <f t="shared" si="41"/>
        <v>3.9626009894563139E-3</v>
      </c>
    </row>
    <row r="170" spans="1:7">
      <c r="A170" s="215" t="s">
        <v>357</v>
      </c>
      <c r="B170" s="214"/>
      <c r="C170" s="214" t="s">
        <v>358</v>
      </c>
      <c r="D170" s="218">
        <f t="shared" ref="D170:G170" si="42">SUM(D82:D87)+SUM(D89:D94)</f>
        <v>26268.9</v>
      </c>
      <c r="E170" s="218">
        <f t="shared" si="42"/>
        <v>36457</v>
      </c>
      <c r="F170" s="218">
        <f t="shared" si="42"/>
        <v>24826.400000000001</v>
      </c>
      <c r="G170" s="218">
        <f t="shared" si="42"/>
        <v>29460.799999999999</v>
      </c>
    </row>
    <row r="171" spans="1:7">
      <c r="A171" s="215" t="s">
        <v>359</v>
      </c>
      <c r="B171" s="214"/>
      <c r="C171" s="214" t="s">
        <v>360</v>
      </c>
      <c r="D171" s="239">
        <f t="shared" ref="D171:G171" si="43">SUM(D96:D102)+SUM(D104:D105)</f>
        <v>12736.4</v>
      </c>
      <c r="E171" s="239">
        <f t="shared" si="43"/>
        <v>15501</v>
      </c>
      <c r="F171" s="239">
        <f t="shared" si="43"/>
        <v>11640.3</v>
      </c>
      <c r="G171" s="239">
        <f t="shared" si="43"/>
        <v>13944.5</v>
      </c>
    </row>
    <row r="172" spans="1:7">
      <c r="A172" s="306" t="s">
        <v>361</v>
      </c>
      <c r="B172" s="307"/>
      <c r="C172" s="307" t="s">
        <v>362</v>
      </c>
      <c r="D172" s="244">
        <f t="shared" ref="D172:G172" si="44">IF(D184=0,0,D170/D184)</f>
        <v>8.2220297651818916E-2</v>
      </c>
      <c r="E172" s="244">
        <f t="shared" si="44"/>
        <v>0.10780130519505481</v>
      </c>
      <c r="F172" s="244">
        <f t="shared" si="44"/>
        <v>7.6966789734247809E-2</v>
      </c>
      <c r="G172" s="244">
        <f t="shared" si="44"/>
        <v>8.4750087523808346E-2</v>
      </c>
    </row>
    <row r="173" spans="1:7">
      <c r="A173" s="389"/>
    </row>
    <row r="174" spans="1:7">
      <c r="A174" s="310" t="s">
        <v>363</v>
      </c>
      <c r="B174" s="248"/>
      <c r="C174" s="247"/>
      <c r="D174" s="161"/>
      <c r="E174" s="161"/>
      <c r="F174" s="161"/>
      <c r="G174" s="161"/>
    </row>
    <row r="175" spans="1:7" s="91" customFormat="1">
      <c r="A175" s="312" t="s">
        <v>364</v>
      </c>
      <c r="B175" s="248"/>
      <c r="C175" s="248" t="s">
        <v>387</v>
      </c>
      <c r="D175" s="245">
        <v>42016</v>
      </c>
      <c r="E175" s="245">
        <v>42200</v>
      </c>
      <c r="F175" s="245">
        <v>42274</v>
      </c>
      <c r="G175" s="245">
        <v>42512</v>
      </c>
    </row>
    <row r="176" spans="1:7">
      <c r="A176" s="310" t="s">
        <v>366</v>
      </c>
      <c r="B176" s="248"/>
      <c r="C176" s="248"/>
      <c r="D176" s="248"/>
      <c r="E176" s="248"/>
      <c r="F176" s="248"/>
      <c r="G176" s="248"/>
    </row>
    <row r="177" spans="1:7">
      <c r="A177" s="312" t="s">
        <v>367</v>
      </c>
      <c r="B177" s="248"/>
      <c r="C177" s="248" t="s">
        <v>368</v>
      </c>
      <c r="D177" s="249">
        <f t="shared" ref="D177:G177" si="45">SUM(D22:D32)+SUM(D44:D53)+SUM(D65:D72)+D75</f>
        <v>312171.70000000007</v>
      </c>
      <c r="E177" s="249">
        <f t="shared" si="45"/>
        <v>304181</v>
      </c>
      <c r="F177" s="249">
        <f t="shared" si="45"/>
        <v>347168.6</v>
      </c>
      <c r="G177" s="249">
        <f t="shared" si="45"/>
        <v>318275.80000000005</v>
      </c>
    </row>
    <row r="178" spans="1:7">
      <c r="A178" s="312" t="s">
        <v>369</v>
      </c>
      <c r="B178" s="248"/>
      <c r="C178" s="248" t="s">
        <v>370</v>
      </c>
      <c r="D178" s="249">
        <f t="shared" ref="D178:G178" si="46">D78-D17-D20-D59-D63-D64</f>
        <v>314351.10000000003</v>
      </c>
      <c r="E178" s="249">
        <f t="shared" si="46"/>
        <v>320940</v>
      </c>
      <c r="F178" s="249">
        <f t="shared" si="46"/>
        <v>317174.50000000006</v>
      </c>
      <c r="G178" s="249">
        <f t="shared" si="46"/>
        <v>336843.60000000003</v>
      </c>
    </row>
    <row r="179" spans="1:7">
      <c r="A179" s="312"/>
      <c r="B179" s="248"/>
      <c r="C179" s="248" t="s">
        <v>371</v>
      </c>
      <c r="D179" s="249">
        <f t="shared" ref="D179:G179" si="47">D178+D170</f>
        <v>340620.00000000006</v>
      </c>
      <c r="E179" s="249">
        <f t="shared" si="47"/>
        <v>357397</v>
      </c>
      <c r="F179" s="249">
        <f t="shared" si="47"/>
        <v>342000.90000000008</v>
      </c>
      <c r="G179" s="249">
        <f t="shared" si="47"/>
        <v>366304.4</v>
      </c>
    </row>
    <row r="180" spans="1:7">
      <c r="A180" s="312" t="s">
        <v>372</v>
      </c>
      <c r="B180" s="248"/>
      <c r="C180" s="248" t="s">
        <v>373</v>
      </c>
      <c r="D180" s="249">
        <f t="shared" ref="D180:G180" si="48">D38-D44+D8+D9+D10+D16-D33</f>
        <v>20048.900000000001</v>
      </c>
      <c r="E180" s="249">
        <f t="shared" si="48"/>
        <v>19566</v>
      </c>
      <c r="F180" s="249">
        <f t="shared" si="48"/>
        <v>20216.900000000001</v>
      </c>
      <c r="G180" s="249">
        <f t="shared" si="48"/>
        <v>18915.2</v>
      </c>
    </row>
    <row r="181" spans="1:7" ht="27.5" customHeight="1">
      <c r="A181" s="315" t="s">
        <v>374</v>
      </c>
      <c r="B181" s="251"/>
      <c r="C181" s="251" t="s">
        <v>375</v>
      </c>
      <c r="D181" s="252">
        <f t="shared" ref="D181:G181" si="49">D22+D23+D24+D25+D26+D29+SUM(D44:D47)+SUM(D49:D53)-D54+D32-D33+SUM(D65:D70)+D72</f>
        <v>311333.8</v>
      </c>
      <c r="E181" s="252">
        <f t="shared" si="49"/>
        <v>303950</v>
      </c>
      <c r="F181" s="252">
        <f t="shared" si="49"/>
        <v>346987.9</v>
      </c>
      <c r="G181" s="252">
        <f t="shared" si="49"/>
        <v>317604.8</v>
      </c>
    </row>
    <row r="182" spans="1:7">
      <c r="A182" s="317" t="s">
        <v>376</v>
      </c>
      <c r="B182" s="251"/>
      <c r="C182" s="251" t="s">
        <v>377</v>
      </c>
      <c r="D182" s="252">
        <f t="shared" ref="D182:G182" si="50">D181+D171</f>
        <v>324070.2</v>
      </c>
      <c r="E182" s="252">
        <f t="shared" si="50"/>
        <v>319451</v>
      </c>
      <c r="F182" s="252">
        <f t="shared" si="50"/>
        <v>358628.2</v>
      </c>
      <c r="G182" s="252">
        <f t="shared" si="50"/>
        <v>331549.3</v>
      </c>
    </row>
    <row r="183" spans="1:7">
      <c r="A183" s="317" t="s">
        <v>378</v>
      </c>
      <c r="B183" s="251"/>
      <c r="C183" s="251" t="s">
        <v>379</v>
      </c>
      <c r="D183" s="252">
        <f t="shared" ref="D183" si="51">D4+D5-D7+D38+D39+D40+D41+D43+D13-D16+D57+D58+D60+D62</f>
        <v>293225.2</v>
      </c>
      <c r="E183" s="252">
        <f>E4+E5-E7+E38+E39+E40+E41+E43+E13-E16+E57+E58+E60+E62</f>
        <v>301730</v>
      </c>
      <c r="F183" s="252">
        <f>F4+F5-F7+F38+F39+F40+F41+F43+F13-F16+F57+F58+F60+F62</f>
        <v>297733.5</v>
      </c>
      <c r="G183" s="252">
        <f>G4+G5-G7+G38+G39+G40+G41+G43+G13-G16+G57+G58+G60+G62</f>
        <v>318158.90000000002</v>
      </c>
    </row>
    <row r="184" spans="1:7">
      <c r="A184" s="317" t="s">
        <v>380</v>
      </c>
      <c r="B184" s="251"/>
      <c r="C184" s="251" t="s">
        <v>381</v>
      </c>
      <c r="D184" s="252">
        <f t="shared" ref="D184:G184" si="52">D183+D170</f>
        <v>319494.10000000003</v>
      </c>
      <c r="E184" s="252">
        <f t="shared" si="52"/>
        <v>338187</v>
      </c>
      <c r="F184" s="252">
        <f t="shared" si="52"/>
        <v>322559.90000000002</v>
      </c>
      <c r="G184" s="252">
        <f t="shared" si="52"/>
        <v>347619.7</v>
      </c>
    </row>
    <row r="185" spans="1:7">
      <c r="A185" s="317"/>
      <c r="B185" s="251"/>
      <c r="C185" s="251" t="s">
        <v>382</v>
      </c>
      <c r="D185" s="252">
        <f t="shared" ref="D185:G186" si="53">D181-D183</f>
        <v>18108.599999999977</v>
      </c>
      <c r="E185" s="252">
        <f t="shared" si="53"/>
        <v>2220</v>
      </c>
      <c r="F185" s="252">
        <f t="shared" si="53"/>
        <v>49254.400000000023</v>
      </c>
      <c r="G185" s="252">
        <f t="shared" si="53"/>
        <v>-554.10000000003492</v>
      </c>
    </row>
    <row r="186" spans="1:7">
      <c r="A186" s="317"/>
      <c r="B186" s="251"/>
      <c r="C186" s="251" t="s">
        <v>383</v>
      </c>
      <c r="D186" s="252">
        <f t="shared" si="53"/>
        <v>4576.0999999999767</v>
      </c>
      <c r="E186" s="252">
        <f t="shared" si="53"/>
        <v>-18736</v>
      </c>
      <c r="F186" s="252">
        <f t="shared" si="53"/>
        <v>36068.299999999988</v>
      </c>
      <c r="G186" s="252">
        <f t="shared" si="53"/>
        <v>-16070.400000000023</v>
      </c>
    </row>
  </sheetData>
  <sheetProtection selectLockedCells="1" sort="0" autoFilter="0" pivotTables="0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80" max="8" man="1"/>
    <brk id="148" max="8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L186"/>
  <sheetViews>
    <sheetView tabSelected="1" zoomScale="115" zoomScaleNormal="115" workbookViewId="0">
      <pane xSplit="3" ySplit="2" topLeftCell="D3" activePane="bottomRight" state="frozen"/>
      <selection activeCell="F2" sqref="F2"/>
      <selection pane="topRight" activeCell="F2" sqref="F2"/>
      <selection pane="bottomLeft" activeCell="F2" sqref="F2"/>
      <selection pane="bottomRight" activeCell="F2" sqref="F2"/>
    </sheetView>
  </sheetViews>
  <sheetFormatPr baseColWidth="10" defaultColWidth="11.5" defaultRowHeight="13"/>
  <cols>
    <col min="1" max="1" width="17.33203125" style="84" customWidth="1"/>
    <col min="2" max="2" width="3.6640625" style="84" customWidth="1"/>
    <col min="3" max="3" width="44.6640625" style="84" customWidth="1"/>
    <col min="4" max="5" width="11.5" style="84"/>
    <col min="6" max="7" width="11.5" style="84" customWidth="1"/>
    <col min="8" max="16384" width="11.5" style="84"/>
  </cols>
  <sheetData>
    <row r="1" spans="1:38" s="77" customFormat="1" ht="18" customHeight="1">
      <c r="A1" s="72" t="s">
        <v>156</v>
      </c>
      <c r="B1" s="73" t="s">
        <v>611</v>
      </c>
      <c r="C1" s="73" t="s">
        <v>92</v>
      </c>
      <c r="D1" s="74" t="s">
        <v>7</v>
      </c>
      <c r="E1" s="75" t="s">
        <v>9</v>
      </c>
      <c r="F1" s="74" t="s">
        <v>7</v>
      </c>
      <c r="G1" s="75" t="s">
        <v>9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</row>
    <row r="2" spans="1:38" s="83" customFormat="1" ht="15" customHeight="1">
      <c r="A2" s="78"/>
      <c r="B2" s="79"/>
      <c r="C2" s="80" t="s">
        <v>158</v>
      </c>
      <c r="D2" s="81">
        <v>2014</v>
      </c>
      <c r="E2" s="82">
        <v>2015</v>
      </c>
      <c r="F2" s="81">
        <v>2015</v>
      </c>
      <c r="G2" s="82">
        <v>2016</v>
      </c>
    </row>
    <row r="3" spans="1:38" ht="15" customHeight="1">
      <c r="A3" s="678" t="s">
        <v>159</v>
      </c>
      <c r="B3" s="679"/>
      <c r="C3" s="679"/>
      <c r="D3" s="91"/>
      <c r="E3" s="394"/>
      <c r="F3" s="85"/>
      <c r="G3" s="85"/>
    </row>
    <row r="4" spans="1:38" s="91" customFormat="1" ht="12.75" customHeight="1">
      <c r="A4" s="86">
        <v>30</v>
      </c>
      <c r="B4" s="87"/>
      <c r="C4" s="88" t="s">
        <v>14</v>
      </c>
      <c r="D4" s="89">
        <v>69747</v>
      </c>
      <c r="E4" s="90">
        <v>73666</v>
      </c>
      <c r="F4" s="90">
        <v>70379.100000000006</v>
      </c>
      <c r="G4" s="90">
        <v>74128.399999999994</v>
      </c>
    </row>
    <row r="5" spans="1:38" s="91" customFormat="1" ht="12.75" customHeight="1">
      <c r="A5" s="92">
        <v>31</v>
      </c>
      <c r="B5" s="93"/>
      <c r="C5" s="94" t="s">
        <v>160</v>
      </c>
      <c r="D5" s="95">
        <v>29982</v>
      </c>
      <c r="E5" s="96">
        <v>29733</v>
      </c>
      <c r="F5" s="96">
        <v>28225.9</v>
      </c>
      <c r="G5" s="96">
        <v>30150.5</v>
      </c>
    </row>
    <row r="6" spans="1:38" s="91" customFormat="1" ht="12.75" customHeight="1">
      <c r="A6" s="97" t="s">
        <v>17</v>
      </c>
      <c r="B6" s="98"/>
      <c r="C6" s="99" t="s">
        <v>161</v>
      </c>
      <c r="D6" s="100">
        <v>7055</v>
      </c>
      <c r="E6" s="96">
        <v>7108</v>
      </c>
      <c r="F6" s="96">
        <v>6159.7</v>
      </c>
      <c r="G6" s="96">
        <v>7466</v>
      </c>
    </row>
    <row r="7" spans="1:38" s="91" customFormat="1" ht="12.75" customHeight="1">
      <c r="A7" s="97" t="s">
        <v>162</v>
      </c>
      <c r="B7" s="98"/>
      <c r="C7" s="99" t="s">
        <v>163</v>
      </c>
      <c r="D7" s="100">
        <v>382</v>
      </c>
      <c r="E7" s="96">
        <v>99</v>
      </c>
      <c r="F7" s="96">
        <v>406.4</v>
      </c>
      <c r="G7" s="96">
        <v>153</v>
      </c>
    </row>
    <row r="8" spans="1:38" s="91" customFormat="1" ht="12.75" customHeight="1">
      <c r="A8" s="101">
        <v>330</v>
      </c>
      <c r="B8" s="93"/>
      <c r="C8" s="94" t="s">
        <v>164</v>
      </c>
      <c r="D8" s="95">
        <v>5621</v>
      </c>
      <c r="E8" s="96">
        <v>5186</v>
      </c>
      <c r="F8" s="96">
        <v>5055.8</v>
      </c>
      <c r="G8" s="96">
        <v>4919.5</v>
      </c>
    </row>
    <row r="9" spans="1:38" s="91" customFormat="1" ht="12.75" customHeight="1">
      <c r="A9" s="101">
        <v>332</v>
      </c>
      <c r="B9" s="93"/>
      <c r="C9" s="94" t="s">
        <v>165</v>
      </c>
      <c r="D9" s="95">
        <v>183</v>
      </c>
      <c r="E9" s="96">
        <v>247</v>
      </c>
      <c r="F9" s="96">
        <v>168.7</v>
      </c>
      <c r="G9" s="96">
        <v>474.8</v>
      </c>
    </row>
    <row r="10" spans="1:38" s="91" customFormat="1" ht="12.75" customHeight="1">
      <c r="A10" s="101">
        <v>339</v>
      </c>
      <c r="B10" s="93"/>
      <c r="C10" s="94" t="s">
        <v>166</v>
      </c>
      <c r="D10" s="95">
        <v>0</v>
      </c>
      <c r="E10" s="96">
        <v>0</v>
      </c>
      <c r="F10" s="96">
        <v>0</v>
      </c>
      <c r="G10" s="96">
        <v>0</v>
      </c>
    </row>
    <row r="11" spans="1:38" s="91" customFormat="1" ht="12.75" customHeight="1">
      <c r="A11" s="92">
        <v>350</v>
      </c>
      <c r="B11" s="93"/>
      <c r="C11" s="94" t="s">
        <v>167</v>
      </c>
      <c r="D11" s="95">
        <v>2512</v>
      </c>
      <c r="E11" s="96">
        <v>2570</v>
      </c>
      <c r="F11" s="96">
        <v>2986.7</v>
      </c>
      <c r="G11" s="96">
        <v>2624.6</v>
      </c>
    </row>
    <row r="12" spans="1:38" s="106" customFormat="1" ht="14">
      <c r="A12" s="102">
        <v>351</v>
      </c>
      <c r="B12" s="103"/>
      <c r="C12" s="104" t="s">
        <v>168</v>
      </c>
      <c r="D12" s="145">
        <v>19152</v>
      </c>
      <c r="E12" s="96">
        <v>1047</v>
      </c>
      <c r="F12" s="96">
        <v>816.3</v>
      </c>
      <c r="G12" s="96">
        <v>755.2</v>
      </c>
    </row>
    <row r="13" spans="1:38" s="91" customFormat="1" ht="12.75" customHeight="1">
      <c r="A13" s="92">
        <v>36</v>
      </c>
      <c r="B13" s="93"/>
      <c r="C13" s="94" t="s">
        <v>169</v>
      </c>
      <c r="D13" s="130">
        <v>180876</v>
      </c>
      <c r="E13" s="96">
        <v>177297</v>
      </c>
      <c r="F13" s="96">
        <v>180371.7</v>
      </c>
      <c r="G13" s="96">
        <v>184913</v>
      </c>
    </row>
    <row r="14" spans="1:38" s="91" customFormat="1" ht="12.75" customHeight="1">
      <c r="A14" s="107" t="s">
        <v>170</v>
      </c>
      <c r="B14" s="93"/>
      <c r="C14" s="108" t="s">
        <v>171</v>
      </c>
      <c r="D14" s="130">
        <v>45357</v>
      </c>
      <c r="E14" s="96">
        <v>41920</v>
      </c>
      <c r="F14" s="96">
        <v>42998.2</v>
      </c>
      <c r="G14" s="96">
        <v>46212</v>
      </c>
    </row>
    <row r="15" spans="1:38" s="91" customFormat="1" ht="12.75" customHeight="1">
      <c r="A15" s="107" t="s">
        <v>172</v>
      </c>
      <c r="B15" s="93"/>
      <c r="C15" s="108" t="s">
        <v>173</v>
      </c>
      <c r="D15" s="130">
        <v>5652</v>
      </c>
      <c r="E15" s="96">
        <v>3896</v>
      </c>
      <c r="F15" s="96">
        <v>3434.5</v>
      </c>
      <c r="G15" s="96">
        <v>3644.3</v>
      </c>
    </row>
    <row r="16" spans="1:38" s="111" customFormat="1" ht="26.25" customHeight="1">
      <c r="A16" s="107" t="s">
        <v>174</v>
      </c>
      <c r="B16" s="109"/>
      <c r="C16" s="108" t="s">
        <v>175</v>
      </c>
      <c r="D16" s="395">
        <f>94+2+7902</f>
        <v>7998</v>
      </c>
      <c r="E16" s="395">
        <f>8268</f>
        <v>8268</v>
      </c>
      <c r="F16" s="96">
        <v>8653.9</v>
      </c>
      <c r="G16" s="96">
        <v>7980</v>
      </c>
    </row>
    <row r="17" spans="1:7" s="113" customFormat="1">
      <c r="A17" s="92">
        <v>37</v>
      </c>
      <c r="B17" s="93"/>
      <c r="C17" s="94" t="s">
        <v>176</v>
      </c>
      <c r="D17" s="130">
        <v>26582</v>
      </c>
      <c r="E17" s="96">
        <v>29325</v>
      </c>
      <c r="F17" s="96">
        <v>28098.400000000001</v>
      </c>
      <c r="G17" s="96">
        <v>30498.3</v>
      </c>
    </row>
    <row r="18" spans="1:7" s="113" customFormat="1">
      <c r="A18" s="114" t="s">
        <v>177</v>
      </c>
      <c r="B18" s="98"/>
      <c r="C18" s="99" t="s">
        <v>178</v>
      </c>
      <c r="D18" s="130">
        <v>963</v>
      </c>
      <c r="E18" s="96">
        <v>960</v>
      </c>
      <c r="F18" s="96">
        <v>993.9</v>
      </c>
      <c r="G18" s="96">
        <v>360</v>
      </c>
    </row>
    <row r="19" spans="1:7" s="113" customFormat="1">
      <c r="A19" s="114" t="s">
        <v>179</v>
      </c>
      <c r="B19" s="98"/>
      <c r="C19" s="99" t="s">
        <v>180</v>
      </c>
      <c r="D19" s="130">
        <v>0</v>
      </c>
      <c r="E19" s="96">
        <v>0</v>
      </c>
      <c r="F19" s="96">
        <v>0</v>
      </c>
      <c r="G19" s="96">
        <v>0</v>
      </c>
    </row>
    <row r="20" spans="1:7" s="91" customFormat="1" ht="12.75" customHeight="1">
      <c r="A20" s="116">
        <v>39</v>
      </c>
      <c r="B20" s="117"/>
      <c r="C20" s="118" t="s">
        <v>181</v>
      </c>
      <c r="D20" s="177">
        <v>10770</v>
      </c>
      <c r="E20" s="120">
        <v>10560</v>
      </c>
      <c r="F20" s="120">
        <v>11103.7</v>
      </c>
      <c r="G20" s="120">
        <v>12225</v>
      </c>
    </row>
    <row r="21" spans="1:7" ht="12.75" customHeight="1">
      <c r="A21" s="121"/>
      <c r="B21" s="121"/>
      <c r="C21" s="122" t="s">
        <v>182</v>
      </c>
      <c r="D21" s="123">
        <f t="shared" ref="D21:G21" si="0">D4+D5+SUM(D8:D13)+D17</f>
        <v>334655</v>
      </c>
      <c r="E21" s="123">
        <f t="shared" si="0"/>
        <v>319071</v>
      </c>
      <c r="F21" s="123">
        <f t="shared" si="0"/>
        <v>316102.60000000003</v>
      </c>
      <c r="G21" s="123">
        <f t="shared" si="0"/>
        <v>328464.3</v>
      </c>
    </row>
    <row r="22" spans="1:7" s="91" customFormat="1" ht="12.75" customHeight="1">
      <c r="A22" s="101" t="s">
        <v>183</v>
      </c>
      <c r="B22" s="93"/>
      <c r="C22" s="94" t="s">
        <v>184</v>
      </c>
      <c r="D22" s="95">
        <f>79160+11180</f>
        <v>90340</v>
      </c>
      <c r="E22" s="124">
        <f>72830+9190</f>
        <v>82020</v>
      </c>
      <c r="F22" s="124">
        <v>89341.2</v>
      </c>
      <c r="G22" s="124">
        <v>88305</v>
      </c>
    </row>
    <row r="23" spans="1:7" s="91" customFormat="1" ht="12.75" customHeight="1">
      <c r="A23" s="101" t="s">
        <v>185</v>
      </c>
      <c r="B23" s="93"/>
      <c r="C23" s="94" t="s">
        <v>186</v>
      </c>
      <c r="D23" s="95">
        <f>3465+11447</f>
        <v>14912</v>
      </c>
      <c r="E23" s="124">
        <f>2920+11308</f>
        <v>14228</v>
      </c>
      <c r="F23" s="124">
        <v>16494.2</v>
      </c>
      <c r="G23" s="124">
        <v>14681</v>
      </c>
    </row>
    <row r="24" spans="1:7" s="125" customFormat="1" ht="12.75" customHeight="1">
      <c r="A24" s="92">
        <v>41</v>
      </c>
      <c r="B24" s="93"/>
      <c r="C24" s="94" t="s">
        <v>187</v>
      </c>
      <c r="D24" s="95">
        <v>8296</v>
      </c>
      <c r="E24" s="124">
        <v>13069</v>
      </c>
      <c r="F24" s="124">
        <v>15323</v>
      </c>
      <c r="G24" s="124">
        <v>9862.1</v>
      </c>
    </row>
    <row r="25" spans="1:7" s="91" customFormat="1" ht="12.75" customHeight="1">
      <c r="A25" s="126">
        <v>42</v>
      </c>
      <c r="B25" s="127"/>
      <c r="C25" s="94" t="s">
        <v>188</v>
      </c>
      <c r="D25" s="95">
        <v>39458</v>
      </c>
      <c r="E25" s="124">
        <v>39319</v>
      </c>
      <c r="F25" s="124">
        <v>38010.9</v>
      </c>
      <c r="G25" s="124">
        <v>27937.7</v>
      </c>
    </row>
    <row r="26" spans="1:7" s="129" customFormat="1" ht="12.75" customHeight="1">
      <c r="A26" s="102">
        <v>430</v>
      </c>
      <c r="B26" s="93"/>
      <c r="C26" s="94" t="s">
        <v>189</v>
      </c>
      <c r="D26" s="112">
        <v>50</v>
      </c>
      <c r="E26" s="128">
        <v>49</v>
      </c>
      <c r="F26" s="128">
        <v>54.3</v>
      </c>
      <c r="G26" s="128">
        <v>50.5</v>
      </c>
    </row>
    <row r="27" spans="1:7" s="129" customFormat="1" ht="12.75" customHeight="1">
      <c r="A27" s="102">
        <v>431</v>
      </c>
      <c r="B27" s="93"/>
      <c r="C27" s="94" t="s">
        <v>190</v>
      </c>
      <c r="D27" s="112">
        <v>296</v>
      </c>
      <c r="E27" s="128">
        <v>270</v>
      </c>
      <c r="F27" s="128">
        <v>305.3</v>
      </c>
      <c r="G27" s="128">
        <v>285</v>
      </c>
    </row>
    <row r="28" spans="1:7" s="129" customFormat="1" ht="12.75" customHeight="1">
      <c r="A28" s="102">
        <v>432</v>
      </c>
      <c r="B28" s="93"/>
      <c r="C28" s="94" t="s">
        <v>191</v>
      </c>
      <c r="D28" s="112">
        <v>0</v>
      </c>
      <c r="E28" s="128">
        <v>0</v>
      </c>
      <c r="F28" s="128">
        <v>0</v>
      </c>
      <c r="G28" s="128">
        <v>0</v>
      </c>
    </row>
    <row r="29" spans="1:7" s="129" customFormat="1" ht="12.75" customHeight="1">
      <c r="A29" s="102">
        <v>439</v>
      </c>
      <c r="B29" s="93"/>
      <c r="C29" s="94" t="s">
        <v>192</v>
      </c>
      <c r="D29" s="112">
        <v>0</v>
      </c>
      <c r="E29" s="128">
        <v>0</v>
      </c>
      <c r="F29" s="128">
        <v>0</v>
      </c>
      <c r="G29" s="128">
        <v>0</v>
      </c>
    </row>
    <row r="30" spans="1:7" s="91" customFormat="1" ht="31.25" customHeight="1">
      <c r="A30" s="102">
        <v>450</v>
      </c>
      <c r="B30" s="103"/>
      <c r="C30" s="104" t="s">
        <v>193</v>
      </c>
      <c r="D30" s="130">
        <v>706</v>
      </c>
      <c r="E30" s="96">
        <v>982</v>
      </c>
      <c r="F30" s="96">
        <v>519.70000000000005</v>
      </c>
      <c r="G30" s="96">
        <v>860.4</v>
      </c>
    </row>
    <row r="31" spans="1:7" s="106" customFormat="1" ht="29.5" customHeight="1">
      <c r="A31" s="102">
        <v>451</v>
      </c>
      <c r="B31" s="103"/>
      <c r="C31" s="104" t="s">
        <v>194</v>
      </c>
      <c r="D31" s="95">
        <v>4898</v>
      </c>
      <c r="E31" s="124">
        <v>6078</v>
      </c>
      <c r="F31" s="124">
        <v>9010.9</v>
      </c>
      <c r="G31" s="124">
        <v>5303.6</v>
      </c>
    </row>
    <row r="32" spans="1:7" s="91" customFormat="1" ht="12.75" customHeight="1">
      <c r="A32" s="92">
        <v>46</v>
      </c>
      <c r="B32" s="93"/>
      <c r="C32" s="94" t="s">
        <v>195</v>
      </c>
      <c r="D32" s="95">
        <v>128410</v>
      </c>
      <c r="E32" s="124">
        <v>126520</v>
      </c>
      <c r="F32" s="124">
        <v>128523.4</v>
      </c>
      <c r="G32" s="124">
        <v>130870.1</v>
      </c>
    </row>
    <row r="33" spans="1:7" s="106" customFormat="1" ht="12.75" customHeight="1">
      <c r="A33" s="114" t="s">
        <v>196</v>
      </c>
      <c r="B33" s="98"/>
      <c r="C33" s="99" t="s">
        <v>197</v>
      </c>
      <c r="D33" s="95">
        <v>0</v>
      </c>
      <c r="E33" s="132">
        <v>0</v>
      </c>
      <c r="F33" s="132">
        <v>0</v>
      </c>
      <c r="G33" s="132">
        <v>0</v>
      </c>
    </row>
    <row r="34" spans="1:7" s="91" customFormat="1" ht="15" customHeight="1">
      <c r="A34" s="92">
        <v>47</v>
      </c>
      <c r="B34" s="93"/>
      <c r="C34" s="94" t="s">
        <v>176</v>
      </c>
      <c r="D34" s="95">
        <v>26582</v>
      </c>
      <c r="E34" s="124">
        <v>29325</v>
      </c>
      <c r="F34" s="124">
        <v>28098.400000000001</v>
      </c>
      <c r="G34" s="124">
        <v>30498.3</v>
      </c>
    </row>
    <row r="35" spans="1:7" s="91" customFormat="1" ht="15" customHeight="1">
      <c r="A35" s="116">
        <v>49</v>
      </c>
      <c r="B35" s="117"/>
      <c r="C35" s="118" t="s">
        <v>198</v>
      </c>
      <c r="D35" s="177">
        <v>10770</v>
      </c>
      <c r="E35" s="133">
        <v>10560</v>
      </c>
      <c r="F35" s="133">
        <v>11103.7</v>
      </c>
      <c r="G35" s="133">
        <v>12225.1</v>
      </c>
    </row>
    <row r="36" spans="1:7" ht="13.5" customHeight="1">
      <c r="A36" s="121"/>
      <c r="B36" s="134"/>
      <c r="C36" s="122" t="s">
        <v>199</v>
      </c>
      <c r="D36" s="123">
        <f t="shared" ref="D36:G36" si="1">D22+D23+D24+D25+D26+D27+D28+D29+D30+D31+D32+D34</f>
        <v>313948</v>
      </c>
      <c r="E36" s="123">
        <f t="shared" si="1"/>
        <v>311860</v>
      </c>
      <c r="F36" s="123">
        <f t="shared" si="1"/>
        <v>325681.3</v>
      </c>
      <c r="G36" s="123">
        <f t="shared" si="1"/>
        <v>308653.7</v>
      </c>
    </row>
    <row r="37" spans="1:7" s="135" customFormat="1" ht="15" customHeight="1">
      <c r="A37" s="121"/>
      <c r="B37" s="134"/>
      <c r="C37" s="122" t="s">
        <v>200</v>
      </c>
      <c r="D37" s="123">
        <f t="shared" ref="D37:G37" si="2">D36-D21</f>
        <v>-20707</v>
      </c>
      <c r="E37" s="123">
        <f t="shared" si="2"/>
        <v>-7211</v>
      </c>
      <c r="F37" s="123">
        <f t="shared" si="2"/>
        <v>9578.6999999999534</v>
      </c>
      <c r="G37" s="123">
        <f t="shared" si="2"/>
        <v>-19810.599999999977</v>
      </c>
    </row>
    <row r="38" spans="1:7" s="106" customFormat="1" ht="15" customHeight="1">
      <c r="A38" s="101">
        <v>340</v>
      </c>
      <c r="B38" s="93"/>
      <c r="C38" s="94" t="s">
        <v>201</v>
      </c>
      <c r="D38" s="130">
        <v>940</v>
      </c>
      <c r="E38" s="124">
        <v>1127</v>
      </c>
      <c r="F38" s="124">
        <v>775.1</v>
      </c>
      <c r="G38" s="124">
        <v>713</v>
      </c>
    </row>
    <row r="39" spans="1:7" s="106" customFormat="1" ht="15" customHeight="1">
      <c r="A39" s="101">
        <v>341</v>
      </c>
      <c r="B39" s="93"/>
      <c r="C39" s="94" t="s">
        <v>202</v>
      </c>
      <c r="D39" s="95">
        <v>17</v>
      </c>
      <c r="E39" s="124">
        <v>0</v>
      </c>
      <c r="F39" s="124">
        <v>0</v>
      </c>
      <c r="G39" s="124">
        <v>0</v>
      </c>
    </row>
    <row r="40" spans="1:7" s="106" customFormat="1" ht="15" customHeight="1">
      <c r="A40" s="101">
        <v>342</v>
      </c>
      <c r="B40" s="93"/>
      <c r="C40" s="94" t="s">
        <v>203</v>
      </c>
      <c r="D40" s="95">
        <v>1041</v>
      </c>
      <c r="E40" s="124">
        <v>0</v>
      </c>
      <c r="F40" s="124">
        <v>0</v>
      </c>
      <c r="G40" s="124">
        <v>0</v>
      </c>
    </row>
    <row r="41" spans="1:7" s="106" customFormat="1" ht="15" customHeight="1">
      <c r="A41" s="101">
        <v>343</v>
      </c>
      <c r="B41" s="93"/>
      <c r="C41" s="94" t="s">
        <v>204</v>
      </c>
      <c r="D41" s="95">
        <v>626</v>
      </c>
      <c r="E41" s="124">
        <v>742</v>
      </c>
      <c r="F41" s="124">
        <v>379.2</v>
      </c>
      <c r="G41" s="124">
        <v>208.1</v>
      </c>
    </row>
    <row r="42" spans="1:7" s="106" customFormat="1" ht="15" customHeight="1">
      <c r="A42" s="101">
        <v>344</v>
      </c>
      <c r="B42" s="93"/>
      <c r="C42" s="94" t="s">
        <v>205</v>
      </c>
      <c r="D42" s="95">
        <v>11077</v>
      </c>
      <c r="E42" s="124">
        <v>0</v>
      </c>
      <c r="F42" s="124">
        <v>535.6</v>
      </c>
      <c r="G42" s="124">
        <v>0</v>
      </c>
    </row>
    <row r="43" spans="1:7" s="106" customFormat="1" ht="15" customHeight="1">
      <c r="A43" s="101">
        <v>349</v>
      </c>
      <c r="B43" s="93"/>
      <c r="C43" s="94" t="s">
        <v>206</v>
      </c>
      <c r="D43" s="95">
        <v>11794</v>
      </c>
      <c r="E43" s="124">
        <v>15750</v>
      </c>
      <c r="F43" s="124">
        <v>11547.8</v>
      </c>
      <c r="G43" s="124">
        <v>10500</v>
      </c>
    </row>
    <row r="44" spans="1:7" s="91" customFormat="1" ht="15" customHeight="1">
      <c r="A44" s="92">
        <v>440</v>
      </c>
      <c r="B44" s="93"/>
      <c r="C44" s="94" t="s">
        <v>207</v>
      </c>
      <c r="D44" s="130">
        <v>6528</v>
      </c>
      <c r="E44" s="124">
        <v>6348</v>
      </c>
      <c r="F44" s="124">
        <v>197.7</v>
      </c>
      <c r="G44" s="124">
        <v>6412.1</v>
      </c>
    </row>
    <row r="45" spans="1:7" s="91" customFormat="1" ht="15" customHeight="1">
      <c r="A45" s="92">
        <v>441</v>
      </c>
      <c r="B45" s="93"/>
      <c r="C45" s="94" t="s">
        <v>208</v>
      </c>
      <c r="D45" s="130">
        <v>21680</v>
      </c>
      <c r="E45" s="124">
        <v>4000</v>
      </c>
      <c r="F45" s="124">
        <v>0</v>
      </c>
      <c r="G45" s="124">
        <v>0</v>
      </c>
    </row>
    <row r="46" spans="1:7" s="91" customFormat="1" ht="15" customHeight="1">
      <c r="A46" s="92">
        <v>442</v>
      </c>
      <c r="B46" s="93"/>
      <c r="C46" s="94" t="s">
        <v>209</v>
      </c>
      <c r="D46" s="130">
        <v>4218</v>
      </c>
      <c r="E46" s="124">
        <v>2800</v>
      </c>
      <c r="F46" s="124">
        <v>2565.6</v>
      </c>
      <c r="G46" s="124">
        <v>3487</v>
      </c>
    </row>
    <row r="47" spans="1:7" s="91" customFormat="1" ht="15" customHeight="1">
      <c r="A47" s="92">
        <v>443</v>
      </c>
      <c r="B47" s="93"/>
      <c r="C47" s="94" t="s">
        <v>210</v>
      </c>
      <c r="D47" s="130">
        <v>1256</v>
      </c>
      <c r="E47" s="124">
        <v>1287</v>
      </c>
      <c r="F47" s="124">
        <v>1395.8</v>
      </c>
      <c r="G47" s="124">
        <v>1198.2</v>
      </c>
    </row>
    <row r="48" spans="1:7" s="91" customFormat="1" ht="15" customHeight="1">
      <c r="A48" s="92">
        <v>444</v>
      </c>
      <c r="B48" s="93"/>
      <c r="C48" s="94" t="s">
        <v>205</v>
      </c>
      <c r="D48" s="130">
        <v>26809</v>
      </c>
      <c r="E48" s="124">
        <v>0</v>
      </c>
      <c r="F48" s="124">
        <v>4399.3</v>
      </c>
      <c r="G48" s="124">
        <v>0</v>
      </c>
    </row>
    <row r="49" spans="1:7" s="91" customFormat="1" ht="15" customHeight="1">
      <c r="A49" s="92">
        <v>445</v>
      </c>
      <c r="B49" s="93"/>
      <c r="C49" s="94" t="s">
        <v>211</v>
      </c>
      <c r="D49" s="130">
        <v>126</v>
      </c>
      <c r="E49" s="124">
        <v>132</v>
      </c>
      <c r="F49" s="124">
        <v>102.3</v>
      </c>
      <c r="G49" s="124">
        <v>132</v>
      </c>
    </row>
    <row r="50" spans="1:7" s="91" customFormat="1" ht="15" customHeight="1">
      <c r="A50" s="92">
        <v>446</v>
      </c>
      <c r="B50" s="93"/>
      <c r="C50" s="94" t="s">
        <v>212</v>
      </c>
      <c r="D50" s="130">
        <v>5346</v>
      </c>
      <c r="E50" s="124">
        <v>4916</v>
      </c>
      <c r="F50" s="124">
        <v>5605.4</v>
      </c>
      <c r="G50" s="124">
        <v>6440</v>
      </c>
    </row>
    <row r="51" spans="1:7" s="91" customFormat="1" ht="15" customHeight="1">
      <c r="A51" s="92">
        <v>447</v>
      </c>
      <c r="B51" s="93"/>
      <c r="C51" s="94" t="s">
        <v>213</v>
      </c>
      <c r="D51" s="130">
        <v>406</v>
      </c>
      <c r="E51" s="124">
        <v>415</v>
      </c>
      <c r="F51" s="124">
        <v>356.5</v>
      </c>
      <c r="G51" s="124">
        <v>456</v>
      </c>
    </row>
    <row r="52" spans="1:7" s="91" customFormat="1" ht="15" customHeight="1">
      <c r="A52" s="92">
        <v>448</v>
      </c>
      <c r="B52" s="93"/>
      <c r="C52" s="94" t="s">
        <v>214</v>
      </c>
      <c r="D52" s="130">
        <v>0</v>
      </c>
      <c r="E52" s="124">
        <v>0</v>
      </c>
      <c r="F52" s="124">
        <v>0</v>
      </c>
      <c r="G52" s="124">
        <v>0</v>
      </c>
    </row>
    <row r="53" spans="1:7" s="91" customFormat="1" ht="15" customHeight="1">
      <c r="A53" s="92">
        <v>449</v>
      </c>
      <c r="B53" s="93"/>
      <c r="C53" s="94" t="s">
        <v>215</v>
      </c>
      <c r="D53" s="130">
        <v>0</v>
      </c>
      <c r="E53" s="124">
        <v>0</v>
      </c>
      <c r="F53" s="124">
        <v>0</v>
      </c>
      <c r="G53" s="124">
        <v>0</v>
      </c>
    </row>
    <row r="54" spans="1:7" s="106" customFormat="1" ht="13.5" customHeight="1">
      <c r="A54" s="136" t="s">
        <v>216</v>
      </c>
      <c r="B54" s="137"/>
      <c r="C54" s="137" t="s">
        <v>217</v>
      </c>
      <c r="D54" s="264">
        <v>0</v>
      </c>
      <c r="E54" s="139">
        <v>0</v>
      </c>
      <c r="F54" s="139">
        <v>0</v>
      </c>
      <c r="G54" s="139">
        <v>0</v>
      </c>
    </row>
    <row r="55" spans="1:7" ht="15" customHeight="1">
      <c r="A55" s="134"/>
      <c r="B55" s="134"/>
      <c r="C55" s="122" t="s">
        <v>218</v>
      </c>
      <c r="D55" s="123">
        <f t="shared" ref="D55:G55" si="3">SUM(D44:D53)-SUM(D38:D43)</f>
        <v>40874</v>
      </c>
      <c r="E55" s="123">
        <f t="shared" si="3"/>
        <v>2279</v>
      </c>
      <c r="F55" s="123">
        <f t="shared" si="3"/>
        <v>1384.8999999999996</v>
      </c>
      <c r="G55" s="123">
        <f t="shared" si="3"/>
        <v>6704.2000000000025</v>
      </c>
    </row>
    <row r="56" spans="1:7" ht="14.25" customHeight="1">
      <c r="A56" s="134"/>
      <c r="B56" s="134"/>
      <c r="C56" s="122" t="s">
        <v>219</v>
      </c>
      <c r="D56" s="123">
        <f t="shared" ref="D56:G56" si="4">D55+D37</f>
        <v>20167</v>
      </c>
      <c r="E56" s="123">
        <f t="shared" si="4"/>
        <v>-4932</v>
      </c>
      <c r="F56" s="123">
        <f t="shared" si="4"/>
        <v>10963.599999999953</v>
      </c>
      <c r="G56" s="123">
        <f t="shared" si="4"/>
        <v>-13106.399999999974</v>
      </c>
    </row>
    <row r="57" spans="1:7" s="91" customFormat="1" ht="15.75" customHeight="1">
      <c r="A57" s="140">
        <v>380</v>
      </c>
      <c r="B57" s="141"/>
      <c r="C57" s="142" t="s">
        <v>220</v>
      </c>
      <c r="D57" s="265">
        <v>0</v>
      </c>
      <c r="E57" s="266">
        <v>0</v>
      </c>
      <c r="F57" s="266">
        <v>0</v>
      </c>
      <c r="G57" s="266">
        <v>0</v>
      </c>
    </row>
    <row r="58" spans="1:7" s="91" customFormat="1" ht="15.75" customHeight="1">
      <c r="A58" s="140">
        <v>381</v>
      </c>
      <c r="B58" s="141"/>
      <c r="C58" s="142" t="s">
        <v>221</v>
      </c>
      <c r="D58" s="265">
        <v>99</v>
      </c>
      <c r="E58" s="266">
        <v>0</v>
      </c>
      <c r="F58" s="266">
        <v>15.9</v>
      </c>
      <c r="G58" s="266">
        <v>0</v>
      </c>
    </row>
    <row r="59" spans="1:7" s="106" customFormat="1" ht="14">
      <c r="A59" s="102">
        <v>383</v>
      </c>
      <c r="B59" s="103"/>
      <c r="C59" s="104" t="s">
        <v>222</v>
      </c>
      <c r="D59" s="267">
        <v>1804</v>
      </c>
      <c r="E59" s="144">
        <v>0</v>
      </c>
      <c r="F59" s="144">
        <v>2730.5</v>
      </c>
      <c r="G59" s="144">
        <v>0</v>
      </c>
    </row>
    <row r="60" spans="1:7" s="106" customFormat="1" ht="14">
      <c r="A60" s="102">
        <v>3840</v>
      </c>
      <c r="B60" s="103"/>
      <c r="C60" s="104" t="s">
        <v>223</v>
      </c>
      <c r="D60" s="145">
        <v>0</v>
      </c>
      <c r="E60" s="146">
        <v>0</v>
      </c>
      <c r="F60" s="146">
        <v>0</v>
      </c>
      <c r="G60" s="146">
        <v>0</v>
      </c>
    </row>
    <row r="61" spans="1:7" s="106" customFormat="1" ht="14">
      <c r="A61" s="102">
        <v>3841</v>
      </c>
      <c r="B61" s="103"/>
      <c r="C61" s="104" t="s">
        <v>224</v>
      </c>
      <c r="D61" s="145">
        <v>0</v>
      </c>
      <c r="E61" s="146">
        <v>0</v>
      </c>
      <c r="F61" s="146">
        <v>0</v>
      </c>
      <c r="G61" s="146">
        <v>0</v>
      </c>
    </row>
    <row r="62" spans="1:7" s="106" customFormat="1" ht="14">
      <c r="A62" s="147">
        <v>386</v>
      </c>
      <c r="B62" s="148"/>
      <c r="C62" s="149" t="s">
        <v>225</v>
      </c>
      <c r="D62" s="145">
        <v>0</v>
      </c>
      <c r="E62" s="146">
        <v>0</v>
      </c>
      <c r="F62" s="146">
        <v>0</v>
      </c>
      <c r="G62" s="146">
        <v>0</v>
      </c>
    </row>
    <row r="63" spans="1:7" s="106" customFormat="1" ht="28">
      <c r="A63" s="102">
        <v>387</v>
      </c>
      <c r="B63" s="103"/>
      <c r="C63" s="104" t="s">
        <v>226</v>
      </c>
      <c r="D63" s="145">
        <v>3692</v>
      </c>
      <c r="E63" s="146">
        <v>0</v>
      </c>
      <c r="F63" s="146">
        <v>5901.3</v>
      </c>
      <c r="G63" s="146">
        <v>0</v>
      </c>
    </row>
    <row r="64" spans="1:7" s="106" customFormat="1">
      <c r="A64" s="101">
        <v>389</v>
      </c>
      <c r="B64" s="150"/>
      <c r="C64" s="94" t="s">
        <v>42</v>
      </c>
      <c r="D64" s="95">
        <v>305</v>
      </c>
      <c r="E64" s="124">
        <v>0</v>
      </c>
      <c r="F64" s="124">
        <v>0</v>
      </c>
      <c r="G64" s="124">
        <v>0</v>
      </c>
    </row>
    <row r="65" spans="1:7" s="91" customFormat="1">
      <c r="A65" s="101" t="s">
        <v>227</v>
      </c>
      <c r="B65" s="93"/>
      <c r="C65" s="94" t="s">
        <v>228</v>
      </c>
      <c r="D65" s="95">
        <v>0</v>
      </c>
      <c r="E65" s="124">
        <v>0</v>
      </c>
      <c r="F65" s="124">
        <v>0</v>
      </c>
      <c r="G65" s="124">
        <v>0</v>
      </c>
    </row>
    <row r="66" spans="1:7" s="153" customFormat="1" ht="14">
      <c r="A66" s="151" t="s">
        <v>229</v>
      </c>
      <c r="B66" s="152"/>
      <c r="C66" s="104" t="s">
        <v>230</v>
      </c>
      <c r="D66" s="143">
        <v>0</v>
      </c>
      <c r="E66" s="144">
        <v>0</v>
      </c>
      <c r="F66" s="144">
        <v>0</v>
      </c>
      <c r="G66" s="144">
        <v>0</v>
      </c>
    </row>
    <row r="67" spans="1:7" s="91" customFormat="1">
      <c r="A67" s="154">
        <v>481</v>
      </c>
      <c r="B67" s="93"/>
      <c r="C67" s="94" t="s">
        <v>231</v>
      </c>
      <c r="D67" s="95">
        <v>0</v>
      </c>
      <c r="E67" s="124">
        <v>0</v>
      </c>
      <c r="F67" s="124">
        <v>0</v>
      </c>
      <c r="G67" s="124">
        <v>0</v>
      </c>
    </row>
    <row r="68" spans="1:7" s="91" customFormat="1">
      <c r="A68" s="154">
        <v>482</v>
      </c>
      <c r="B68" s="93"/>
      <c r="C68" s="94" t="s">
        <v>232</v>
      </c>
      <c r="D68" s="95">
        <v>0</v>
      </c>
      <c r="E68" s="124">
        <v>0</v>
      </c>
      <c r="F68" s="124">
        <v>0</v>
      </c>
      <c r="G68" s="124">
        <v>0</v>
      </c>
    </row>
    <row r="69" spans="1:7" s="91" customFormat="1">
      <c r="A69" s="154">
        <v>483</v>
      </c>
      <c r="B69" s="93"/>
      <c r="C69" s="94" t="s">
        <v>233</v>
      </c>
      <c r="D69" s="95">
        <v>0</v>
      </c>
      <c r="E69" s="124">
        <v>0</v>
      </c>
      <c r="F69" s="124">
        <v>0</v>
      </c>
      <c r="G69" s="124">
        <v>0</v>
      </c>
    </row>
    <row r="70" spans="1:7" s="91" customFormat="1">
      <c r="A70" s="154">
        <v>484</v>
      </c>
      <c r="B70" s="93"/>
      <c r="C70" s="94" t="s">
        <v>234</v>
      </c>
      <c r="D70" s="95">
        <v>0</v>
      </c>
      <c r="E70" s="124">
        <v>0</v>
      </c>
      <c r="F70" s="124">
        <v>0</v>
      </c>
      <c r="G70" s="124">
        <v>0</v>
      </c>
    </row>
    <row r="71" spans="1:7" s="91" customFormat="1">
      <c r="A71" s="154">
        <v>485</v>
      </c>
      <c r="B71" s="93"/>
      <c r="C71" s="94" t="s">
        <v>235</v>
      </c>
      <c r="D71" s="95">
        <v>0</v>
      </c>
      <c r="E71" s="124">
        <v>0</v>
      </c>
      <c r="F71" s="124">
        <v>0</v>
      </c>
      <c r="G71" s="124">
        <v>0</v>
      </c>
    </row>
    <row r="72" spans="1:7" s="91" customFormat="1">
      <c r="A72" s="154">
        <v>486</v>
      </c>
      <c r="B72" s="93"/>
      <c r="C72" s="94" t="s">
        <v>236</v>
      </c>
      <c r="D72" s="95">
        <v>237</v>
      </c>
      <c r="E72" s="124">
        <v>0</v>
      </c>
      <c r="F72" s="124">
        <v>0</v>
      </c>
      <c r="G72" s="124">
        <v>0</v>
      </c>
    </row>
    <row r="73" spans="1:7" s="106" customFormat="1">
      <c r="A73" s="154">
        <v>487</v>
      </c>
      <c r="B73" s="98"/>
      <c r="C73" s="94" t="s">
        <v>237</v>
      </c>
      <c r="D73" s="130">
        <v>0</v>
      </c>
      <c r="E73" s="124">
        <v>0</v>
      </c>
      <c r="F73" s="124">
        <v>0</v>
      </c>
      <c r="G73" s="124">
        <v>0</v>
      </c>
    </row>
    <row r="74" spans="1:7" s="106" customFormat="1">
      <c r="A74" s="154">
        <v>489</v>
      </c>
      <c r="B74" s="155"/>
      <c r="C74" s="118" t="s">
        <v>59</v>
      </c>
      <c r="D74" s="130">
        <v>83</v>
      </c>
      <c r="E74" s="124">
        <v>69</v>
      </c>
      <c r="F74" s="124">
        <v>69.900000000000006</v>
      </c>
      <c r="G74" s="124">
        <v>20</v>
      </c>
    </row>
    <row r="75" spans="1:7" s="106" customFormat="1">
      <c r="A75" s="156" t="s">
        <v>238</v>
      </c>
      <c r="B75" s="155"/>
      <c r="C75" s="137" t="s">
        <v>239</v>
      </c>
      <c r="D75" s="95">
        <v>0</v>
      </c>
      <c r="E75" s="124"/>
      <c r="F75" s="124"/>
      <c r="G75" s="124"/>
    </row>
    <row r="76" spans="1:7">
      <c r="A76" s="121"/>
      <c r="B76" s="121"/>
      <c r="C76" s="122" t="s">
        <v>240</v>
      </c>
      <c r="D76" s="123">
        <f t="shared" ref="D76:G76" si="5">SUM(D65:D74)-SUM(D57:D64)</f>
        <v>-5580</v>
      </c>
      <c r="E76" s="123">
        <f t="shared" si="5"/>
        <v>69</v>
      </c>
      <c r="F76" s="123">
        <f t="shared" si="5"/>
        <v>-8577.8000000000011</v>
      </c>
      <c r="G76" s="123">
        <f t="shared" si="5"/>
        <v>20</v>
      </c>
    </row>
    <row r="77" spans="1:7">
      <c r="A77" s="157"/>
      <c r="B77" s="157"/>
      <c r="C77" s="122" t="s">
        <v>241</v>
      </c>
      <c r="D77" s="123">
        <f t="shared" ref="D77:G77" si="6">D56+D76</f>
        <v>14587</v>
      </c>
      <c r="E77" s="123">
        <f t="shared" si="6"/>
        <v>-4863</v>
      </c>
      <c r="F77" s="123">
        <f t="shared" si="6"/>
        <v>2385.799999999952</v>
      </c>
      <c r="G77" s="123">
        <f t="shared" si="6"/>
        <v>-13086.399999999974</v>
      </c>
    </row>
    <row r="78" spans="1:7">
      <c r="A78" s="158">
        <v>3</v>
      </c>
      <c r="B78" s="158"/>
      <c r="C78" s="159" t="s">
        <v>242</v>
      </c>
      <c r="D78" s="160">
        <f t="shared" ref="D78:G78" si="7">D20+D21+SUM(D38:D43)+SUM(D57:D64)</f>
        <v>376820</v>
      </c>
      <c r="E78" s="160">
        <f t="shared" si="7"/>
        <v>347250</v>
      </c>
      <c r="F78" s="160">
        <f t="shared" si="7"/>
        <v>349091.70000000007</v>
      </c>
      <c r="G78" s="160">
        <f t="shared" si="7"/>
        <v>352110.39999999997</v>
      </c>
    </row>
    <row r="79" spans="1:7">
      <c r="A79" s="158">
        <v>4</v>
      </c>
      <c r="B79" s="158"/>
      <c r="C79" s="159" t="s">
        <v>243</v>
      </c>
      <c r="D79" s="160">
        <f t="shared" ref="D79:G79" si="8">D35+D36+SUM(D44:D53)+SUM(D65:D74)</f>
        <v>391407</v>
      </c>
      <c r="E79" s="160">
        <f t="shared" si="8"/>
        <v>342387</v>
      </c>
      <c r="F79" s="160">
        <f t="shared" si="8"/>
        <v>351477.5</v>
      </c>
      <c r="G79" s="160">
        <f t="shared" si="8"/>
        <v>339024.1</v>
      </c>
    </row>
    <row r="80" spans="1:7">
      <c r="C80" s="135"/>
      <c r="D80" s="161"/>
      <c r="E80" s="161"/>
      <c r="F80" s="161"/>
      <c r="G80" s="161"/>
    </row>
    <row r="81" spans="1:7">
      <c r="A81" s="680" t="s">
        <v>244</v>
      </c>
      <c r="B81" s="681"/>
      <c r="C81" s="681"/>
      <c r="D81" s="162"/>
      <c r="E81" s="163"/>
      <c r="F81" s="163"/>
      <c r="G81" s="163"/>
    </row>
    <row r="82" spans="1:7" s="91" customFormat="1">
      <c r="A82" s="164">
        <v>50</v>
      </c>
      <c r="B82" s="165"/>
      <c r="C82" s="165" t="s">
        <v>245</v>
      </c>
      <c r="D82" s="95">
        <v>12923</v>
      </c>
      <c r="E82" s="124">
        <v>11118</v>
      </c>
      <c r="F82" s="124">
        <v>15569</v>
      </c>
      <c r="G82" s="124">
        <v>10515</v>
      </c>
    </row>
    <row r="83" spans="1:7" s="91" customFormat="1">
      <c r="A83" s="164">
        <v>51</v>
      </c>
      <c r="B83" s="165"/>
      <c r="C83" s="165" t="s">
        <v>246</v>
      </c>
      <c r="D83" s="95">
        <v>0</v>
      </c>
      <c r="E83" s="124">
        <v>0</v>
      </c>
      <c r="F83" s="124">
        <v>0</v>
      </c>
      <c r="G83" s="124">
        <v>0</v>
      </c>
    </row>
    <row r="84" spans="1:7" s="91" customFormat="1">
      <c r="A84" s="164">
        <v>52</v>
      </c>
      <c r="B84" s="165"/>
      <c r="C84" s="165" t="s">
        <v>247</v>
      </c>
      <c r="D84" s="95">
        <v>651</v>
      </c>
      <c r="E84" s="124">
        <v>563</v>
      </c>
      <c r="F84" s="124">
        <v>650.1</v>
      </c>
      <c r="G84" s="124">
        <v>1170</v>
      </c>
    </row>
    <row r="85" spans="1:7" s="91" customFormat="1">
      <c r="A85" s="164">
        <v>54</v>
      </c>
      <c r="B85" s="165"/>
      <c r="C85" s="165" t="s">
        <v>248</v>
      </c>
      <c r="D85" s="95">
        <v>1650</v>
      </c>
      <c r="E85" s="124">
        <v>75</v>
      </c>
      <c r="F85" s="124">
        <v>1355.5</v>
      </c>
      <c r="G85" s="124">
        <v>2050</v>
      </c>
    </row>
    <row r="86" spans="1:7" s="91" customFormat="1">
      <c r="A86" s="164">
        <v>55</v>
      </c>
      <c r="B86" s="165"/>
      <c r="C86" s="165" t="s">
        <v>249</v>
      </c>
      <c r="D86" s="95">
        <v>8450</v>
      </c>
      <c r="E86" s="124">
        <v>0</v>
      </c>
      <c r="F86" s="124">
        <v>0</v>
      </c>
      <c r="G86" s="124">
        <v>0</v>
      </c>
    </row>
    <row r="87" spans="1:7" s="91" customFormat="1">
      <c r="A87" s="164">
        <v>56</v>
      </c>
      <c r="B87" s="165"/>
      <c r="C87" s="165" t="s">
        <v>250</v>
      </c>
      <c r="D87" s="95">
        <v>11734</v>
      </c>
      <c r="E87" s="124">
        <v>17078</v>
      </c>
      <c r="F87" s="124">
        <v>15537.7</v>
      </c>
      <c r="G87" s="124">
        <v>14797</v>
      </c>
    </row>
    <row r="88" spans="1:7" s="91" customFormat="1">
      <c r="A88" s="164">
        <v>57</v>
      </c>
      <c r="B88" s="165"/>
      <c r="C88" s="165" t="s">
        <v>251</v>
      </c>
      <c r="D88" s="95">
        <v>1961</v>
      </c>
      <c r="E88" s="124">
        <v>2475</v>
      </c>
      <c r="F88" s="124">
        <v>3317.8</v>
      </c>
      <c r="G88" s="124">
        <v>3275</v>
      </c>
    </row>
    <row r="89" spans="1:7" s="91" customFormat="1">
      <c r="A89" s="164">
        <v>580</v>
      </c>
      <c r="B89" s="165"/>
      <c r="C89" s="165" t="s">
        <v>252</v>
      </c>
      <c r="D89" s="95">
        <v>0</v>
      </c>
      <c r="E89" s="124">
        <v>0</v>
      </c>
      <c r="F89" s="124">
        <v>0</v>
      </c>
      <c r="G89" s="124">
        <v>0</v>
      </c>
    </row>
    <row r="90" spans="1:7" s="91" customFormat="1">
      <c r="A90" s="164">
        <v>582</v>
      </c>
      <c r="B90" s="165"/>
      <c r="C90" s="165" t="s">
        <v>253</v>
      </c>
      <c r="D90" s="95">
        <v>0</v>
      </c>
      <c r="E90" s="124">
        <v>0</v>
      </c>
      <c r="F90" s="124">
        <v>0</v>
      </c>
      <c r="G90" s="124">
        <v>0</v>
      </c>
    </row>
    <row r="91" spans="1:7" s="91" customFormat="1">
      <c r="A91" s="164">
        <v>584</v>
      </c>
      <c r="B91" s="165"/>
      <c r="C91" s="165" t="s">
        <v>254</v>
      </c>
      <c r="D91" s="95">
        <v>0</v>
      </c>
      <c r="E91" s="124">
        <v>0</v>
      </c>
      <c r="F91" s="124">
        <v>0</v>
      </c>
      <c r="G91" s="124">
        <v>0</v>
      </c>
    </row>
    <row r="92" spans="1:7" s="91" customFormat="1">
      <c r="A92" s="164">
        <v>585</v>
      </c>
      <c r="B92" s="165"/>
      <c r="C92" s="165" t="s">
        <v>255</v>
      </c>
      <c r="D92" s="95">
        <v>0</v>
      </c>
      <c r="E92" s="124">
        <v>0</v>
      </c>
      <c r="F92" s="124">
        <v>0</v>
      </c>
      <c r="G92" s="124">
        <v>0</v>
      </c>
    </row>
    <row r="93" spans="1:7" s="91" customFormat="1">
      <c r="A93" s="164">
        <v>586</v>
      </c>
      <c r="B93" s="165"/>
      <c r="C93" s="165" t="s">
        <v>256</v>
      </c>
      <c r="D93" s="95">
        <v>0</v>
      </c>
      <c r="E93" s="124">
        <v>0</v>
      </c>
      <c r="F93" s="124">
        <v>0</v>
      </c>
      <c r="G93" s="124">
        <v>0</v>
      </c>
    </row>
    <row r="94" spans="1:7" s="91" customFormat="1">
      <c r="A94" s="168">
        <v>589</v>
      </c>
      <c r="B94" s="169"/>
      <c r="C94" s="169" t="s">
        <v>257</v>
      </c>
      <c r="D94" s="119">
        <v>0</v>
      </c>
      <c r="E94" s="133">
        <v>0</v>
      </c>
      <c r="F94" s="133">
        <v>0</v>
      </c>
      <c r="G94" s="133">
        <v>0</v>
      </c>
    </row>
    <row r="95" spans="1:7">
      <c r="A95" s="170">
        <v>5</v>
      </c>
      <c r="B95" s="171"/>
      <c r="C95" s="171" t="s">
        <v>258</v>
      </c>
      <c r="D95" s="172">
        <f t="shared" ref="D95:G95" si="9">SUM(D82:D94)</f>
        <v>37369</v>
      </c>
      <c r="E95" s="172">
        <f t="shared" si="9"/>
        <v>31309</v>
      </c>
      <c r="F95" s="172">
        <f t="shared" si="9"/>
        <v>36430.100000000006</v>
      </c>
      <c r="G95" s="172">
        <f t="shared" si="9"/>
        <v>31807</v>
      </c>
    </row>
    <row r="96" spans="1:7" s="91" customFormat="1">
      <c r="A96" s="164">
        <v>60</v>
      </c>
      <c r="B96" s="165"/>
      <c r="C96" s="165" t="s">
        <v>259</v>
      </c>
      <c r="D96" s="95">
        <v>0</v>
      </c>
      <c r="E96" s="124">
        <v>0</v>
      </c>
      <c r="F96" s="124">
        <v>0</v>
      </c>
      <c r="G96" s="124">
        <v>0</v>
      </c>
    </row>
    <row r="97" spans="1:7" s="91" customFormat="1">
      <c r="A97" s="164">
        <v>61</v>
      </c>
      <c r="B97" s="165"/>
      <c r="C97" s="165" t="s">
        <v>260</v>
      </c>
      <c r="D97" s="95">
        <v>58</v>
      </c>
      <c r="E97" s="124">
        <v>0</v>
      </c>
      <c r="F97" s="124">
        <v>0</v>
      </c>
      <c r="G97" s="124">
        <v>0</v>
      </c>
    </row>
    <row r="98" spans="1:7" s="91" customFormat="1">
      <c r="A98" s="164">
        <v>62</v>
      </c>
      <c r="B98" s="165"/>
      <c r="C98" s="165" t="s">
        <v>261</v>
      </c>
      <c r="D98" s="95">
        <v>0</v>
      </c>
      <c r="E98" s="124">
        <v>0</v>
      </c>
      <c r="F98" s="124">
        <v>0</v>
      </c>
      <c r="G98" s="124">
        <v>0</v>
      </c>
    </row>
    <row r="99" spans="1:7" s="91" customFormat="1">
      <c r="A99" s="164">
        <v>63</v>
      </c>
      <c r="B99" s="165"/>
      <c r="C99" s="165" t="s">
        <v>262</v>
      </c>
      <c r="D99" s="95">
        <v>9175</v>
      </c>
      <c r="E99" s="124">
        <v>10430</v>
      </c>
      <c r="F99" s="124">
        <v>7668.1</v>
      </c>
      <c r="G99" s="124">
        <v>8448</v>
      </c>
    </row>
    <row r="100" spans="1:7" s="91" customFormat="1">
      <c r="A100" s="164">
        <v>64</v>
      </c>
      <c r="B100" s="165"/>
      <c r="C100" s="165" t="s">
        <v>263</v>
      </c>
      <c r="D100" s="95">
        <v>3641</v>
      </c>
      <c r="E100" s="124">
        <v>410</v>
      </c>
      <c r="F100" s="124">
        <v>2320.8000000000002</v>
      </c>
      <c r="G100" s="124">
        <v>1920</v>
      </c>
    </row>
    <row r="101" spans="1:7" s="91" customFormat="1">
      <c r="A101" s="164">
        <v>65</v>
      </c>
      <c r="B101" s="165"/>
      <c r="C101" s="165" t="s">
        <v>264</v>
      </c>
      <c r="D101" s="95">
        <v>1004</v>
      </c>
      <c r="E101" s="124">
        <v>0</v>
      </c>
      <c r="F101" s="124">
        <v>34.1</v>
      </c>
      <c r="G101" s="124">
        <v>0</v>
      </c>
    </row>
    <row r="102" spans="1:7" s="91" customFormat="1">
      <c r="A102" s="164">
        <v>66</v>
      </c>
      <c r="B102" s="165"/>
      <c r="C102" s="165" t="s">
        <v>265</v>
      </c>
      <c r="D102" s="95">
        <v>0</v>
      </c>
      <c r="E102" s="124">
        <v>0</v>
      </c>
      <c r="F102" s="124">
        <v>177.7</v>
      </c>
      <c r="G102" s="124">
        <v>0</v>
      </c>
    </row>
    <row r="103" spans="1:7" s="91" customFormat="1">
      <c r="A103" s="164">
        <v>67</v>
      </c>
      <c r="B103" s="165"/>
      <c r="C103" s="165" t="s">
        <v>251</v>
      </c>
      <c r="D103" s="130">
        <v>1961</v>
      </c>
      <c r="E103" s="96">
        <v>2475</v>
      </c>
      <c r="F103" s="96">
        <v>3317.8</v>
      </c>
      <c r="G103" s="96">
        <v>3275</v>
      </c>
    </row>
    <row r="104" spans="1:7" s="153" customFormat="1" ht="28">
      <c r="A104" s="173" t="s">
        <v>266</v>
      </c>
      <c r="B104" s="353"/>
      <c r="C104" s="174" t="s">
        <v>267</v>
      </c>
      <c r="D104" s="143">
        <v>0</v>
      </c>
      <c r="E104" s="144">
        <v>0</v>
      </c>
      <c r="F104" s="144">
        <v>0</v>
      </c>
      <c r="G104" s="144">
        <v>0</v>
      </c>
    </row>
    <row r="105" spans="1:7" s="153" customFormat="1" ht="42">
      <c r="A105" s="175" t="s">
        <v>268</v>
      </c>
      <c r="B105" s="356"/>
      <c r="C105" s="176" t="s">
        <v>269</v>
      </c>
      <c r="D105" s="434">
        <v>0</v>
      </c>
      <c r="E105" s="435">
        <v>0</v>
      </c>
      <c r="F105" s="435">
        <v>0</v>
      </c>
      <c r="G105" s="435">
        <v>0</v>
      </c>
    </row>
    <row r="106" spans="1:7">
      <c r="A106" s="170">
        <v>6</v>
      </c>
      <c r="B106" s="171"/>
      <c r="C106" s="171" t="s">
        <v>270</v>
      </c>
      <c r="D106" s="172">
        <f t="shared" ref="D106:G106" si="10">SUM(D96:D105)</f>
        <v>15839</v>
      </c>
      <c r="E106" s="172">
        <f t="shared" si="10"/>
        <v>13315</v>
      </c>
      <c r="F106" s="172">
        <f t="shared" si="10"/>
        <v>13518.500000000004</v>
      </c>
      <c r="G106" s="172">
        <f t="shared" si="10"/>
        <v>13643</v>
      </c>
    </row>
    <row r="107" spans="1:7">
      <c r="A107" s="178" t="s">
        <v>271</v>
      </c>
      <c r="B107" s="178"/>
      <c r="C107" s="171" t="s">
        <v>1</v>
      </c>
      <c r="D107" s="172">
        <f t="shared" ref="D107:G107" si="11">(D95-D88)-(D106-D103)</f>
        <v>21530</v>
      </c>
      <c r="E107" s="172">
        <f t="shared" si="11"/>
        <v>17994</v>
      </c>
      <c r="F107" s="172">
        <f t="shared" si="11"/>
        <v>22911.599999999999</v>
      </c>
      <c r="G107" s="172">
        <f t="shared" si="11"/>
        <v>18164</v>
      </c>
    </row>
    <row r="108" spans="1:7">
      <c r="A108" s="179" t="s">
        <v>272</v>
      </c>
      <c r="B108" s="179"/>
      <c r="C108" s="180" t="s">
        <v>273</v>
      </c>
      <c r="D108" s="172">
        <f t="shared" ref="D108:G108" si="12">ROUND(D107-D85-D86+D100+D101,0)</f>
        <v>16075</v>
      </c>
      <c r="E108" s="172">
        <f t="shared" si="12"/>
        <v>18329</v>
      </c>
      <c r="F108" s="172">
        <f t="shared" si="12"/>
        <v>23911</v>
      </c>
      <c r="G108" s="172">
        <f t="shared" si="12"/>
        <v>18034</v>
      </c>
    </row>
    <row r="109" spans="1:7">
      <c r="C109" s="135"/>
      <c r="D109" s="161"/>
      <c r="E109" s="161"/>
      <c r="F109" s="161"/>
      <c r="G109" s="161"/>
    </row>
    <row r="110" spans="1:7">
      <c r="A110" s="181" t="s">
        <v>274</v>
      </c>
      <c r="B110" s="182"/>
      <c r="C110" s="181"/>
      <c r="D110" s="161"/>
      <c r="E110" s="161"/>
      <c r="F110" s="161"/>
      <c r="G110" s="161"/>
    </row>
    <row r="111" spans="1:7" s="91" customFormat="1">
      <c r="A111" s="183">
        <v>10</v>
      </c>
      <c r="B111" s="184"/>
      <c r="C111" s="184" t="s">
        <v>275</v>
      </c>
      <c r="D111" s="185">
        <f t="shared" ref="D111:G111" si="13">D112+D117</f>
        <v>381364</v>
      </c>
      <c r="E111" s="186">
        <f t="shared" si="13"/>
        <v>0</v>
      </c>
      <c r="F111" s="186">
        <f t="shared" si="13"/>
        <v>365685.3</v>
      </c>
      <c r="G111" s="186">
        <f t="shared" si="13"/>
        <v>0</v>
      </c>
    </row>
    <row r="112" spans="1:7" s="91" customFormat="1">
      <c r="A112" s="187" t="s">
        <v>276</v>
      </c>
      <c r="B112" s="188"/>
      <c r="C112" s="188" t="s">
        <v>277</v>
      </c>
      <c r="D112" s="185">
        <f t="shared" ref="D112:G112" si="14">D113+D114+D115+D116</f>
        <v>89494</v>
      </c>
      <c r="E112" s="186">
        <f t="shared" si="14"/>
        <v>0</v>
      </c>
      <c r="F112" s="186">
        <f t="shared" si="14"/>
        <v>93982.099999999991</v>
      </c>
      <c r="G112" s="186">
        <f t="shared" si="14"/>
        <v>0</v>
      </c>
    </row>
    <row r="113" spans="1:7" s="91" customFormat="1">
      <c r="A113" s="189" t="s">
        <v>278</v>
      </c>
      <c r="B113" s="190"/>
      <c r="C113" s="190" t="s">
        <v>279</v>
      </c>
      <c r="D113" s="95">
        <f>11069+75339</f>
        <v>86408</v>
      </c>
      <c r="E113" s="124"/>
      <c r="F113" s="124">
        <v>89165.9</v>
      </c>
      <c r="G113" s="124"/>
    </row>
    <row r="114" spans="1:7" s="153" customFormat="1" ht="15" customHeight="1">
      <c r="A114" s="191">
        <v>102</v>
      </c>
      <c r="B114" s="192"/>
      <c r="C114" s="192" t="s">
        <v>280</v>
      </c>
      <c r="D114" s="143">
        <v>0</v>
      </c>
      <c r="E114" s="144"/>
      <c r="F114" s="144"/>
      <c r="G114" s="144"/>
    </row>
    <row r="115" spans="1:7" s="91" customFormat="1">
      <c r="A115" s="189">
        <v>104</v>
      </c>
      <c r="B115" s="190"/>
      <c r="C115" s="190" t="s">
        <v>281</v>
      </c>
      <c r="D115" s="95">
        <v>3086</v>
      </c>
      <c r="E115" s="124"/>
      <c r="F115" s="124">
        <v>4816.2</v>
      </c>
      <c r="G115" s="124"/>
    </row>
    <row r="116" spans="1:7" s="91" customFormat="1">
      <c r="A116" s="189">
        <v>106</v>
      </c>
      <c r="B116" s="190"/>
      <c r="C116" s="190" t="s">
        <v>282</v>
      </c>
      <c r="D116" s="95">
        <v>0</v>
      </c>
      <c r="E116" s="124"/>
      <c r="F116" s="124"/>
      <c r="G116" s="124"/>
    </row>
    <row r="117" spans="1:7" s="91" customFormat="1">
      <c r="A117" s="187" t="s">
        <v>283</v>
      </c>
      <c r="B117" s="188"/>
      <c r="C117" s="188" t="s">
        <v>284</v>
      </c>
      <c r="D117" s="185">
        <f t="shared" ref="D117:G117" si="15">D118+D119+D120</f>
        <v>291870</v>
      </c>
      <c r="E117" s="186">
        <f t="shared" si="15"/>
        <v>0</v>
      </c>
      <c r="F117" s="186">
        <f t="shared" si="15"/>
        <v>271703.2</v>
      </c>
      <c r="G117" s="186">
        <f t="shared" si="15"/>
        <v>0</v>
      </c>
    </row>
    <row r="118" spans="1:7" s="91" customFormat="1">
      <c r="A118" s="189">
        <v>107</v>
      </c>
      <c r="B118" s="190"/>
      <c r="C118" s="190" t="s">
        <v>285</v>
      </c>
      <c r="D118" s="95">
        <v>272844</v>
      </c>
      <c r="E118" s="124"/>
      <c r="F118" s="124">
        <v>255308.79999999999</v>
      </c>
      <c r="G118" s="124"/>
    </row>
    <row r="119" spans="1:7" s="91" customFormat="1">
      <c r="A119" s="189">
        <v>108</v>
      </c>
      <c r="B119" s="190"/>
      <c r="C119" s="190" t="s">
        <v>286</v>
      </c>
      <c r="D119" s="95">
        <v>19026</v>
      </c>
      <c r="E119" s="124"/>
      <c r="F119" s="124">
        <v>16394.400000000001</v>
      </c>
      <c r="G119" s="124"/>
    </row>
    <row r="120" spans="1:7" s="195" customFormat="1" ht="14">
      <c r="A120" s="191">
        <v>109</v>
      </c>
      <c r="B120" s="193"/>
      <c r="C120" s="193" t="s">
        <v>287</v>
      </c>
      <c r="D120" s="131">
        <v>0</v>
      </c>
      <c r="E120" s="194"/>
      <c r="F120" s="194"/>
      <c r="G120" s="194"/>
    </row>
    <row r="121" spans="1:7" s="91" customFormat="1">
      <c r="A121" s="187">
        <v>14</v>
      </c>
      <c r="B121" s="188"/>
      <c r="C121" s="188" t="s">
        <v>288</v>
      </c>
      <c r="D121" s="185">
        <f t="shared" ref="D121:G121" si="16">SUM(D122:D130)</f>
        <v>195139</v>
      </c>
      <c r="E121" s="185">
        <f t="shared" si="16"/>
        <v>0</v>
      </c>
      <c r="F121" s="185">
        <f t="shared" si="16"/>
        <v>195540.4</v>
      </c>
      <c r="G121" s="185">
        <f t="shared" si="16"/>
        <v>0</v>
      </c>
    </row>
    <row r="122" spans="1:7" s="91" customFormat="1">
      <c r="A122" s="189" t="s">
        <v>289</v>
      </c>
      <c r="B122" s="190"/>
      <c r="C122" s="190" t="s">
        <v>290</v>
      </c>
      <c r="D122" s="95">
        <f>20265+122</f>
        <v>20387</v>
      </c>
      <c r="E122" s="124"/>
      <c r="F122" s="124">
        <v>25336.5</v>
      </c>
      <c r="G122" s="124"/>
    </row>
    <row r="123" spans="1:7" s="91" customFormat="1">
      <c r="A123" s="189">
        <v>144</v>
      </c>
      <c r="B123" s="190"/>
      <c r="C123" s="190" t="s">
        <v>248</v>
      </c>
      <c r="D123" s="95">
        <v>26156</v>
      </c>
      <c r="E123" s="124"/>
      <c r="F123" s="124">
        <v>25190.2</v>
      </c>
      <c r="G123" s="124"/>
    </row>
    <row r="124" spans="1:7" s="91" customFormat="1">
      <c r="A124" s="189">
        <v>145</v>
      </c>
      <c r="B124" s="190"/>
      <c r="C124" s="190" t="s">
        <v>291</v>
      </c>
      <c r="D124" s="95">
        <v>99560</v>
      </c>
      <c r="E124" s="196"/>
      <c r="F124" s="196">
        <v>98937.7</v>
      </c>
      <c r="G124" s="196"/>
    </row>
    <row r="125" spans="1:7" s="91" customFormat="1">
      <c r="A125" s="189">
        <v>146</v>
      </c>
      <c r="B125" s="190"/>
      <c r="C125" s="190" t="s">
        <v>292</v>
      </c>
      <c r="D125" s="95">
        <v>69688</v>
      </c>
      <c r="E125" s="196"/>
      <c r="F125" s="196">
        <v>75359.5</v>
      </c>
      <c r="G125" s="196"/>
    </row>
    <row r="126" spans="1:7" s="195" customFormat="1" ht="29.5" customHeight="1">
      <c r="A126" s="191" t="s">
        <v>293</v>
      </c>
      <c r="B126" s="193"/>
      <c r="C126" s="193" t="s">
        <v>294</v>
      </c>
      <c r="D126" s="131">
        <f>-6269-122</f>
        <v>-6391</v>
      </c>
      <c r="E126" s="197"/>
      <c r="F126" s="197">
        <v>-9121.1</v>
      </c>
      <c r="G126" s="197"/>
    </row>
    <row r="127" spans="1:7" s="91" customFormat="1">
      <c r="A127" s="189">
        <v>1484</v>
      </c>
      <c r="B127" s="190"/>
      <c r="C127" s="190" t="s">
        <v>295</v>
      </c>
      <c r="D127" s="95">
        <v>0</v>
      </c>
      <c r="E127" s="196"/>
      <c r="F127" s="196"/>
      <c r="G127" s="196"/>
    </row>
    <row r="128" spans="1:7" s="91" customFormat="1">
      <c r="A128" s="189">
        <v>1485</v>
      </c>
      <c r="B128" s="190"/>
      <c r="C128" s="190" t="s">
        <v>296</v>
      </c>
      <c r="D128" s="95">
        <v>0</v>
      </c>
      <c r="E128" s="196"/>
      <c r="F128" s="196"/>
      <c r="G128" s="196"/>
    </row>
    <row r="129" spans="1:7" s="91" customFormat="1">
      <c r="A129" s="189">
        <v>1486</v>
      </c>
      <c r="B129" s="190"/>
      <c r="C129" s="190" t="s">
        <v>297</v>
      </c>
      <c r="D129" s="95">
        <v>-14261</v>
      </c>
      <c r="E129" s="196"/>
      <c r="F129" s="196">
        <v>-20162.400000000001</v>
      </c>
      <c r="G129" s="196"/>
    </row>
    <row r="130" spans="1:7" s="91" customFormat="1">
      <c r="A130" s="198">
        <v>1489</v>
      </c>
      <c r="B130" s="199"/>
      <c r="C130" s="199" t="s">
        <v>298</v>
      </c>
      <c r="D130" s="119">
        <v>0</v>
      </c>
      <c r="E130" s="200"/>
      <c r="F130" s="200"/>
      <c r="G130" s="200"/>
    </row>
    <row r="131" spans="1:7">
      <c r="A131" s="201">
        <v>1</v>
      </c>
      <c r="B131" s="202"/>
      <c r="C131" s="201" t="s">
        <v>299</v>
      </c>
      <c r="D131" s="203">
        <f t="shared" ref="D131:G131" si="17">D111+D121</f>
        <v>576503</v>
      </c>
      <c r="E131" s="203">
        <f t="shared" si="17"/>
        <v>0</v>
      </c>
      <c r="F131" s="203">
        <f t="shared" si="17"/>
        <v>561225.69999999995</v>
      </c>
      <c r="G131" s="203">
        <f t="shared" si="17"/>
        <v>0</v>
      </c>
    </row>
    <row r="132" spans="1:7">
      <c r="C132" s="135"/>
      <c r="D132" s="161"/>
      <c r="E132" s="161"/>
      <c r="F132" s="161"/>
      <c r="G132" s="161"/>
    </row>
    <row r="133" spans="1:7" s="91" customFormat="1">
      <c r="A133" s="183">
        <v>20</v>
      </c>
      <c r="B133" s="184"/>
      <c r="C133" s="184" t="s">
        <v>300</v>
      </c>
      <c r="D133" s="204">
        <f t="shared" ref="D133:G133" si="18">D134+D140</f>
        <v>165020</v>
      </c>
      <c r="E133" s="318">
        <f t="shared" si="18"/>
        <v>0</v>
      </c>
      <c r="F133" s="318">
        <f t="shared" si="18"/>
        <v>180150.3</v>
      </c>
      <c r="G133" s="318">
        <f t="shared" si="18"/>
        <v>0</v>
      </c>
    </row>
    <row r="134" spans="1:7" s="91" customFormat="1">
      <c r="A134" s="205" t="s">
        <v>301</v>
      </c>
      <c r="B134" s="188"/>
      <c r="C134" s="188" t="s">
        <v>302</v>
      </c>
      <c r="D134" s="185">
        <f t="shared" ref="D134:G134" si="19">D135+D136+D138+D139</f>
        <v>82281</v>
      </c>
      <c r="E134" s="186">
        <f t="shared" si="19"/>
        <v>0</v>
      </c>
      <c r="F134" s="186">
        <f t="shared" si="19"/>
        <v>117218.7</v>
      </c>
      <c r="G134" s="186">
        <f t="shared" si="19"/>
        <v>0</v>
      </c>
    </row>
    <row r="135" spans="1:7" s="106" customFormat="1">
      <c r="A135" s="206">
        <v>200</v>
      </c>
      <c r="B135" s="190"/>
      <c r="C135" s="190" t="s">
        <v>303</v>
      </c>
      <c r="D135" s="95">
        <v>75725</v>
      </c>
      <c r="E135" s="124"/>
      <c r="F135" s="124">
        <v>76679.899999999994</v>
      </c>
      <c r="G135" s="124"/>
    </row>
    <row r="136" spans="1:7" s="106" customFormat="1">
      <c r="A136" s="206">
        <v>201</v>
      </c>
      <c r="B136" s="190"/>
      <c r="C136" s="190" t="s">
        <v>304</v>
      </c>
      <c r="D136" s="95">
        <v>0</v>
      </c>
      <c r="E136" s="124"/>
      <c r="F136" s="124">
        <v>30000</v>
      </c>
      <c r="G136" s="124"/>
    </row>
    <row r="137" spans="1:7" s="106" customFormat="1">
      <c r="A137" s="207" t="s">
        <v>612</v>
      </c>
      <c r="B137" s="208"/>
      <c r="C137" s="208" t="s">
        <v>306</v>
      </c>
      <c r="D137" s="100">
        <v>0</v>
      </c>
      <c r="E137" s="209"/>
      <c r="F137" s="209"/>
      <c r="G137" s="209"/>
    </row>
    <row r="138" spans="1:7" s="106" customFormat="1">
      <c r="A138" s="206">
        <v>204</v>
      </c>
      <c r="B138" s="190"/>
      <c r="C138" s="190" t="s">
        <v>307</v>
      </c>
      <c r="D138" s="95">
        <v>5009</v>
      </c>
      <c r="E138" s="196"/>
      <c r="F138" s="196">
        <v>8962.2000000000007</v>
      </c>
      <c r="G138" s="196"/>
    </row>
    <row r="139" spans="1:7" s="106" customFormat="1">
      <c r="A139" s="206">
        <v>205</v>
      </c>
      <c r="B139" s="190"/>
      <c r="C139" s="190" t="s">
        <v>308</v>
      </c>
      <c r="D139" s="95">
        <v>1547</v>
      </c>
      <c r="E139" s="196"/>
      <c r="F139" s="196">
        <v>1576.6</v>
      </c>
      <c r="G139" s="196"/>
    </row>
    <row r="140" spans="1:7" s="106" customFormat="1">
      <c r="A140" s="205" t="s">
        <v>309</v>
      </c>
      <c r="B140" s="188"/>
      <c r="C140" s="188" t="s">
        <v>310</v>
      </c>
      <c r="D140" s="185">
        <f t="shared" ref="D140:G140" si="20">D141+D143+D144</f>
        <v>82739</v>
      </c>
      <c r="E140" s="186">
        <f t="shared" si="20"/>
        <v>0</v>
      </c>
      <c r="F140" s="186">
        <f t="shared" si="20"/>
        <v>62931.6</v>
      </c>
      <c r="G140" s="186">
        <f t="shared" si="20"/>
        <v>0</v>
      </c>
    </row>
    <row r="141" spans="1:7" s="106" customFormat="1">
      <c r="A141" s="206">
        <v>206</v>
      </c>
      <c r="B141" s="190"/>
      <c r="C141" s="190" t="s">
        <v>311</v>
      </c>
      <c r="D141" s="95">
        <v>61402</v>
      </c>
      <c r="E141" s="196"/>
      <c r="F141" s="196">
        <v>41213.599999999999</v>
      </c>
      <c r="G141" s="196"/>
    </row>
    <row r="142" spans="1:7" s="106" customFormat="1">
      <c r="A142" s="207" t="s">
        <v>312</v>
      </c>
      <c r="B142" s="208"/>
      <c r="C142" s="208" t="s">
        <v>313</v>
      </c>
      <c r="D142" s="100">
        <v>0</v>
      </c>
      <c r="E142" s="209"/>
      <c r="F142" s="209">
        <v>0</v>
      </c>
      <c r="G142" s="209"/>
    </row>
    <row r="143" spans="1:7" s="106" customFormat="1">
      <c r="A143" s="206">
        <v>208</v>
      </c>
      <c r="B143" s="190"/>
      <c r="C143" s="190" t="s">
        <v>314</v>
      </c>
      <c r="D143" s="95">
        <v>0</v>
      </c>
      <c r="E143" s="196"/>
      <c r="F143" s="196">
        <v>0</v>
      </c>
      <c r="G143" s="196"/>
    </row>
    <row r="144" spans="1:7" s="111" customFormat="1" ht="28">
      <c r="A144" s="191">
        <v>209</v>
      </c>
      <c r="B144" s="193"/>
      <c r="C144" s="193" t="s">
        <v>315</v>
      </c>
      <c r="D144" s="131">
        <v>21337</v>
      </c>
      <c r="E144" s="197"/>
      <c r="F144" s="197">
        <v>21718</v>
      </c>
      <c r="G144" s="197"/>
    </row>
    <row r="145" spans="1:7" s="91" customFormat="1">
      <c r="A145" s="205">
        <v>29</v>
      </c>
      <c r="B145" s="188"/>
      <c r="C145" s="188" t="s">
        <v>316</v>
      </c>
      <c r="D145" s="210">
        <v>411483</v>
      </c>
      <c r="E145" s="196"/>
      <c r="F145" s="196">
        <v>381075.9</v>
      </c>
      <c r="G145" s="196"/>
    </row>
    <row r="146" spans="1:7" s="91" customFormat="1">
      <c r="A146" s="211" t="s">
        <v>317</v>
      </c>
      <c r="B146" s="212"/>
      <c r="C146" s="212" t="s">
        <v>318</v>
      </c>
      <c r="D146" s="138">
        <v>0</v>
      </c>
      <c r="E146" s="139"/>
      <c r="F146" s="139">
        <v>70215.399999999994</v>
      </c>
      <c r="G146" s="139"/>
    </row>
    <row r="147" spans="1:7">
      <c r="A147" s="201">
        <v>2</v>
      </c>
      <c r="B147" s="202"/>
      <c r="C147" s="201" t="s">
        <v>319</v>
      </c>
      <c r="D147" s="203">
        <f t="shared" ref="D147:G147" si="21">D133+D145</f>
        <v>576503</v>
      </c>
      <c r="E147" s="203">
        <f t="shared" si="21"/>
        <v>0</v>
      </c>
      <c r="F147" s="203">
        <f t="shared" si="21"/>
        <v>561226.19999999995</v>
      </c>
      <c r="G147" s="203">
        <f t="shared" si="21"/>
        <v>0</v>
      </c>
    </row>
    <row r="148" spans="1:7" ht="7.5" customHeight="1"/>
    <row r="149" spans="1:7" ht="13.5" customHeight="1">
      <c r="A149" s="213" t="s">
        <v>320</v>
      </c>
      <c r="B149" s="214"/>
      <c r="C149" s="215" t="s">
        <v>321</v>
      </c>
      <c r="D149" s="214"/>
      <c r="E149" s="214"/>
      <c r="F149" s="214"/>
      <c r="G149" s="214"/>
    </row>
    <row r="150" spans="1:7">
      <c r="A150" s="216" t="s">
        <v>322</v>
      </c>
      <c r="B150" s="217"/>
      <c r="C150" s="217" t="s">
        <v>82</v>
      </c>
      <c r="D150" s="218">
        <f t="shared" ref="D150:G150" si="22">D77+SUM(D8:D12)-D30-D31+D16-D33+D59+D63-D73+D64-D74-D54+D20-D35</f>
        <v>50167</v>
      </c>
      <c r="E150" s="218">
        <f t="shared" si="22"/>
        <v>5326</v>
      </c>
      <c r="F150" s="218">
        <f t="shared" si="22"/>
        <v>19098.499999999949</v>
      </c>
      <c r="G150" s="218">
        <f t="shared" si="22"/>
        <v>-2516.3999999999742</v>
      </c>
    </row>
    <row r="151" spans="1:7">
      <c r="A151" s="219" t="s">
        <v>323</v>
      </c>
      <c r="B151" s="220"/>
      <c r="C151" s="220" t="s">
        <v>324</v>
      </c>
      <c r="D151" s="221">
        <f t="shared" ref="D151:G151" si="23">IF(D177=0,0,D150/D177)</f>
        <v>0.14172589922366741</v>
      </c>
      <c r="E151" s="221">
        <f t="shared" si="23"/>
        <v>1.7610512080361601E-2</v>
      </c>
      <c r="F151" s="221">
        <f t="shared" si="23"/>
        <v>6.1172849293173737E-2</v>
      </c>
      <c r="G151" s="221">
        <f t="shared" si="23"/>
        <v>-8.4932970659242196E-3</v>
      </c>
    </row>
    <row r="152" spans="1:7" s="296" customFormat="1" ht="28">
      <c r="A152" s="222" t="s">
        <v>325</v>
      </c>
      <c r="B152" s="223"/>
      <c r="C152" s="223" t="s">
        <v>326</v>
      </c>
      <c r="D152" s="241">
        <f t="shared" ref="D152:G152" si="24">IF(D107=0,0,D150/D107)</f>
        <v>2.3300975383186251</v>
      </c>
      <c r="E152" s="241">
        <f t="shared" si="24"/>
        <v>0.29598755140602423</v>
      </c>
      <c r="F152" s="241">
        <f t="shared" si="24"/>
        <v>0.83357338640688339</v>
      </c>
      <c r="G152" s="241">
        <f t="shared" si="24"/>
        <v>-0.13853776701167</v>
      </c>
    </row>
    <row r="153" spans="1:7" s="296" customFormat="1" ht="28">
      <c r="A153" s="226" t="s">
        <v>325</v>
      </c>
      <c r="B153" s="227"/>
      <c r="C153" s="227" t="s">
        <v>327</v>
      </c>
      <c r="D153" s="423">
        <f t="shared" ref="D153:G153" si="25">IF(0=D108,0,D150/D108)</f>
        <v>3.1208087091757388</v>
      </c>
      <c r="E153" s="423">
        <f t="shared" si="25"/>
        <v>0.29057777292814663</v>
      </c>
      <c r="F153" s="423">
        <f t="shared" si="25"/>
        <v>0.7987328008029756</v>
      </c>
      <c r="G153" s="423">
        <f t="shared" si="25"/>
        <v>-0.13953643118553699</v>
      </c>
    </row>
    <row r="154" spans="1:7" s="296" customFormat="1" ht="28">
      <c r="A154" s="229" t="s">
        <v>328</v>
      </c>
      <c r="B154" s="230"/>
      <c r="C154" s="230" t="s">
        <v>329</v>
      </c>
      <c r="D154" s="231">
        <f t="shared" ref="D154:G154" si="26">D150-D107</f>
        <v>28637</v>
      </c>
      <c r="E154" s="231">
        <f t="shared" si="26"/>
        <v>-12668</v>
      </c>
      <c r="F154" s="231">
        <f t="shared" si="26"/>
        <v>-3813.1000000000495</v>
      </c>
      <c r="G154" s="231">
        <f t="shared" si="26"/>
        <v>-20680.399999999972</v>
      </c>
    </row>
    <row r="155" spans="1:7" ht="28">
      <c r="A155" s="232" t="s">
        <v>330</v>
      </c>
      <c r="B155" s="233"/>
      <c r="C155" s="233" t="s">
        <v>331</v>
      </c>
      <c r="D155" s="234">
        <f t="shared" ref="D155:G155" si="27">D150-D108</f>
        <v>34092</v>
      </c>
      <c r="E155" s="234">
        <f t="shared" si="27"/>
        <v>-13003</v>
      </c>
      <c r="F155" s="234">
        <f t="shared" si="27"/>
        <v>-4812.5000000000509</v>
      </c>
      <c r="G155" s="234">
        <f t="shared" si="27"/>
        <v>-20550.399999999972</v>
      </c>
    </row>
    <row r="156" spans="1:7">
      <c r="A156" s="216" t="s">
        <v>332</v>
      </c>
      <c r="B156" s="217"/>
      <c r="C156" s="217" t="s">
        <v>333</v>
      </c>
      <c r="D156" s="235">
        <f t="shared" ref="D156:G156" si="28">D135+D136-D137+D141-D142</f>
        <v>137127</v>
      </c>
      <c r="E156" s="235">
        <f t="shared" si="28"/>
        <v>0</v>
      </c>
      <c r="F156" s="235">
        <f t="shared" si="28"/>
        <v>147893.5</v>
      </c>
      <c r="G156" s="235">
        <f t="shared" si="28"/>
        <v>0</v>
      </c>
    </row>
    <row r="157" spans="1:7">
      <c r="A157" s="236" t="s">
        <v>334</v>
      </c>
      <c r="B157" s="237"/>
      <c r="C157" s="237" t="s">
        <v>335</v>
      </c>
      <c r="D157" s="238">
        <f t="shared" ref="D157:G157" si="29">IF(D177=0,0,D156/D177)</f>
        <v>0.38739504819590248</v>
      </c>
      <c r="E157" s="238">
        <f t="shared" si="29"/>
        <v>0</v>
      </c>
      <c r="F157" s="238">
        <f t="shared" si="29"/>
        <v>0.4737056201764544</v>
      </c>
      <c r="G157" s="238">
        <f t="shared" si="29"/>
        <v>0</v>
      </c>
    </row>
    <row r="158" spans="1:7">
      <c r="A158" s="216" t="s">
        <v>336</v>
      </c>
      <c r="B158" s="217"/>
      <c r="C158" s="217" t="s">
        <v>337</v>
      </c>
      <c r="D158" s="235">
        <f t="shared" ref="D158:G158" si="30">D133-D142-D111</f>
        <v>-216344</v>
      </c>
      <c r="E158" s="235">
        <f t="shared" si="30"/>
        <v>0</v>
      </c>
      <c r="F158" s="235">
        <f t="shared" si="30"/>
        <v>-185535</v>
      </c>
      <c r="G158" s="235">
        <f t="shared" si="30"/>
        <v>0</v>
      </c>
    </row>
    <row r="159" spans="1:7">
      <c r="A159" s="219" t="s">
        <v>338</v>
      </c>
      <c r="B159" s="220"/>
      <c r="C159" s="220" t="s">
        <v>339</v>
      </c>
      <c r="D159" s="239">
        <f t="shared" ref="D159:G159" si="31">D121-D123-D124-D142-D145</f>
        <v>-342060</v>
      </c>
      <c r="E159" s="239">
        <f t="shared" si="31"/>
        <v>0</v>
      </c>
      <c r="F159" s="239">
        <f t="shared" si="31"/>
        <v>-309663.40000000002</v>
      </c>
      <c r="G159" s="239">
        <f t="shared" si="31"/>
        <v>0</v>
      </c>
    </row>
    <row r="160" spans="1:7">
      <c r="A160" s="219" t="s">
        <v>340</v>
      </c>
      <c r="B160" s="220"/>
      <c r="C160" s="220" t="s">
        <v>341</v>
      </c>
      <c r="D160" s="240">
        <f t="shared" ref="D160:G160" si="32">IF(D175=0,"-",1000*D158/D175)</f>
        <v>-5436.5984821832435</v>
      </c>
      <c r="E160" s="240">
        <f t="shared" si="32"/>
        <v>0</v>
      </c>
      <c r="F160" s="240">
        <f t="shared" si="32"/>
        <v>-4674.1321106464457</v>
      </c>
      <c r="G160" s="240">
        <f t="shared" si="32"/>
        <v>0</v>
      </c>
    </row>
    <row r="161" spans="1:7">
      <c r="A161" s="219" t="s">
        <v>340</v>
      </c>
      <c r="B161" s="220"/>
      <c r="C161" s="220" t="s">
        <v>342</v>
      </c>
      <c r="D161" s="239">
        <f t="shared" ref="D161:G161" si="33">IF(D175=0,0,1000*(D159/D175))</f>
        <v>-8595.7682062622516</v>
      </c>
      <c r="E161" s="239">
        <f t="shared" si="33"/>
        <v>0</v>
      </c>
      <c r="F161" s="239">
        <f t="shared" si="33"/>
        <v>-7801.2646747619292</v>
      </c>
      <c r="G161" s="239">
        <f t="shared" si="33"/>
        <v>0</v>
      </c>
    </row>
    <row r="162" spans="1:7">
      <c r="A162" s="236" t="s">
        <v>343</v>
      </c>
      <c r="B162" s="237"/>
      <c r="C162" s="237" t="s">
        <v>344</v>
      </c>
      <c r="D162" s="238">
        <f t="shared" ref="D162:G162" si="34">IF((D22+D23+D65+D66)=0,0,D158/(D22+D23+D65+D66))</f>
        <v>-2.0554858815034396</v>
      </c>
      <c r="E162" s="238">
        <f t="shared" si="34"/>
        <v>0</v>
      </c>
      <c r="F162" s="238">
        <f t="shared" si="34"/>
        <v>-1.7530523813393251</v>
      </c>
      <c r="G162" s="238">
        <f t="shared" si="34"/>
        <v>0</v>
      </c>
    </row>
    <row r="163" spans="1:7">
      <c r="A163" s="219" t="s">
        <v>345</v>
      </c>
      <c r="B163" s="220"/>
      <c r="C163" s="220" t="s">
        <v>316</v>
      </c>
      <c r="D163" s="218">
        <f t="shared" ref="D163:G163" si="35">D145</f>
        <v>411483</v>
      </c>
      <c r="E163" s="218">
        <f t="shared" si="35"/>
        <v>0</v>
      </c>
      <c r="F163" s="218">
        <f t="shared" si="35"/>
        <v>381075.9</v>
      </c>
      <c r="G163" s="218">
        <f t="shared" si="35"/>
        <v>0</v>
      </c>
    </row>
    <row r="164" spans="1:7" ht="28">
      <c r="A164" s="222" t="s">
        <v>346</v>
      </c>
      <c r="B164" s="237"/>
      <c r="C164" s="237" t="s">
        <v>347</v>
      </c>
      <c r="D164" s="241">
        <f t="shared" ref="D164:G164" si="36">IF(D178=0,0,D146/D178)</f>
        <v>0</v>
      </c>
      <c r="E164" s="241">
        <f t="shared" si="36"/>
        <v>0</v>
      </c>
      <c r="F164" s="241">
        <f t="shared" si="36"/>
        <v>0.23307413119261969</v>
      </c>
      <c r="G164" s="241">
        <f t="shared" si="36"/>
        <v>0</v>
      </c>
    </row>
    <row r="165" spans="1:7">
      <c r="A165" s="242" t="s">
        <v>348</v>
      </c>
      <c r="B165" s="243"/>
      <c r="C165" s="243" t="s">
        <v>349</v>
      </c>
      <c r="D165" s="244">
        <f t="shared" ref="D165:G165" si="37">IF(D177=0,0,D180/D177)</f>
        <v>2.3205225272055416E-2</v>
      </c>
      <c r="E165" s="244">
        <f t="shared" si="37"/>
        <v>2.803926820155208E-2</v>
      </c>
      <c r="F165" s="244">
        <f t="shared" si="37"/>
        <v>4.6302195188745877E-2</v>
      </c>
      <c r="G165" s="244">
        <f t="shared" si="37"/>
        <v>2.5905163583048101E-2</v>
      </c>
    </row>
    <row r="166" spans="1:7">
      <c r="A166" s="219" t="s">
        <v>350</v>
      </c>
      <c r="B166" s="220"/>
      <c r="C166" s="220" t="s">
        <v>218</v>
      </c>
      <c r="D166" s="218">
        <f t="shared" ref="D166:G166" si="38">D55</f>
        <v>40874</v>
      </c>
      <c r="E166" s="218">
        <f t="shared" si="38"/>
        <v>2279</v>
      </c>
      <c r="F166" s="218">
        <f t="shared" si="38"/>
        <v>1384.8999999999996</v>
      </c>
      <c r="G166" s="218">
        <f t="shared" si="38"/>
        <v>6704.2000000000025</v>
      </c>
    </row>
    <row r="167" spans="1:7">
      <c r="A167" s="236" t="s">
        <v>351</v>
      </c>
      <c r="B167" s="237"/>
      <c r="C167" s="237" t="s">
        <v>352</v>
      </c>
      <c r="D167" s="238">
        <f t="shared" ref="D167:G167" si="39">IF(0=D111,0,(D44+D45+D46+D47+D48)/D111)</f>
        <v>0.15861748880334797</v>
      </c>
      <c r="E167" s="238">
        <f t="shared" si="39"/>
        <v>0</v>
      </c>
      <c r="F167" s="238">
        <f t="shared" si="39"/>
        <v>2.340372992843847E-2</v>
      </c>
      <c r="G167" s="238">
        <f t="shared" si="39"/>
        <v>0</v>
      </c>
    </row>
    <row r="168" spans="1:7">
      <c r="A168" s="219" t="s">
        <v>353</v>
      </c>
      <c r="B168" s="217"/>
      <c r="C168" s="217" t="s">
        <v>354</v>
      </c>
      <c r="D168" s="218">
        <f t="shared" ref="D168:G168" si="40">D38-D44</f>
        <v>-5588</v>
      </c>
      <c r="E168" s="218">
        <f t="shared" si="40"/>
        <v>-5221</v>
      </c>
      <c r="F168" s="218">
        <f t="shared" si="40"/>
        <v>577.40000000000009</v>
      </c>
      <c r="G168" s="218">
        <f t="shared" si="40"/>
        <v>-5699.1</v>
      </c>
    </row>
    <row r="169" spans="1:7">
      <c r="A169" s="236" t="s">
        <v>355</v>
      </c>
      <c r="B169" s="237"/>
      <c r="C169" s="237" t="s">
        <v>356</v>
      </c>
      <c r="D169" s="221">
        <f t="shared" ref="D169:G169" si="41">IF(D177=0,0,D168/D177)</f>
        <v>-1.5786559388878216E-2</v>
      </c>
      <c r="E169" s="221">
        <f t="shared" si="41"/>
        <v>-1.7263327745318798E-2</v>
      </c>
      <c r="F169" s="221">
        <f t="shared" si="41"/>
        <v>1.8494228961373205E-3</v>
      </c>
      <c r="G169" s="221">
        <f t="shared" si="41"/>
        <v>-1.9235475007315699E-2</v>
      </c>
    </row>
    <row r="170" spans="1:7">
      <c r="A170" s="219" t="s">
        <v>357</v>
      </c>
      <c r="B170" s="220"/>
      <c r="C170" s="220" t="s">
        <v>358</v>
      </c>
      <c r="D170" s="218">
        <f t="shared" ref="D170:G170" si="42">SUM(D82:D87)+SUM(D89:D94)</f>
        <v>35408</v>
      </c>
      <c r="E170" s="218">
        <f t="shared" si="42"/>
        <v>28834</v>
      </c>
      <c r="F170" s="218">
        <f t="shared" si="42"/>
        <v>33112.300000000003</v>
      </c>
      <c r="G170" s="218">
        <f t="shared" si="42"/>
        <v>28532</v>
      </c>
    </row>
    <row r="171" spans="1:7">
      <c r="A171" s="219" t="s">
        <v>359</v>
      </c>
      <c r="B171" s="220"/>
      <c r="C171" s="220" t="s">
        <v>360</v>
      </c>
      <c r="D171" s="239">
        <f t="shared" ref="D171:G171" si="43">SUM(D96:D102)+SUM(D104:D105)</f>
        <v>13878</v>
      </c>
      <c r="E171" s="239">
        <f t="shared" si="43"/>
        <v>10840</v>
      </c>
      <c r="F171" s="239">
        <f t="shared" si="43"/>
        <v>10200.700000000003</v>
      </c>
      <c r="G171" s="239">
        <f t="shared" si="43"/>
        <v>10368</v>
      </c>
    </row>
    <row r="172" spans="1:7">
      <c r="A172" s="242" t="s">
        <v>361</v>
      </c>
      <c r="B172" s="243"/>
      <c r="C172" s="243" t="s">
        <v>362</v>
      </c>
      <c r="D172" s="244">
        <f t="shared" ref="D172:G172" si="44">IF(D184=0,0,D170/D184)</f>
        <v>0.10991153189507993</v>
      </c>
      <c r="E172" s="244">
        <f t="shared" si="44"/>
        <v>9.0450527319610272E-2</v>
      </c>
      <c r="F172" s="244">
        <f t="shared" si="44"/>
        <v>0.10486982128395958</v>
      </c>
      <c r="G172" s="244">
        <f t="shared" si="44"/>
        <v>8.8881412532864815E-2</v>
      </c>
    </row>
    <row r="173" spans="1:7">
      <c r="A173" s="389"/>
    </row>
    <row r="174" spans="1:7">
      <c r="A174" s="310" t="s">
        <v>363</v>
      </c>
      <c r="B174" s="248"/>
      <c r="C174" s="247"/>
      <c r="D174" s="161"/>
      <c r="E174" s="161"/>
      <c r="F174" s="161"/>
      <c r="G174" s="161"/>
    </row>
    <row r="175" spans="1:7" s="91" customFormat="1">
      <c r="A175" s="312" t="s">
        <v>364</v>
      </c>
      <c r="B175" s="248"/>
      <c r="C175" s="248" t="s">
        <v>365</v>
      </c>
      <c r="D175" s="245">
        <v>39794</v>
      </c>
      <c r="E175" s="245">
        <v>39593</v>
      </c>
      <c r="F175" s="245">
        <v>39694</v>
      </c>
      <c r="G175" s="245">
        <v>39794</v>
      </c>
    </row>
    <row r="176" spans="1:7">
      <c r="A176" s="310" t="s">
        <v>366</v>
      </c>
      <c r="B176" s="248"/>
      <c r="C176" s="248"/>
      <c r="D176" s="248"/>
      <c r="E176" s="248"/>
      <c r="F176" s="248"/>
      <c r="G176" s="248"/>
    </row>
    <row r="177" spans="1:7">
      <c r="A177" s="312" t="s">
        <v>367</v>
      </c>
      <c r="B177" s="248"/>
      <c r="C177" s="248" t="s">
        <v>368</v>
      </c>
      <c r="D177" s="249">
        <f t="shared" ref="D177:G177" si="45">SUM(D22:D32)+SUM(D44:D53)+SUM(D65:D72)+D75</f>
        <v>353972</v>
      </c>
      <c r="E177" s="249">
        <f t="shared" si="45"/>
        <v>302433</v>
      </c>
      <c r="F177" s="249">
        <f t="shared" si="45"/>
        <v>312205.49999999994</v>
      </c>
      <c r="G177" s="249">
        <f t="shared" si="45"/>
        <v>296280.7</v>
      </c>
    </row>
    <row r="178" spans="1:7">
      <c r="A178" s="312" t="s">
        <v>369</v>
      </c>
      <c r="B178" s="248"/>
      <c r="C178" s="248" t="s">
        <v>370</v>
      </c>
      <c r="D178" s="249">
        <f t="shared" ref="D178:G178" si="46">D78-D17-D20-D59-D63-D64</f>
        <v>333667</v>
      </c>
      <c r="E178" s="249">
        <f t="shared" si="46"/>
        <v>307365</v>
      </c>
      <c r="F178" s="249">
        <f t="shared" si="46"/>
        <v>301257.80000000005</v>
      </c>
      <c r="G178" s="249">
        <f t="shared" si="46"/>
        <v>309387.09999999998</v>
      </c>
    </row>
    <row r="179" spans="1:7">
      <c r="A179" s="312"/>
      <c r="B179" s="248"/>
      <c r="C179" s="248" t="s">
        <v>371</v>
      </c>
      <c r="D179" s="249">
        <f t="shared" ref="D179:G179" si="47">D178+D170</f>
        <v>369075</v>
      </c>
      <c r="E179" s="249">
        <f t="shared" si="47"/>
        <v>336199</v>
      </c>
      <c r="F179" s="249">
        <f t="shared" si="47"/>
        <v>334370.10000000003</v>
      </c>
      <c r="G179" s="249">
        <f t="shared" si="47"/>
        <v>337919.1</v>
      </c>
    </row>
    <row r="180" spans="1:7">
      <c r="A180" s="312" t="s">
        <v>372</v>
      </c>
      <c r="B180" s="248"/>
      <c r="C180" s="248" t="s">
        <v>373</v>
      </c>
      <c r="D180" s="249">
        <f t="shared" ref="D180:G180" si="48">D38-D44+D8+D9+D10+D16-D33</f>
        <v>8214</v>
      </c>
      <c r="E180" s="249">
        <f t="shared" si="48"/>
        <v>8480</v>
      </c>
      <c r="F180" s="249">
        <f t="shared" si="48"/>
        <v>14455.8</v>
      </c>
      <c r="G180" s="249">
        <f t="shared" si="48"/>
        <v>7675.2</v>
      </c>
    </row>
    <row r="181" spans="1:7" ht="27.5" customHeight="1">
      <c r="A181" s="315" t="s">
        <v>374</v>
      </c>
      <c r="B181" s="251"/>
      <c r="C181" s="251" t="s">
        <v>375</v>
      </c>
      <c r="D181" s="252">
        <f t="shared" ref="D181:G181" si="49">D22+D23+D24+D25+D26+D29+SUM(D44:D47)+SUM(D49:D53)-D54+D32-D33+SUM(D65:D70)+D72</f>
        <v>321263</v>
      </c>
      <c r="E181" s="252">
        <f t="shared" si="49"/>
        <v>295103</v>
      </c>
      <c r="F181" s="252">
        <f t="shared" si="49"/>
        <v>297970.3</v>
      </c>
      <c r="G181" s="252">
        <f t="shared" si="49"/>
        <v>289831.7</v>
      </c>
    </row>
    <row r="182" spans="1:7">
      <c r="A182" s="317" t="s">
        <v>376</v>
      </c>
      <c r="B182" s="251"/>
      <c r="C182" s="251" t="s">
        <v>377</v>
      </c>
      <c r="D182" s="252">
        <f t="shared" ref="D182:G182" si="50">D181+D171</f>
        <v>335141</v>
      </c>
      <c r="E182" s="252">
        <f t="shared" si="50"/>
        <v>305943</v>
      </c>
      <c r="F182" s="252">
        <f t="shared" si="50"/>
        <v>308171</v>
      </c>
      <c r="G182" s="252">
        <f t="shared" si="50"/>
        <v>300199.7</v>
      </c>
    </row>
    <row r="183" spans="1:7">
      <c r="A183" s="317" t="s">
        <v>378</v>
      </c>
      <c r="B183" s="251"/>
      <c r="C183" s="251" t="s">
        <v>379</v>
      </c>
      <c r="D183" s="252">
        <f t="shared" ref="D183" si="51">D4+D5-D7+D38+D39+D40+D41+D43+D13-D16+D57+D58+D60+D62</f>
        <v>286742</v>
      </c>
      <c r="E183" s="252">
        <f>E4+E5-E7+E38+E39+E40+E41+E43+E13-E16+E57+E58+E60+E62</f>
        <v>289948</v>
      </c>
      <c r="F183" s="252">
        <f>F4+F5-F7+F38+F39+F40+F41+F43+F13-F16+F57+F58+F60+F62</f>
        <v>282634.40000000002</v>
      </c>
      <c r="G183" s="252">
        <f>G4+G5-G7+G38+G39+G40+G41+G43+G13-G16+G57+G58+G60+G62</f>
        <v>292480</v>
      </c>
    </row>
    <row r="184" spans="1:7">
      <c r="A184" s="317" t="s">
        <v>380</v>
      </c>
      <c r="B184" s="251"/>
      <c r="C184" s="251" t="s">
        <v>381</v>
      </c>
      <c r="D184" s="252">
        <f t="shared" ref="D184:G184" si="52">D183+D170</f>
        <v>322150</v>
      </c>
      <c r="E184" s="252">
        <f t="shared" si="52"/>
        <v>318782</v>
      </c>
      <c r="F184" s="252">
        <f t="shared" si="52"/>
        <v>315746.7</v>
      </c>
      <c r="G184" s="252">
        <f t="shared" si="52"/>
        <v>321012</v>
      </c>
    </row>
    <row r="185" spans="1:7">
      <c r="A185" s="317"/>
      <c r="B185" s="251"/>
      <c r="C185" s="251" t="s">
        <v>382</v>
      </c>
      <c r="D185" s="252">
        <f t="shared" ref="D185:G186" si="53">D181-D183</f>
        <v>34521</v>
      </c>
      <c r="E185" s="252">
        <f t="shared" si="53"/>
        <v>5155</v>
      </c>
      <c r="F185" s="252">
        <f t="shared" si="53"/>
        <v>15335.899999999965</v>
      </c>
      <c r="G185" s="252">
        <f t="shared" si="53"/>
        <v>-2648.2999999999884</v>
      </c>
    </row>
    <row r="186" spans="1:7">
      <c r="A186" s="317"/>
      <c r="B186" s="251"/>
      <c r="C186" s="251" t="s">
        <v>383</v>
      </c>
      <c r="D186" s="252">
        <f t="shared" si="53"/>
        <v>12991</v>
      </c>
      <c r="E186" s="252">
        <f t="shared" si="53"/>
        <v>-12839</v>
      </c>
      <c r="F186" s="252">
        <f t="shared" si="53"/>
        <v>-7575.7000000000116</v>
      </c>
      <c r="G186" s="252">
        <f t="shared" si="53"/>
        <v>-20812.299999999988</v>
      </c>
    </row>
  </sheetData>
  <sheetProtection selectLockedCells="1" sort="0" autoFilter="0" pivotTables="0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portrait" r:id="rId1"/>
  <headerFooter alignWithMargins="0">
    <oddHeader>&amp;LFachgruppe für kantonale Finanzfragen (FkF)
Groupe d'études pour les finances cantonales
&amp;CTotal der Kantone&amp;RZürich, 26.04.2016</oddHeader>
    <oddFooter>&amp;LQuelle: FkF Mai 2016</oddFooter>
  </headerFooter>
  <rowBreaks count="2" manualBreakCount="2">
    <brk id="79" max="8" man="1"/>
    <brk id="148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63</vt:i4>
      </vt:variant>
    </vt:vector>
  </HeadingPairs>
  <TitlesOfParts>
    <vt:vector size="100" baseType="lpstr">
      <vt:lpstr>ZH_HRM2</vt:lpstr>
      <vt:lpstr>BE HRM1</vt:lpstr>
      <vt:lpstr>LU_HRM2</vt:lpstr>
      <vt:lpstr>UR_HRM2</vt:lpstr>
      <vt:lpstr>SZ HRM1</vt:lpstr>
      <vt:lpstr>SZ_HRM2</vt:lpstr>
      <vt:lpstr>OW_HRM2</vt:lpstr>
      <vt:lpstr>NW_HRM2</vt:lpstr>
      <vt:lpstr>GL_HRM2</vt:lpstr>
      <vt:lpstr>ZG_HRM2</vt:lpstr>
      <vt:lpstr>FR_HRM2</vt:lpstr>
      <vt:lpstr>SO_HRM2</vt:lpstr>
      <vt:lpstr>BS_HRM2</vt:lpstr>
      <vt:lpstr>BL_HRM2</vt:lpstr>
      <vt:lpstr>SH HRM1</vt:lpstr>
      <vt:lpstr>AR_HRM2 </vt:lpstr>
      <vt:lpstr>AI HRM1</vt:lpstr>
      <vt:lpstr>AI_HRM2</vt:lpstr>
      <vt:lpstr>SG_HRM2</vt:lpstr>
      <vt:lpstr>GR_HRM2</vt:lpstr>
      <vt:lpstr>AG_HRM2</vt:lpstr>
      <vt:lpstr>TG_HRM2</vt:lpstr>
      <vt:lpstr>TI_HRM2</vt:lpstr>
      <vt:lpstr>VD_HRM2</vt:lpstr>
      <vt:lpstr>VS HRM1</vt:lpstr>
      <vt:lpstr>NE HRM1</vt:lpstr>
      <vt:lpstr>GE_HRM2</vt:lpstr>
      <vt:lpstr>JU_HRM2</vt:lpstr>
      <vt:lpstr>CHF</vt:lpstr>
      <vt:lpstr>CHD</vt:lpstr>
      <vt:lpstr>Ergebnisse Rechnung 2014</vt:lpstr>
      <vt:lpstr>Ergebnisse Budgets 2015</vt:lpstr>
      <vt:lpstr>Ergebnisse Rechnung 2015</vt:lpstr>
      <vt:lpstr>Budget 2016</vt:lpstr>
      <vt:lpstr>Übersicht Saldo L. R. </vt:lpstr>
      <vt:lpstr>Finanzierungsfehlbetrag</vt:lpstr>
      <vt:lpstr>Selbstfinanzierungsgrad</vt:lpstr>
      <vt:lpstr>'Ergebnisse Budgets 2015'!Abschluss_d</vt:lpstr>
      <vt:lpstr>'Ergebnisse Rechnung 2015'!Abschluss_d</vt:lpstr>
      <vt:lpstr>Finanzierungsfehlbetrag!Abschluss_d</vt:lpstr>
      <vt:lpstr>Selbstfinanzierungsgrad!Abschluss_d</vt:lpstr>
      <vt:lpstr>'Übersicht Saldo L. R. '!Abschluss_d</vt:lpstr>
      <vt:lpstr>Finanzierungsfehlbetrag!Abschluss_f</vt:lpstr>
      <vt:lpstr>Selbstfinanzierungsgrad!Abschluss_f</vt:lpstr>
      <vt:lpstr>AG_HRM2!Print_Area</vt:lpstr>
      <vt:lpstr>AI_HRM2!Print_Area</vt:lpstr>
      <vt:lpstr>'AR_HRM2 '!Print_Area</vt:lpstr>
      <vt:lpstr>BL_HRM2!Print_Area</vt:lpstr>
      <vt:lpstr>BS_HRM2!Print_Area</vt:lpstr>
      <vt:lpstr>'Budget 2016'!Print_Area</vt:lpstr>
      <vt:lpstr>CHD!Print_Area</vt:lpstr>
      <vt:lpstr>CHF!Print_Area</vt:lpstr>
      <vt:lpstr>'Ergebnisse Budgets 2015'!Print_Area</vt:lpstr>
      <vt:lpstr>'Ergebnisse Rechnung 2014'!Print_Area</vt:lpstr>
      <vt:lpstr>'Ergebnisse Rechnung 2015'!Print_Area</vt:lpstr>
      <vt:lpstr>Finanzierungsfehlbetrag!Print_Area</vt:lpstr>
      <vt:lpstr>FR_HRM2!Print_Area</vt:lpstr>
      <vt:lpstr>GE_HRM2!Print_Area</vt:lpstr>
      <vt:lpstr>GL_HRM2!Print_Area</vt:lpstr>
      <vt:lpstr>GR_HRM2!Print_Area</vt:lpstr>
      <vt:lpstr>JU_HRM2!Print_Area</vt:lpstr>
      <vt:lpstr>LU_HRM2!Print_Area</vt:lpstr>
      <vt:lpstr>NW_HRM2!Print_Area</vt:lpstr>
      <vt:lpstr>OW_HRM2!Print_Area</vt:lpstr>
      <vt:lpstr>Selbstfinanzierungsgrad!Print_Area</vt:lpstr>
      <vt:lpstr>SZ_HRM2!Print_Area</vt:lpstr>
      <vt:lpstr>TG_HRM2!Print_Area</vt:lpstr>
      <vt:lpstr>TI_HRM2!Print_Area</vt:lpstr>
      <vt:lpstr>'Übersicht Saldo L. R. '!Print_Area</vt:lpstr>
      <vt:lpstr>UR_HRM2!Print_Area</vt:lpstr>
      <vt:lpstr>VD_HRM2!Print_Area</vt:lpstr>
      <vt:lpstr>ZH_HRM2!Print_Area</vt:lpstr>
      <vt:lpstr>AG_HRM2!Print_Titles</vt:lpstr>
      <vt:lpstr>AI_HRM2!Print_Titles</vt:lpstr>
      <vt:lpstr>'AR_HRM2 '!Print_Titles</vt:lpstr>
      <vt:lpstr>BL_HRM2!Print_Titles</vt:lpstr>
      <vt:lpstr>BS_HRM2!Print_Titles</vt:lpstr>
      <vt:lpstr>FR_HRM2!Print_Titles</vt:lpstr>
      <vt:lpstr>GE_HRM2!Print_Titles</vt:lpstr>
      <vt:lpstr>GL_HRM2!Print_Titles</vt:lpstr>
      <vt:lpstr>GR_HRM2!Print_Titles</vt:lpstr>
      <vt:lpstr>JU_HRM2!Print_Titles</vt:lpstr>
      <vt:lpstr>LU_HRM2!Print_Titles</vt:lpstr>
      <vt:lpstr>NW_HRM2!Print_Titles</vt:lpstr>
      <vt:lpstr>OW_HRM2!Print_Titles</vt:lpstr>
      <vt:lpstr>SG_HRM2!Print_Titles</vt:lpstr>
      <vt:lpstr>SO_HRM2!Print_Titles</vt:lpstr>
      <vt:lpstr>SZ_HRM2!Print_Titles</vt:lpstr>
      <vt:lpstr>TG_HRM2!Print_Titles</vt:lpstr>
      <vt:lpstr>TI_HRM2!Print_Titles</vt:lpstr>
      <vt:lpstr>UR_HRM2!Print_Titles</vt:lpstr>
      <vt:lpstr>VD_HRM2!Print_Titles</vt:lpstr>
      <vt:lpstr>ZG_HRM2!Print_Titles</vt:lpstr>
      <vt:lpstr>ZH_HRM2!Print_Titles</vt:lpstr>
      <vt:lpstr>'Ergebnisse Budgets 2015'!SF_GradR</vt:lpstr>
      <vt:lpstr>'Ergebnisse Rechnung 2014'!SF_GradR</vt:lpstr>
      <vt:lpstr>'Ergebnisse Rechnung 2015'!SF_GradR</vt:lpstr>
      <vt:lpstr>Finanzierungsfehlbetrag!SF_GradR</vt:lpstr>
      <vt:lpstr>Selbstfinanzierungsgrad!SF_GradR</vt:lpstr>
      <vt:lpstr>'Übersicht Saldo L. R. '!SF_GradR</vt:lpstr>
    </vt:vector>
  </TitlesOfParts>
  <Company>Kanton 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Finanzverwaltung</dc:creator>
  <cp:lastModifiedBy>Grau, MarcChristopher</cp:lastModifiedBy>
  <cp:lastPrinted>2016-04-12T09:51:22Z</cp:lastPrinted>
  <dcterms:created xsi:type="dcterms:W3CDTF">1998-11-13T16:50:35Z</dcterms:created>
  <dcterms:modified xsi:type="dcterms:W3CDTF">2024-01-24T16:52:59Z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1348697941</vt:i4>
  </property>
  <property fmtid="{D5CDD505-2E9C-101B-9397-08002B2CF9AE}" pid="3" name="_EmailSubject">
    <vt:lpwstr>Dat</vt:lpwstr>
  </property>
  <property fmtid="{D5CDD505-2E9C-101B-9397-08002B2CF9AE}" pid="4" name="_AuthorEmail">
    <vt:lpwstr>m.meyer-kocherhans@bluewin.ch</vt:lpwstr>
  </property>
  <property fmtid="{D5CDD505-2E9C-101B-9397-08002B2CF9AE}" pid="5" name="_AuthorEmailDisplayName">
    <vt:lpwstr>Margrith Meyer</vt:lpwstr>
  </property>
  <property fmtid="{D5CDD505-2E9C-101B-9397-08002B2CF9AE}" pid="6" name="_PreviousAdHocReviewCycleID">
    <vt:i4>-2060120505</vt:i4>
  </property>
  <property fmtid="{D5CDD505-2E9C-101B-9397-08002B2CF9AE}" pid="7" name="_ReviewingToolsShownOnce">
    <vt:lpwstr/>
  </property>
</Properties>
</file>