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Temps" sheetId="1" r:id="rId4"/>
    <sheet state="visible" name="ProjCost" sheetId="2" r:id="rId5"/>
    <sheet state="visible" name="FaseCasos" sheetId="3" r:id="rId6"/>
    <sheet state="visible" name="FaseHoresCarreg" sheetId="4" r:id="rId7"/>
    <sheet state="visible" name="FasesObjectius" sheetId="5" r:id="rId8"/>
    <sheet state="visible" name="Gantt" sheetId="6" r:id="rId9"/>
  </sheets>
  <definedNames/>
  <calcPr/>
  <extLst>
    <ext uri="GoogleSheetsCustomDataVersion1">
      <go:sheetsCustomData xmlns:go="http://customooxmlschemas.google.com/" r:id="rId10" roundtripDataSignature="AMtx7mjJxTjCgnV9XPC7TMUZ7EDanT0dMw=="/>
    </ext>
  </extLst>
</workbook>
</file>

<file path=xl/sharedStrings.xml><?xml version="1.0" encoding="utf-8"?>
<sst xmlns="http://schemas.openxmlformats.org/spreadsheetml/2006/main" count="428" uniqueCount="212">
  <si>
    <t>Estimació del temps</t>
  </si>
  <si>
    <t>Fòrmules</t>
  </si>
  <si>
    <t>Estimació temps</t>
  </si>
  <si>
    <t>EstimacióTemps = UCP * PF</t>
  </si>
  <si>
    <t>UCP</t>
  </si>
  <si>
    <t>UCP = (UUCW + UAW) * TCF * ECF</t>
  </si>
  <si>
    <t>UUCW</t>
  </si>
  <si>
    <t>UUCW = ∑c : c∈casosÚs : pes(c)</t>
  </si>
  <si>
    <t>UAW</t>
  </si>
  <si>
    <t>UAW = ∑a : a∈actors : pes(a)</t>
  </si>
  <si>
    <t>TCF</t>
  </si>
  <si>
    <t>TCF = 0.6+ ( ∑f: f∈fTec: pes(f)*prioritat(f)/100)</t>
  </si>
  <si>
    <t>ECF</t>
  </si>
  <si>
    <t>ECF = 1.4 + (-0.03* (∑f: f∈fEnv: pes(f)*prioritat(f)/100))</t>
  </si>
  <si>
    <t>PF</t>
  </si>
  <si>
    <t>PF = Usar un valor entre 15 i 30</t>
  </si>
  <si>
    <t xml:space="preserve">Càlcul </t>
  </si>
  <si>
    <t>CAS D'ÚS</t>
  </si>
  <si>
    <t>COMPLEXITAT</t>
  </si>
  <si>
    <t>PES</t>
  </si>
  <si>
    <t>LOG IN</t>
  </si>
  <si>
    <t>SIMPLE</t>
  </si>
  <si>
    <t>LOG OUT</t>
  </si>
  <si>
    <t>LOG IN DEFIB</t>
  </si>
  <si>
    <t>LOG OUT DEFIB</t>
  </si>
  <si>
    <t>*GENERAR HORARIS</t>
  </si>
  <si>
    <t>MIG</t>
  </si>
  <si>
    <t>GUARDAR HORARIS GENERATS</t>
  </si>
  <si>
    <t>*VEURE DOCUMENTACIÓ ACTIVITATS</t>
  </si>
  <si>
    <t>GUARDAR ACTIVITATS</t>
  </si>
  <si>
    <t>PRESENTAR COM A DELEGAT</t>
  </si>
  <si>
    <t>VOTAR DELEGAT</t>
  </si>
  <si>
    <t>*ENVIAR INFORMES DELEGATS</t>
  </si>
  <si>
    <t>VEURE INFORMES DELEGATS</t>
  </si>
  <si>
    <t>CONTACTAR AMB DELEGAT</t>
  </si>
  <si>
    <t>COMPLEX</t>
  </si>
  <si>
    <t>CONTACTAR AMB PROFESSOR</t>
  </si>
  <si>
    <t>CONTACTAR AMB DEFIB</t>
  </si>
  <si>
    <t>RESPONDRE CONSULTA</t>
  </si>
  <si>
    <t>ACTOR</t>
  </si>
  <si>
    <t>ESTUDIANT</t>
  </si>
  <si>
    <t>PROFESSOR</t>
  </si>
  <si>
    <t>DELEGAT</t>
  </si>
  <si>
    <t>DEFIB</t>
  </si>
  <si>
    <t>API RACO</t>
  </si>
  <si>
    <t>API DEFIB</t>
  </si>
  <si>
    <t>API CALENDARI</t>
  </si>
  <si>
    <t>COMPLEXITAT TÈCNICA</t>
  </si>
  <si>
    <t>PRIORITAT</t>
  </si>
  <si>
    <t>PES*PRIORITAT/100</t>
  </si>
  <si>
    <t>DISTRIBUTED SYSTEM</t>
  </si>
  <si>
    <t>PERFORMANCE</t>
  </si>
  <si>
    <t>END USER EFFICIENCY</t>
  </si>
  <si>
    <t>COMPLEX INTERNAL PROCESSING</t>
  </si>
  <si>
    <t>REUSABILITY</t>
  </si>
  <si>
    <t>EASY TO INSTALL</t>
  </si>
  <si>
    <t>EASY TO USE</t>
  </si>
  <si>
    <t>PORTABILITY</t>
  </si>
  <si>
    <t>EASY TO CHANGE</t>
  </si>
  <si>
    <t>CONCURRENCY</t>
  </si>
  <si>
    <t>SPECIAL SECURITY FEATURES</t>
  </si>
  <si>
    <t>PROVIDES DIRECT ACCESS FOR THIRD PARTIES</t>
  </si>
  <si>
    <t>SPECIAL USER TRAINING FACILITIES ARE REQUIRED</t>
  </si>
  <si>
    <t>FACTOR D'ENTORN</t>
  </si>
  <si>
    <t>AVALUACIÓ</t>
  </si>
  <si>
    <t>PES * AVALUACIÓ</t>
  </si>
  <si>
    <t>FAMILIARITY WITH UP</t>
  </si>
  <si>
    <t>PART-TIME WORKERS</t>
  </si>
  <si>
    <t>ANALYST CAPABILITY</t>
  </si>
  <si>
    <t>APPLICATION EXPERIENCE</t>
  </si>
  <si>
    <t>OBJECT-ORIENTED EXPERIENCE</t>
  </si>
  <si>
    <t>MOTIVATION</t>
  </si>
  <si>
    <t>DIFFICULT PROGRAMMING LANGUAGE</t>
  </si>
  <si>
    <t>STABLE REQUIREMENTS</t>
  </si>
  <si>
    <t>hores</t>
  </si>
  <si>
    <t>dies</t>
  </si>
  <si>
    <t>Estimació del cost</t>
  </si>
  <si>
    <t>Informació donada</t>
  </si>
  <si>
    <t>Rol</t>
  </si>
  <si>
    <t>Inception (5%)</t>
  </si>
  <si>
    <t>Elaboration (20%)</t>
  </si>
  <si>
    <t>Construction (65%)</t>
  </si>
  <si>
    <t>Transition (10%)</t>
  </si>
  <si>
    <t>Cap de projecte</t>
  </si>
  <si>
    <t>Programador Sènior</t>
  </si>
  <si>
    <t>Programador Junior</t>
  </si>
  <si>
    <t>Dissenyador gràfic</t>
  </si>
  <si>
    <t>Enginyer de requisits</t>
  </si>
  <si>
    <t>Arquitecte del software</t>
  </si>
  <si>
    <t>Tester</t>
  </si>
  <si>
    <t>Preu/Hora</t>
  </si>
  <si>
    <t>Persones</t>
  </si>
  <si>
    <t>Esforç</t>
  </si>
  <si>
    <t>Hores/Carrec</t>
  </si>
  <si>
    <t>Hores/Persona</t>
  </si>
  <si>
    <t>Cost/Carrec</t>
  </si>
  <si>
    <t>Cost/Persona</t>
  </si>
  <si>
    <t>SS</t>
  </si>
  <si>
    <t>Euros fixes</t>
  </si>
  <si>
    <t>Cost/Persona + SS + Euros fixes</t>
  </si>
  <si>
    <t>Despeses estructurals(15%)</t>
  </si>
  <si>
    <t>Total brut/persona</t>
  </si>
  <si>
    <t>Total brut/carrec</t>
  </si>
  <si>
    <t>Suma total</t>
  </si>
  <si>
    <t>Benefici(50%)</t>
  </si>
  <si>
    <t>Contingències(10%)</t>
  </si>
  <si>
    <t>Pressupost final</t>
  </si>
  <si>
    <t>Hores totals projecte</t>
  </si>
  <si>
    <t>Casos d'ús a cada fase</t>
  </si>
  <si>
    <t>Inception</t>
  </si>
  <si>
    <t>Elaboration</t>
  </si>
  <si>
    <t>Construction</t>
  </si>
  <si>
    <t>Transition</t>
  </si>
  <si>
    <t>Identificat</t>
  </si>
  <si>
    <t>Analitzat</t>
  </si>
  <si>
    <t>Complet</t>
  </si>
  <si>
    <t>Esbossat</t>
  </si>
  <si>
    <t>Refinat</t>
  </si>
  <si>
    <t>Estat de cas d'ús</t>
  </si>
  <si>
    <t>Idenficat</t>
  </si>
  <si>
    <t>Hores per càrreg i fase</t>
  </si>
  <si>
    <t>Trensition (10%)</t>
  </si>
  <si>
    <t>p</t>
  </si>
  <si>
    <t>Hores per persona i fase</t>
  </si>
  <si>
    <t>Dates límit de cada fase</t>
  </si>
  <si>
    <t>Suposem que comencem el projecte el dia 4 de Novembre.</t>
  </si>
  <si>
    <t>Dies Laborables</t>
  </si>
  <si>
    <r>
      <rPr>
        <rFont val="Calibri"/>
        <color theme="1"/>
        <sz val="11.0"/>
      </rPr>
      <t xml:space="preserve">dies </t>
    </r>
    <r>
      <rPr>
        <rFont val="Calibri"/>
        <b/>
        <color theme="1"/>
        <sz val="11.0"/>
      </rPr>
      <t>laborables</t>
    </r>
  </si>
  <si>
    <t>Data Límit</t>
  </si>
  <si>
    <t>Effort (%)</t>
  </si>
  <si>
    <t>Effort (Hores)</t>
  </si>
  <si>
    <t>Schedule (%)</t>
  </si>
  <si>
    <t>Schedule (Hores)</t>
  </si>
  <si>
    <t xml:space="preserve"> </t>
  </si>
  <si>
    <t>Fase</t>
  </si>
  <si>
    <t>Iteració</t>
  </si>
  <si>
    <t>Objectius principals</t>
  </si>
  <si>
    <t>Dates</t>
  </si>
  <si>
    <t>Staff</t>
  </si>
  <si>
    <t>I1</t>
  </si>
  <si>
    <t>Definir visió</t>
  </si>
  <si>
    <t xml:space="preserve">
4/10/19-28/10/20</t>
  </si>
  <si>
    <t>Determinar abast del projecte</t>
  </si>
  <si>
    <t>Definir l'arquitectura candidata</t>
  </si>
  <si>
    <t>Crear el cas de negoci</t>
  </si>
  <si>
    <t>Crear el pla de desenvolupament de software</t>
  </si>
  <si>
    <t>E1</t>
  </si>
  <si>
    <t>Instal·lar i provar l'arquitectura</t>
  </si>
  <si>
    <t xml:space="preserve">
29/10/19-12/02/20</t>
  </si>
  <si>
    <t>Validar detalls dels requisits</t>
  </si>
  <si>
    <t>Implementar casos d'ús prioritaris</t>
  </si>
  <si>
    <t>E2</t>
  </si>
  <si>
    <t>Mitigar riscos arquitectònics</t>
  </si>
  <si>
    <t xml:space="preserve">Completar la prova de l'arquitectura </t>
  </si>
  <si>
    <t>Implementar casos d'ús addicionals</t>
  </si>
  <si>
    <t>C1</t>
  </si>
  <si>
    <t>Descriure casos d’ús addicionals</t>
  </si>
  <si>
    <t>13/02/20-8/10/20</t>
  </si>
  <si>
    <t>Dissenyar subsistemes addicionals</t>
  </si>
  <si>
    <t>Implementar casos d’ús i subsist.</t>
  </si>
  <si>
    <t>Integrar el producte i validar l’estat</t>
  </si>
  <si>
    <t>C2</t>
  </si>
  <si>
    <t>ídem</t>
  </si>
  <si>
    <t>C3</t>
  </si>
  <si>
    <t>Ídem +</t>
  </si>
  <si>
    <t>Planificar versió beta i suport usuari</t>
  </si>
  <si>
    <t>T1</t>
  </si>
  <si>
    <t>Desplegar beta en client</t>
  </si>
  <si>
    <t>9/10/20-25/11/20</t>
  </si>
  <si>
    <t>Obtenir i processar feedback</t>
  </si>
  <si>
    <t>Finalitzar suport usuari</t>
  </si>
  <si>
    <t>Entrega a client</t>
  </si>
  <si>
    <t xml:space="preserve"> Diagrama de Gantt</t>
  </si>
  <si>
    <t>Definició de les activitats</t>
  </si>
  <si>
    <t>Id</t>
  </si>
  <si>
    <t>Nom</t>
  </si>
  <si>
    <t>Duració</t>
  </si>
  <si>
    <t>Personal</t>
  </si>
  <si>
    <t>Dependència</t>
  </si>
  <si>
    <t>A</t>
  </si>
  <si>
    <t>Definir la visió</t>
  </si>
  <si>
    <t>Cap de projecte (CP)</t>
  </si>
  <si>
    <t>-</t>
  </si>
  <si>
    <t>B</t>
  </si>
  <si>
    <t>Definir l’estat de l’empresa</t>
  </si>
  <si>
    <t>C</t>
  </si>
  <si>
    <t>Determinar l’abast del projecte</t>
  </si>
  <si>
    <t>D</t>
  </si>
  <si>
    <t>Identificar les parts interessades</t>
  </si>
  <si>
    <t>Enginyer de requisits (ER)</t>
  </si>
  <si>
    <t>E</t>
  </si>
  <si>
    <t>Definir la arquitectura candidata del sistema</t>
  </si>
  <si>
    <t>Arquitecte de software (AS)</t>
  </si>
  <si>
    <t>F</t>
  </si>
  <si>
    <t>G</t>
  </si>
  <si>
    <t>Definir el pla de desenvolupament de software</t>
  </si>
  <si>
    <t>H</t>
  </si>
  <si>
    <t>Cap de projecte (CP), Enginyer Requisits (ER)</t>
  </si>
  <si>
    <t>I</t>
  </si>
  <si>
    <t>Determinar els casos d’ús del sistema</t>
  </si>
  <si>
    <t>J</t>
  </si>
  <si>
    <t>Especificar els requisits no funcionals</t>
  </si>
  <si>
    <t>K</t>
  </si>
  <si>
    <t>Refinar definició del sistema</t>
  </si>
  <si>
    <t>L</t>
  </si>
  <si>
    <t>Estimar els riscos potencials</t>
  </si>
  <si>
    <t>Diagrama de Gantt</t>
  </si>
  <si>
    <t>CP</t>
  </si>
  <si>
    <t>ER1</t>
  </si>
  <si>
    <t>AS</t>
  </si>
  <si>
    <t>CP + ER2</t>
  </si>
  <si>
    <t>ER2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</si>
</sst>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d/m/yy"/>
    <numFmt numFmtId="166" formatCode="dd/mm/yy"/>
  </numFmts>
  <fonts count="23">
    <font>
      <sz val="10.0"/>
      <color rgb="FF000000"/>
      <name val="Arial"/>
      <scheme val="minor"/>
    </font>
    <font>
      <b/>
      <color rgb="FFFFFFFF"/>
      <name val="Calibri"/>
    </font>
    <font>
      <color theme="1"/>
      <name val="Calibri"/>
    </font>
    <font>
      <color rgb="FFFFFFFF"/>
      <name val="Calibri"/>
    </font>
    <font>
      <b/>
      <color rgb="FF000000"/>
      <name val="Calibri"/>
    </font>
    <font>
      <color rgb="FF000000"/>
      <name val="Calibri"/>
    </font>
    <font>
      <b/>
      <sz val="10.0"/>
      <color rgb="FFFFFFFF"/>
      <name val="Calibri"/>
    </font>
    <font>
      <sz val="10.0"/>
      <color theme="1"/>
      <name val="Calibri"/>
    </font>
    <font>
      <sz val="10.0"/>
      <color rgb="FF000000"/>
      <name val="Calibri"/>
    </font>
    <font>
      <b/>
      <sz val="10.0"/>
      <color theme="1"/>
      <name val="Calibri"/>
    </font>
    <font>
      <sz val="10.0"/>
      <color rgb="FFFFFFFF"/>
      <name val="Calibri"/>
    </font>
    <font>
      <sz val="11.0"/>
      <color theme="1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b/>
      <sz val="11.0"/>
      <color rgb="FF000000"/>
      <name val="Calibri"/>
    </font>
    <font/>
    <font>
      <sz val="11.0"/>
      <color rgb="FF000000"/>
      <name val="Calibri"/>
    </font>
    <font>
      <color rgb="FFFFFFFF"/>
      <name val="Arial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color rgb="FFF4CCCC"/>
      <name val="Arial"/>
      <scheme val="minor"/>
    </font>
  </fonts>
  <fills count="4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073763"/>
        <bgColor rgb="FF073763"/>
      </patternFill>
    </fill>
    <fill>
      <patternFill patternType="solid">
        <fgColor rgb="FF4C1130"/>
        <bgColor rgb="FF4C113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theme="1"/>
        <bgColor theme="1"/>
      </patternFill>
    </fill>
    <fill>
      <patternFill patternType="solid">
        <fgColor rgb="FFBF9000"/>
        <bgColor rgb="FFBF9000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741B47"/>
        <bgColor rgb="FF741B47"/>
      </patternFill>
    </fill>
    <fill>
      <patternFill patternType="solid">
        <fgColor rgb="FFD5A6BD"/>
        <bgColor rgb="FFD5A6BD"/>
      </patternFill>
    </fill>
    <fill>
      <patternFill patternType="solid">
        <fgColor rgb="FFF3F3F3"/>
        <bgColor rgb="FFF3F3F3"/>
      </patternFill>
    </fill>
    <fill>
      <patternFill patternType="solid">
        <fgColor rgb="FF20124D"/>
        <bgColor rgb="FF20124D"/>
      </patternFill>
    </fill>
    <fill>
      <patternFill patternType="solid">
        <fgColor rgb="FF1C4587"/>
        <bgColor rgb="FF1C4587"/>
      </patternFill>
    </fill>
    <fill>
      <patternFill patternType="solid">
        <fgColor rgb="FF0C343D"/>
        <bgColor rgb="FF0C343D"/>
      </patternFill>
    </fill>
    <fill>
      <patternFill patternType="solid">
        <fgColor rgb="FF783F04"/>
        <bgColor rgb="FF783F04"/>
      </patternFill>
    </fill>
    <fill>
      <patternFill patternType="solid">
        <fgColor rgb="FF5B0F00"/>
        <bgColor rgb="FF5B0F00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42">
    <border/>
    <border>
      <right/>
    </border>
    <border>
      <bottom/>
    </border>
    <border>
      <right/>
      <bottom/>
    </border>
    <border>
      <top/>
    </border>
    <border>
      <left/>
      <right/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C27BA0"/>
      </left>
      <right style="thin">
        <color rgb="FFC27BA0"/>
      </right>
      <top style="thin">
        <color rgb="FFC27BA0"/>
      </top>
      <bottom style="thin">
        <color rgb="FFC27BA0"/>
      </bottom>
    </border>
    <border>
      <right style="thin">
        <color rgb="FF8E7CC3"/>
      </right>
      <top style="thin">
        <color rgb="FF8E7CC3"/>
      </top>
      <bottom style="thin">
        <color rgb="FF8E7CC3"/>
      </bottom>
    </border>
    <border>
      <left style="thin">
        <color rgb="FF6FA8DC"/>
      </left>
      <top style="thin">
        <color rgb="FF6FA8DC"/>
      </top>
      <bottom style="thin">
        <color rgb="FF6FA8DC"/>
      </bottom>
    </border>
    <border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6D9EEB"/>
      </left>
      <top style="thin">
        <color rgb="FF6D9EEB"/>
      </top>
      <bottom style="thin">
        <color rgb="FF6D9EEB"/>
      </bottom>
    </border>
    <border>
      <bottom style="thin">
        <color rgb="FF6D9EEB"/>
      </bottom>
    </border>
    <border>
      <top style="thin">
        <color rgb="FF6D9EEB"/>
      </top>
    </border>
    <border>
      <right style="thin">
        <color rgb="FF6D9EEB"/>
      </right>
      <top style="thin">
        <color rgb="FF6D9EEB"/>
      </top>
    </border>
    <border>
      <left style="thin">
        <color rgb="FF76A5AF"/>
      </left>
      <top style="thin">
        <color rgb="FF76A5AF"/>
      </top>
    </border>
    <border>
      <top style="thin">
        <color rgb="FF76A5AF"/>
      </top>
    </border>
    <border>
      <top style="thin">
        <color rgb="FF76A5AF"/>
      </top>
      <bottom style="thin">
        <color rgb="FF76A5AF"/>
      </bottom>
    </border>
    <border>
      <right style="thin">
        <color rgb="FF76A5AF"/>
      </right>
      <top style="thin">
        <color rgb="FF76A5AF"/>
      </top>
      <bottom style="thin">
        <color rgb="FF76A5AF"/>
      </bottom>
    </border>
    <border>
      <left style="thin">
        <color rgb="FF93C47D"/>
      </left>
      <top style="thin">
        <color rgb="FF93C47D"/>
      </top>
      <bottom style="thin">
        <color rgb="FF93C47D"/>
      </bottom>
    </border>
    <border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FFD966"/>
      </left>
      <top style="thin">
        <color rgb="FFFFD966"/>
      </top>
      <bottom style="thin">
        <color rgb="FFFFD966"/>
      </bottom>
    </border>
    <border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F6B26B"/>
      </left>
      <top style="thin">
        <color rgb="FFF6B26B"/>
      </top>
    </border>
    <border>
      <top style="thin">
        <color rgb="FFF6B26B"/>
      </top>
    </border>
    <border>
      <right style="thin">
        <color rgb="FFF6B26B"/>
      </right>
      <top style="thin">
        <color rgb="FFF6B26B"/>
      </top>
    </border>
    <border>
      <left style="thin">
        <color rgb="FFE06666"/>
      </left>
      <top style="thin">
        <color rgb="FFE06666"/>
      </top>
      <bottom style="thin">
        <color rgb="FFE06666"/>
      </bottom>
    </border>
    <border>
      <top style="thin">
        <color rgb="FFE06666"/>
      </top>
      <bottom style="thin">
        <color rgb="FFE06666"/>
      </bottom>
    </border>
    <border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C27BA0"/>
      </left>
      <top style="thin">
        <color rgb="FFC27BA0"/>
      </top>
    </border>
    <border>
      <top style="thin">
        <color rgb="FFC27BA0"/>
      </top>
    </border>
    <border>
      <top style="thin">
        <color rgb="FFC27BA0"/>
      </top>
      <bottom style="thin">
        <color rgb="FFC27BA0"/>
      </bottom>
    </border>
    <border>
      <right style="thin">
        <color rgb="FFC27BA0"/>
      </right>
      <top style="thin">
        <color rgb="FFC27BA0"/>
      </top>
      <bottom style="thin">
        <color rgb="FFC27BA0"/>
      </bottom>
    </border>
    <border>
      <left style="thin">
        <color rgb="FF8E7CC3"/>
      </left>
      <top style="thin">
        <color rgb="FF8E7CC3"/>
      </top>
    </border>
    <border>
      <right style="thin">
        <color rgb="FF8E7CC3"/>
      </right>
      <top style="thin">
        <color rgb="FF8E7CC3"/>
      </top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6" fontId="1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7" fontId="4" numFmtId="0" xfId="0" applyAlignment="1" applyFill="1" applyFont="1">
      <alignment horizontal="center" vertical="bottom"/>
    </xf>
    <xf borderId="0" fillId="5" fontId="2" numFmtId="0" xfId="0" applyAlignment="1" applyFont="1">
      <alignment horizontal="left" vertical="bottom"/>
    </xf>
    <xf borderId="0" fillId="5" fontId="2" numFmtId="0" xfId="0" applyAlignment="1" applyFont="1">
      <alignment horizontal="center" vertical="bottom"/>
    </xf>
    <xf borderId="0" fillId="8" fontId="2" numFmtId="0" xfId="0" applyAlignment="1" applyFill="1" applyFont="1">
      <alignment horizontal="center" vertical="bottom"/>
    </xf>
    <xf borderId="0" fillId="5" fontId="5" numFmtId="0" xfId="0" applyAlignment="1" applyFont="1">
      <alignment horizontal="left" vertical="bottom"/>
    </xf>
    <xf borderId="0" fillId="9" fontId="2" numFmtId="0" xfId="0" applyAlignment="1" applyFill="1" applyFont="1">
      <alignment horizontal="left" vertical="bottom"/>
    </xf>
    <xf borderId="0" fillId="9" fontId="2" numFmtId="0" xfId="0" applyAlignment="1" applyFont="1">
      <alignment horizontal="center" vertical="bottom"/>
    </xf>
    <xf borderId="1" fillId="2" fontId="6" numFmtId="0" xfId="0" applyAlignment="1" applyBorder="1" applyFont="1">
      <alignment shrinkToFit="0" vertical="bottom" wrapText="0"/>
    </xf>
    <xf borderId="0" fillId="2" fontId="7" numFmtId="0" xfId="0" applyAlignment="1" applyFont="1">
      <alignment vertical="bottom"/>
    </xf>
    <xf borderId="0" fillId="0" fontId="7" numFmtId="0" xfId="0" applyFont="1"/>
    <xf borderId="0" fillId="0" fontId="7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7" numFmtId="0" xfId="0" applyAlignment="1" applyFont="1">
      <alignment vertical="bottom"/>
    </xf>
    <xf borderId="2" fillId="10" fontId="6" numFmtId="9" xfId="0" applyAlignment="1" applyBorder="1" applyFill="1" applyFont="1" applyNumberFormat="1">
      <alignment horizontal="center" vertical="bottom"/>
    </xf>
    <xf borderId="2" fillId="11" fontId="6" numFmtId="9" xfId="0" applyAlignment="1" applyBorder="1" applyFill="1" applyFont="1" applyNumberFormat="1">
      <alignment horizontal="center" vertical="bottom"/>
    </xf>
    <xf borderId="2" fillId="12" fontId="6" numFmtId="9" xfId="0" applyAlignment="1" applyBorder="1" applyFill="1" applyFont="1" applyNumberFormat="1">
      <alignment horizontal="center" vertical="bottom"/>
    </xf>
    <xf borderId="2" fillId="13" fontId="6" numFmtId="9" xfId="0" applyAlignment="1" applyBorder="1" applyFill="1" applyFont="1" applyNumberFormat="1">
      <alignment horizontal="center" vertical="bottom"/>
    </xf>
    <xf borderId="3" fillId="4" fontId="6" numFmtId="0" xfId="0" applyAlignment="1" applyBorder="1" applyFont="1">
      <alignment horizontal="center" vertical="bottom"/>
    </xf>
    <xf borderId="0" fillId="4" fontId="6" numFmtId="0" xfId="0" applyAlignment="1" applyFont="1">
      <alignment vertical="bottom"/>
    </xf>
    <xf borderId="0" fillId="0" fontId="8" numFmtId="9" xfId="0" applyAlignment="1" applyFont="1" applyNumberFormat="1">
      <alignment horizontal="right" vertical="bottom"/>
    </xf>
    <xf borderId="0" fillId="0" fontId="7" numFmtId="9" xfId="0" applyAlignment="1" applyFont="1" applyNumberFormat="1">
      <alignment horizontal="right" vertical="bottom"/>
    </xf>
    <xf borderId="0" fillId="0" fontId="2" numFmtId="0" xfId="0" applyFont="1"/>
    <xf borderId="0" fillId="0" fontId="7" numFmtId="0" xfId="0" applyAlignment="1" applyFont="1">
      <alignment horizontal="right"/>
    </xf>
    <xf borderId="3" fillId="4" fontId="6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3" fillId="2" fontId="6" numFmtId="0" xfId="0" applyAlignment="1" applyBorder="1" applyFont="1">
      <alignment vertical="bottom"/>
    </xf>
    <xf borderId="0" fillId="0" fontId="8" numFmtId="164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right" readingOrder="0" vertical="bottom"/>
    </xf>
    <xf borderId="0" fillId="8" fontId="2" numFmtId="0" xfId="0" applyFont="1"/>
    <xf borderId="4" fillId="8" fontId="5" numFmtId="0" xfId="0" applyAlignment="1" applyBorder="1" applyFont="1">
      <alignment horizontal="right" vertical="bottom"/>
    </xf>
    <xf borderId="0" fillId="8" fontId="7" numFmtId="0" xfId="0" applyAlignment="1" applyFont="1">
      <alignment horizontal="right" vertical="bottom"/>
    </xf>
    <xf borderId="0" fillId="8" fontId="7" numFmtId="16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8" fontId="2" numFmtId="0" xfId="0" applyAlignment="1" applyFon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0" fillId="8" fontId="5" numFmtId="0" xfId="0" applyAlignment="1" applyFont="1">
      <alignment horizontal="right" vertical="bottom"/>
    </xf>
    <xf borderId="5" fillId="3" fontId="6" numFmtId="0" xfId="0" applyAlignment="1" applyBorder="1" applyFont="1">
      <alignment vertical="bottom"/>
    </xf>
    <xf borderId="0" fillId="0" fontId="9" numFmtId="0" xfId="0" applyAlignment="1" applyFont="1">
      <alignment horizontal="right" vertical="bottom"/>
    </xf>
    <xf borderId="0" fillId="0" fontId="2" numFmtId="164" xfId="0" applyFont="1" applyNumberFormat="1"/>
    <xf borderId="0" fillId="3" fontId="6" numFmtId="0" xfId="0" applyAlignment="1" applyFont="1">
      <alignment horizontal="center" vertical="bottom"/>
    </xf>
    <xf borderId="2" fillId="10" fontId="6" numFmtId="0" xfId="0" applyAlignment="1" applyBorder="1" applyFont="1">
      <alignment horizontal="center" vertical="bottom"/>
    </xf>
    <xf borderId="2" fillId="11" fontId="6" numFmtId="0" xfId="0" applyAlignment="1" applyBorder="1" applyFont="1">
      <alignment horizontal="center" vertical="bottom"/>
    </xf>
    <xf borderId="2" fillId="12" fontId="6" numFmtId="0" xfId="0" applyAlignment="1" applyBorder="1" applyFont="1">
      <alignment horizontal="center" vertical="bottom"/>
    </xf>
    <xf borderId="2" fillId="13" fontId="6" numFmtId="0" xfId="0" applyAlignment="1" applyBorder="1" applyFont="1">
      <alignment horizontal="center" vertical="bottom"/>
    </xf>
    <xf borderId="0" fillId="4" fontId="10" numFmtId="0" xfId="0" applyAlignment="1" applyFont="1">
      <alignment horizontal="left" vertical="bottom"/>
    </xf>
    <xf borderId="0" fillId="0" fontId="7" numFmtId="9" xfId="0" applyFont="1" applyNumberFormat="1"/>
    <xf borderId="0" fillId="0" fontId="7" numFmtId="0" xfId="0" applyAlignment="1" applyFont="1">
      <alignment readingOrder="0"/>
    </xf>
    <xf borderId="0" fillId="3" fontId="1" numFmtId="0" xfId="0" applyFont="1"/>
    <xf borderId="0" fillId="4" fontId="3" numFmtId="0" xfId="0" applyFont="1"/>
    <xf borderId="0" fillId="0" fontId="2" numFmtId="10" xfId="0" applyFont="1" applyNumberFormat="1"/>
    <xf borderId="0" fillId="0" fontId="7" numFmtId="16" xfId="0" applyFont="1" applyNumberFormat="1"/>
    <xf borderId="0" fillId="0" fontId="11" numFmtId="0" xfId="0" applyAlignment="1" applyFont="1">
      <alignment vertical="bottom"/>
    </xf>
    <xf borderId="0" fillId="0" fontId="11" numFmtId="9" xfId="0" applyAlignment="1" applyFont="1" applyNumberFormat="1">
      <alignment horizontal="right" vertical="bottom"/>
    </xf>
    <xf borderId="0" fillId="14" fontId="11" numFmtId="0" xfId="0" applyAlignment="1" applyFill="1" applyFont="1">
      <alignment horizontal="right" vertical="bottom"/>
    </xf>
    <xf borderId="0" fillId="15" fontId="11" numFmtId="0" xfId="0" applyAlignment="1" applyFill="1" applyFont="1">
      <alignment horizontal="right" vertical="bottom"/>
    </xf>
    <xf borderId="0" fillId="16" fontId="11" numFmtId="0" xfId="0" applyAlignment="1" applyFill="1" applyFont="1">
      <alignment horizontal="right" vertical="bottom"/>
    </xf>
    <xf borderId="0" fillId="17" fontId="11" numFmtId="0" xfId="0" applyAlignment="1" applyFill="1" applyFont="1">
      <alignment horizontal="right" vertical="bottom"/>
    </xf>
    <xf borderId="0" fillId="9" fontId="11" numFmtId="0" xfId="0" applyAlignment="1" applyFont="1">
      <alignment horizontal="right" vertical="bottom"/>
    </xf>
    <xf borderId="0" fillId="18" fontId="11" numFmtId="0" xfId="0" applyAlignment="1" applyFill="1" applyFont="1">
      <alignment horizontal="right" vertical="bottom"/>
    </xf>
    <xf borderId="0" fillId="19" fontId="11" numFmtId="0" xfId="0" applyAlignment="1" applyFill="1" applyFont="1">
      <alignment horizontal="right" vertical="bottom"/>
    </xf>
    <xf borderId="0" fillId="20" fontId="11" numFmtId="0" xfId="0" applyAlignment="1" applyFill="1" applyFont="1">
      <alignment horizontal="right" vertical="bottom"/>
    </xf>
    <xf borderId="0" fillId="21" fontId="11" numFmtId="0" xfId="0" applyAlignment="1" applyFill="1" applyFont="1">
      <alignment horizontal="right" vertical="bottom"/>
    </xf>
    <xf borderId="0" fillId="2" fontId="12" numFmtId="0" xfId="0" applyAlignment="1" applyFont="1">
      <alignment vertical="bottom"/>
    </xf>
    <xf borderId="5" fillId="2" fontId="1" numFmtId="0" xfId="0" applyAlignment="1" applyBorder="1" applyFont="1">
      <alignment vertical="bottom"/>
    </xf>
    <xf borderId="0" fillId="0" fontId="13" numFmtId="0" xfId="0" applyAlignment="1" applyFont="1">
      <alignment horizontal="right" vertical="bottom"/>
    </xf>
    <xf borderId="0" fillId="22" fontId="12" numFmtId="0" xfId="0" applyAlignment="1" applyFill="1" applyFont="1">
      <alignment vertical="bottom"/>
    </xf>
    <xf borderId="0" fillId="0" fontId="14" numFmtId="0" xfId="0" applyAlignment="1" applyFont="1">
      <alignment horizontal="right" vertical="bottom"/>
    </xf>
    <xf borderId="0" fillId="0" fontId="11" numFmtId="0" xfId="0" applyAlignment="1" applyFont="1">
      <alignment shrinkToFit="0" vertical="bottom" wrapText="0"/>
    </xf>
    <xf borderId="0" fillId="4" fontId="12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165" xfId="0" applyAlignment="1" applyFont="1" applyNumberFormat="1">
      <alignment horizontal="right" vertical="bottom"/>
    </xf>
    <xf borderId="0" fillId="0" fontId="11" numFmtId="166" xfId="0" applyAlignment="1" applyFont="1" applyNumberFormat="1">
      <alignment horizontal="right" vertical="bottom"/>
    </xf>
    <xf borderId="0" fillId="3" fontId="6" numFmtId="0" xfId="0" applyFont="1"/>
    <xf borderId="6" fillId="10" fontId="6" numFmtId="0" xfId="0" applyAlignment="1" applyBorder="1" applyFont="1">
      <alignment horizontal="center" vertical="center"/>
    </xf>
    <xf borderId="6" fillId="23" fontId="10" numFmtId="0" xfId="0" applyAlignment="1" applyBorder="1" applyFill="1" applyFont="1">
      <alignment horizontal="center" vertical="center"/>
    </xf>
    <xf borderId="7" fillId="18" fontId="8" numFmtId="0" xfId="0" applyBorder="1" applyFont="1"/>
    <xf borderId="6" fillId="24" fontId="7" numFmtId="0" xfId="0" applyAlignment="1" applyBorder="1" applyFill="1" applyFont="1">
      <alignment horizontal="center" vertical="center"/>
    </xf>
    <xf borderId="6" fillId="14" fontId="7" numFmtId="0" xfId="0" applyAlignment="1" applyBorder="1" applyFont="1">
      <alignment horizontal="center" vertical="center"/>
    </xf>
    <xf borderId="8" fillId="0" fontId="15" numFmtId="0" xfId="0" applyBorder="1" applyFont="1"/>
    <xf borderId="9" fillId="18" fontId="8" numFmtId="0" xfId="0" applyBorder="1" applyFont="1"/>
    <xf borderId="10" fillId="0" fontId="15" numFmtId="0" xfId="0" applyBorder="1" applyFont="1"/>
    <xf borderId="11" fillId="18" fontId="8" numFmtId="0" xfId="0" applyBorder="1" applyFont="1"/>
    <xf borderId="6" fillId="11" fontId="6" numFmtId="0" xfId="0" applyAlignment="1" applyBorder="1" applyFont="1">
      <alignment horizontal="center" vertical="center"/>
    </xf>
    <xf borderId="6" fillId="25" fontId="10" numFmtId="0" xfId="0" applyAlignment="1" applyBorder="1" applyFill="1" applyFont="1">
      <alignment horizontal="center" vertical="center"/>
    </xf>
    <xf borderId="7" fillId="19" fontId="7" numFmtId="0" xfId="0" applyBorder="1" applyFont="1"/>
    <xf borderId="6" fillId="26" fontId="7" numFmtId="0" xfId="0" applyAlignment="1" applyBorder="1" applyFill="1" applyFont="1">
      <alignment horizontal="center" vertical="center"/>
    </xf>
    <xf borderId="6" fillId="15" fontId="7" numFmtId="0" xfId="0" applyAlignment="1" applyBorder="1" applyFont="1">
      <alignment horizontal="center" vertical="center"/>
    </xf>
    <xf borderId="9" fillId="19" fontId="7" numFmtId="0" xfId="0" applyBorder="1" applyFont="1"/>
    <xf borderId="11" fillId="19" fontId="7" numFmtId="0" xfId="0" applyBorder="1" applyFont="1"/>
    <xf borderId="7" fillId="19" fontId="8" numFmtId="0" xfId="0" applyBorder="1" applyFont="1"/>
    <xf borderId="9" fillId="19" fontId="8" numFmtId="0" xfId="0" applyBorder="1" applyFont="1"/>
    <xf borderId="11" fillId="19" fontId="8" numFmtId="0" xfId="0" applyBorder="1" applyFont="1"/>
    <xf borderId="6" fillId="12" fontId="6" numFmtId="0" xfId="0" applyAlignment="1" applyBorder="1" applyFont="1">
      <alignment horizontal="center" vertical="center"/>
    </xf>
    <xf borderId="6" fillId="27" fontId="10" numFmtId="0" xfId="0" applyAlignment="1" applyBorder="1" applyFill="1" applyFont="1">
      <alignment horizontal="center" vertical="center"/>
    </xf>
    <xf borderId="7" fillId="20" fontId="7" numFmtId="0" xfId="0" applyBorder="1" applyFont="1"/>
    <xf borderId="6" fillId="28" fontId="7" numFmtId="0" xfId="0" applyAlignment="1" applyBorder="1" applyFill="1" applyFont="1">
      <alignment horizontal="center" vertical="center"/>
    </xf>
    <xf borderId="6" fillId="29" fontId="8" numFmtId="0" xfId="0" applyAlignment="1" applyBorder="1" applyFill="1" applyFont="1">
      <alignment horizontal="center" vertical="center"/>
    </xf>
    <xf borderId="9" fillId="20" fontId="7" numFmtId="0" xfId="0" applyBorder="1" applyFont="1"/>
    <xf borderId="11" fillId="20" fontId="7" numFmtId="0" xfId="0" applyBorder="1" applyFont="1"/>
    <xf borderId="12" fillId="27" fontId="10" numFmtId="0" xfId="0" applyAlignment="1" applyBorder="1" applyFont="1">
      <alignment horizontal="center" vertical="center"/>
    </xf>
    <xf borderId="13" fillId="20" fontId="7" numFmtId="0" xfId="0" applyBorder="1" applyFont="1"/>
    <xf borderId="6" fillId="13" fontId="6" numFmtId="0" xfId="0" applyAlignment="1" applyBorder="1" applyFont="1">
      <alignment horizontal="center" vertical="center"/>
    </xf>
    <xf borderId="6" fillId="30" fontId="10" numFmtId="0" xfId="0" applyAlignment="1" applyBorder="1" applyFill="1" applyFont="1">
      <alignment horizontal="center" vertical="center"/>
    </xf>
    <xf borderId="6" fillId="21" fontId="7" numFmtId="0" xfId="0" applyBorder="1" applyFont="1"/>
    <xf borderId="6" fillId="31" fontId="7" numFmtId="0" xfId="0" applyAlignment="1" applyBorder="1" applyFill="1" applyFont="1">
      <alignment horizontal="center" vertical="center"/>
    </xf>
    <xf borderId="6" fillId="17" fontId="7" numFmtId="0" xfId="0" applyAlignment="1" applyBorder="1" applyFont="1">
      <alignment horizontal="center" vertical="center"/>
    </xf>
    <xf borderId="8" fillId="21" fontId="7" numFmtId="0" xfId="0" applyBorder="1" applyFont="1"/>
    <xf borderId="10" fillId="21" fontId="7" numFmtId="0" xfId="0" applyBorder="1" applyFont="1"/>
    <xf borderId="0" fillId="0" fontId="16" numFmtId="0" xfId="0" applyFont="1"/>
    <xf borderId="0" fillId="4" fontId="17" numFmtId="0" xfId="0" applyFont="1"/>
    <xf borderId="0" fillId="13" fontId="18" numFmtId="0" xfId="0" applyFont="1"/>
    <xf borderId="0" fillId="32" fontId="16" numFmtId="0" xfId="0" applyFill="1" applyFont="1"/>
    <xf borderId="0" fillId="32" fontId="19" numFmtId="0" xfId="0" applyFont="1"/>
    <xf borderId="0" fillId="33" fontId="18" numFmtId="0" xfId="0" applyFill="1" applyFont="1"/>
    <xf borderId="0" fillId="12" fontId="18" numFmtId="0" xfId="0" applyFont="1"/>
    <xf borderId="0" fillId="34" fontId="18" numFmtId="0" xfId="0" applyFill="1" applyFont="1"/>
    <xf borderId="0" fillId="35" fontId="18" numFmtId="0" xfId="0" applyFill="1" applyFont="1"/>
    <xf borderId="0" fillId="11" fontId="18" numFmtId="0" xfId="0" applyFont="1"/>
    <xf borderId="0" fillId="10" fontId="18" numFmtId="0" xfId="0" applyFont="1"/>
    <xf borderId="0" fillId="36" fontId="18" numFmtId="0" xfId="0" applyFill="1" applyFont="1"/>
    <xf borderId="0" fillId="37" fontId="18" numFmtId="0" xfId="0" applyFill="1" applyFont="1"/>
    <xf borderId="0" fillId="32" fontId="20" numFmtId="0" xfId="0" applyFont="1"/>
    <xf borderId="0" fillId="4" fontId="17" numFmtId="165" xfId="0" applyFont="1" applyNumberFormat="1"/>
    <xf borderId="0" fillId="4" fontId="3" numFmtId="165" xfId="0" applyFont="1" applyNumberFormat="1"/>
    <xf borderId="0" fillId="0" fontId="5" numFmtId="165" xfId="0" applyFont="1" applyNumberFormat="1"/>
    <xf borderId="0" fillId="13" fontId="21" numFmtId="0" xfId="0" applyAlignment="1" applyFont="1">
      <alignment horizontal="center"/>
    </xf>
    <xf borderId="0" fillId="5" fontId="19" numFmtId="0" xfId="0" applyFont="1"/>
    <xf borderId="14" fillId="17" fontId="20" numFmtId="0" xfId="0" applyBorder="1" applyFont="1"/>
    <xf borderId="0" fillId="5" fontId="20" numFmtId="0" xfId="0" applyFont="1"/>
    <xf borderId="0" fillId="33" fontId="21" numFmtId="0" xfId="0" applyAlignment="1" applyFont="1">
      <alignment horizontal="center"/>
    </xf>
    <xf borderId="15" fillId="38" fontId="20" numFmtId="0" xfId="0" applyBorder="1" applyFill="1" applyFont="1"/>
    <xf borderId="0" fillId="12" fontId="21" numFmtId="0" xfId="0" applyAlignment="1" applyFont="1">
      <alignment horizontal="center"/>
    </xf>
    <xf borderId="16" fillId="29" fontId="20" numFmtId="0" xfId="0" applyBorder="1" applyFont="1"/>
    <xf borderId="17" fillId="29" fontId="20" numFmtId="0" xfId="0" applyBorder="1" applyFont="1"/>
    <xf borderId="0" fillId="34" fontId="21" numFmtId="0" xfId="0" applyAlignment="1" applyFont="1">
      <alignment horizontal="center"/>
    </xf>
    <xf borderId="18" fillId="16" fontId="20" numFmtId="0" xfId="0" applyBorder="1" applyFont="1"/>
    <xf borderId="19" fillId="16" fontId="20" numFmtId="0" xfId="0" applyBorder="1" applyFont="1"/>
    <xf borderId="20" fillId="16" fontId="20" numFmtId="0" xfId="0" applyBorder="1" applyFont="1"/>
    <xf borderId="21" fillId="16" fontId="20" numFmtId="0" xfId="0" applyBorder="1" applyFont="1"/>
    <xf borderId="0" fillId="35" fontId="21" numFmtId="0" xfId="0" applyAlignment="1" applyFont="1">
      <alignment horizontal="center"/>
    </xf>
    <xf borderId="22" fillId="39" fontId="20" numFmtId="0" xfId="0" applyBorder="1" applyFill="1" applyFont="1"/>
    <xf borderId="23" fillId="39" fontId="20" numFmtId="0" xfId="0" applyBorder="1" applyFont="1"/>
    <xf borderId="24" fillId="39" fontId="20" numFmtId="0" xfId="0" applyBorder="1" applyFont="1"/>
    <xf borderId="25" fillId="39" fontId="20" numFmtId="0" xfId="0" applyBorder="1" applyFont="1"/>
    <xf borderId="0" fillId="11" fontId="21" numFmtId="0" xfId="0" applyAlignment="1" applyFont="1">
      <alignment horizontal="center"/>
    </xf>
    <xf borderId="26" fillId="15" fontId="20" numFmtId="0" xfId="0" applyBorder="1" applyFont="1"/>
    <xf borderId="27" fillId="15" fontId="20" numFmtId="0" xfId="0" applyBorder="1" applyFont="1"/>
    <xf borderId="0" fillId="10" fontId="21" numFmtId="0" xfId="0" applyAlignment="1" applyFont="1">
      <alignment horizontal="center"/>
    </xf>
    <xf borderId="28" fillId="14" fontId="20" numFmtId="0" xfId="0" applyBorder="1" applyFont="1"/>
    <xf borderId="29" fillId="14" fontId="20" numFmtId="0" xfId="0" applyBorder="1" applyFont="1"/>
    <xf borderId="0" fillId="36" fontId="21" numFmtId="0" xfId="0" applyAlignment="1" applyFont="1">
      <alignment horizontal="center"/>
    </xf>
    <xf borderId="30" fillId="40" fontId="20" numFmtId="0" xfId="0" applyBorder="1" applyFill="1" applyFont="1"/>
    <xf borderId="31" fillId="40" fontId="20" numFmtId="0" xfId="0" applyBorder="1" applyFont="1"/>
    <xf borderId="32" fillId="40" fontId="20" numFmtId="0" xfId="0" applyBorder="1" applyFont="1"/>
    <xf borderId="0" fillId="37" fontId="21" numFmtId="0" xfId="0" applyAlignment="1" applyFont="1">
      <alignment horizontal="center"/>
    </xf>
    <xf borderId="33" fillId="41" fontId="20" numFmtId="0" xfId="0" applyBorder="1" applyFill="1" applyFont="1"/>
    <xf borderId="34" fillId="41" fontId="22" numFmtId="0" xfId="0" applyBorder="1" applyFont="1"/>
    <xf borderId="34" fillId="41" fontId="20" numFmtId="0" xfId="0" applyBorder="1" applyFont="1"/>
    <xf borderId="35" fillId="41" fontId="20" numFmtId="0" xfId="0" applyBorder="1" applyFont="1"/>
    <xf borderId="36" fillId="17" fontId="20" numFmtId="0" xfId="0" applyBorder="1" applyFont="1"/>
    <xf borderId="37" fillId="17" fontId="20" numFmtId="0" xfId="0" applyBorder="1" applyFont="1"/>
    <xf borderId="38" fillId="17" fontId="20" numFmtId="0" xfId="0" applyBorder="1" applyFont="1"/>
    <xf borderId="39" fillId="17" fontId="20" numFmtId="0" xfId="0" applyBorder="1" applyFont="1"/>
    <xf borderId="40" fillId="38" fontId="20" numFmtId="0" xfId="0" applyBorder="1" applyFont="1"/>
    <xf borderId="41" fillId="38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47.63"/>
    <col customWidth="1" min="5" max="6" width="14.38"/>
    <col customWidth="1" min="7" max="7" width="17.75"/>
    <col customWidth="1" min="8" max="26" width="14.3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3"/>
      <c r="B3" s="4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3"/>
      <c r="B5" s="3"/>
      <c r="C5" s="6" t="s">
        <v>2</v>
      </c>
      <c r="D5" s="7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3"/>
      <c r="B6" s="3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3"/>
      <c r="B7" s="3"/>
      <c r="C7" s="6" t="s">
        <v>6</v>
      </c>
      <c r="D7" s="7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3"/>
      <c r="B8" s="3"/>
      <c r="C8" s="6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>
      <c r="A9" s="3"/>
      <c r="B9" s="3"/>
      <c r="C9" s="6" t="s">
        <v>10</v>
      </c>
      <c r="D9" s="7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6" t="s">
        <v>12</v>
      </c>
      <c r="D10" s="7" t="s">
        <v>13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6" t="s">
        <v>14</v>
      </c>
      <c r="D11" s="7" t="s">
        <v>15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4" t="s">
        <v>16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8" t="s">
        <v>6</v>
      </c>
      <c r="D16" s="9" t="s">
        <v>7</v>
      </c>
      <c r="E16" s="10">
        <f> SUM(F19:F40)</f>
        <v>150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12" t="s">
        <v>17</v>
      </c>
      <c r="E18" s="12" t="s">
        <v>18</v>
      </c>
      <c r="F18" s="12" t="s">
        <v>19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13" t="s">
        <v>20</v>
      </c>
      <c r="E19" s="14" t="s">
        <v>21</v>
      </c>
      <c r="F19" s="15">
        <v>5.0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13" t="s">
        <v>22</v>
      </c>
      <c r="E20" s="14" t="s">
        <v>21</v>
      </c>
      <c r="F20" s="15">
        <v>5.0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13" t="s">
        <v>23</v>
      </c>
      <c r="E21" s="14" t="s">
        <v>21</v>
      </c>
      <c r="F21" s="15">
        <v>5.0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13" t="s">
        <v>24</v>
      </c>
      <c r="E22" s="14" t="s">
        <v>21</v>
      </c>
      <c r="F22" s="15">
        <v>5.0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13" t="s">
        <v>25</v>
      </c>
      <c r="E23" s="14" t="s">
        <v>26</v>
      </c>
      <c r="F23" s="15">
        <v>10.0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13" t="s">
        <v>27</v>
      </c>
      <c r="E24" s="14" t="s">
        <v>26</v>
      </c>
      <c r="F24" s="15">
        <v>10.0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13" t="s">
        <v>28</v>
      </c>
      <c r="E25" s="14" t="s">
        <v>21</v>
      </c>
      <c r="F25" s="15">
        <v>5.0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13" t="s">
        <v>29</v>
      </c>
      <c r="E26" s="14" t="s">
        <v>26</v>
      </c>
      <c r="F26" s="15">
        <v>10.0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13" t="s">
        <v>30</v>
      </c>
      <c r="E27" s="14" t="s">
        <v>26</v>
      </c>
      <c r="F27" s="15">
        <v>10.0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13" t="s">
        <v>31</v>
      </c>
      <c r="E28" s="14" t="s">
        <v>26</v>
      </c>
      <c r="F28" s="15">
        <v>10.0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13" t="s">
        <v>32</v>
      </c>
      <c r="E29" s="14" t="s">
        <v>26</v>
      </c>
      <c r="F29" s="15">
        <v>10.0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13" t="s">
        <v>33</v>
      </c>
      <c r="E30" s="14" t="s">
        <v>21</v>
      </c>
      <c r="F30" s="15">
        <v>5.0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13" t="s">
        <v>34</v>
      </c>
      <c r="E31" s="14" t="s">
        <v>35</v>
      </c>
      <c r="F31" s="15">
        <v>15.0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13" t="s">
        <v>36</v>
      </c>
      <c r="E32" s="14" t="s">
        <v>35</v>
      </c>
      <c r="F32" s="15">
        <v>15.0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16" t="s">
        <v>37</v>
      </c>
      <c r="E33" s="14" t="s">
        <v>35</v>
      </c>
      <c r="F33" s="15">
        <v>15.0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13" t="s">
        <v>38</v>
      </c>
      <c r="E34" s="14" t="s">
        <v>35</v>
      </c>
      <c r="F34" s="15">
        <v>15.0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13"/>
      <c r="E35" s="14"/>
      <c r="F35" s="1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13"/>
      <c r="E36" s="14"/>
      <c r="F36" s="1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13"/>
      <c r="E37" s="14"/>
      <c r="F37" s="1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13"/>
      <c r="E38" s="14"/>
      <c r="F38" s="1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13"/>
      <c r="E39" s="14"/>
      <c r="F39" s="1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13"/>
      <c r="E40" s="14"/>
      <c r="F40" s="1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8" t="s">
        <v>8</v>
      </c>
      <c r="D43" s="9" t="s">
        <v>9</v>
      </c>
      <c r="E43" s="10">
        <f> SUM(F46:F52)</f>
        <v>15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12" t="s">
        <v>39</v>
      </c>
      <c r="E45" s="12" t="s">
        <v>18</v>
      </c>
      <c r="F45" s="12" t="s">
        <v>19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17" t="s">
        <v>40</v>
      </c>
      <c r="E46" s="14" t="s">
        <v>35</v>
      </c>
      <c r="F46" s="15">
        <v>3.0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17" t="s">
        <v>41</v>
      </c>
      <c r="E47" s="14" t="s">
        <v>35</v>
      </c>
      <c r="F47" s="15">
        <v>3.0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17" t="s">
        <v>42</v>
      </c>
      <c r="E48" s="14" t="s">
        <v>35</v>
      </c>
      <c r="F48" s="15">
        <v>3.0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17" t="s">
        <v>43</v>
      </c>
      <c r="E49" s="14" t="s">
        <v>35</v>
      </c>
      <c r="F49" s="15">
        <v>3.0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17" t="s">
        <v>44</v>
      </c>
      <c r="E50" s="14" t="s">
        <v>21</v>
      </c>
      <c r="F50" s="15">
        <v>1.0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17" t="s">
        <v>45</v>
      </c>
      <c r="E51" s="14" t="s">
        <v>21</v>
      </c>
      <c r="F51" s="15">
        <v>1.0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17" t="s">
        <v>46</v>
      </c>
      <c r="E52" s="14" t="s">
        <v>21</v>
      </c>
      <c r="F52" s="15">
        <v>1.0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8" t="s">
        <v>10</v>
      </c>
      <c r="D55" s="9" t="s">
        <v>11</v>
      </c>
      <c r="E55" s="10">
        <f> 0.6 + SUM(G58:G70)</f>
        <v>1.06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12" t="s">
        <v>47</v>
      </c>
      <c r="E57" s="12" t="s">
        <v>19</v>
      </c>
      <c r="F57" s="12" t="s">
        <v>48</v>
      </c>
      <c r="G57" s="12" t="s">
        <v>49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18" t="s">
        <v>50</v>
      </c>
      <c r="E58" s="14">
        <v>2.0</v>
      </c>
      <c r="F58" s="14">
        <v>3.0</v>
      </c>
      <c r="G58" s="15">
        <f t="shared" ref="G58:G70" si="1"> E58*F58/100</f>
        <v>0.06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18" t="s">
        <v>51</v>
      </c>
      <c r="E59" s="14">
        <v>1.0</v>
      </c>
      <c r="F59" s="14">
        <v>3.0</v>
      </c>
      <c r="G59" s="15">
        <f t="shared" si="1"/>
        <v>0.03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18" t="s">
        <v>52</v>
      </c>
      <c r="E60" s="14">
        <v>1.0</v>
      </c>
      <c r="F60" s="14">
        <v>3.0</v>
      </c>
      <c r="G60" s="15">
        <f t="shared" si="1"/>
        <v>0.03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18" t="s">
        <v>53</v>
      </c>
      <c r="E61" s="14">
        <v>1.0</v>
      </c>
      <c r="F61" s="14">
        <v>1.0</v>
      </c>
      <c r="G61" s="15">
        <f t="shared" si="1"/>
        <v>0.01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18" t="s">
        <v>54</v>
      </c>
      <c r="E62" s="14">
        <v>1.0</v>
      </c>
      <c r="F62" s="14">
        <v>4.0</v>
      </c>
      <c r="G62" s="15">
        <f t="shared" si="1"/>
        <v>0.04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18" t="s">
        <v>55</v>
      </c>
      <c r="E63" s="14">
        <v>0.5</v>
      </c>
      <c r="F63" s="14">
        <v>5.0</v>
      </c>
      <c r="G63" s="15">
        <f t="shared" si="1"/>
        <v>0.025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18" t="s">
        <v>56</v>
      </c>
      <c r="E64" s="14">
        <v>0.5</v>
      </c>
      <c r="F64" s="14">
        <v>5.0</v>
      </c>
      <c r="G64" s="15">
        <f t="shared" si="1"/>
        <v>0.025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18" t="s">
        <v>57</v>
      </c>
      <c r="E65" s="14">
        <v>2.0</v>
      </c>
      <c r="F65" s="14">
        <v>5.0</v>
      </c>
      <c r="G65" s="15">
        <f t="shared" si="1"/>
        <v>0.1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18" t="s">
        <v>58</v>
      </c>
      <c r="E66" s="14">
        <v>1.0</v>
      </c>
      <c r="F66" s="14">
        <v>5.0</v>
      </c>
      <c r="G66" s="15">
        <f t="shared" si="1"/>
        <v>0.05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18" t="s">
        <v>59</v>
      </c>
      <c r="E67" s="14">
        <v>1.0</v>
      </c>
      <c r="F67" s="14">
        <v>3.0</v>
      </c>
      <c r="G67" s="15">
        <f t="shared" si="1"/>
        <v>0.03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18" t="s">
        <v>60</v>
      </c>
      <c r="E68" s="14">
        <v>1.0</v>
      </c>
      <c r="F68" s="14">
        <v>2.0</v>
      </c>
      <c r="G68" s="15">
        <f t="shared" si="1"/>
        <v>0.02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18" t="s">
        <v>61</v>
      </c>
      <c r="E69" s="14">
        <v>1.0</v>
      </c>
      <c r="F69" s="14">
        <v>3.0</v>
      </c>
      <c r="G69" s="15">
        <f t="shared" si="1"/>
        <v>0.03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18" t="s">
        <v>62</v>
      </c>
      <c r="E70" s="14">
        <v>1.0</v>
      </c>
      <c r="F70" s="14">
        <v>1.0</v>
      </c>
      <c r="G70" s="15">
        <f t="shared" si="1"/>
        <v>0.01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8" t="s">
        <v>12</v>
      </c>
      <c r="D73" s="9" t="s">
        <v>13</v>
      </c>
      <c r="E73" s="10">
        <f> 1.4 + (-0.03 * sum(G76:G83))</f>
        <v>0.89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12" t="s">
        <v>63</v>
      </c>
      <c r="E75" s="12" t="s">
        <v>19</v>
      </c>
      <c r="F75" s="12" t="s">
        <v>64</v>
      </c>
      <c r="G75" s="12" t="s">
        <v>65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18" t="s">
        <v>66</v>
      </c>
      <c r="E76" s="14">
        <v>1.5</v>
      </c>
      <c r="F76" s="14">
        <v>3.0</v>
      </c>
      <c r="G76" s="15">
        <f t="shared" ref="G76:G83" si="2"> E76 * F76</f>
        <v>4.5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18" t="s">
        <v>67</v>
      </c>
      <c r="E77" s="14">
        <v>-1.0</v>
      </c>
      <c r="F77" s="14">
        <v>2.0</v>
      </c>
      <c r="G77" s="15">
        <f t="shared" si="2"/>
        <v>-2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18" t="s">
        <v>68</v>
      </c>
      <c r="E78" s="14">
        <v>0.5</v>
      </c>
      <c r="F78" s="14">
        <v>3.0</v>
      </c>
      <c r="G78" s="15">
        <f t="shared" si="2"/>
        <v>1.5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18" t="s">
        <v>69</v>
      </c>
      <c r="E79" s="14">
        <v>0.5</v>
      </c>
      <c r="F79" s="14">
        <v>2.0</v>
      </c>
      <c r="G79" s="15">
        <f t="shared" si="2"/>
        <v>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18" t="s">
        <v>70</v>
      </c>
      <c r="E80" s="14">
        <v>1.0</v>
      </c>
      <c r="F80" s="14">
        <v>3.0</v>
      </c>
      <c r="G80" s="15">
        <f t="shared" si="2"/>
        <v>3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18" t="s">
        <v>71</v>
      </c>
      <c r="E81" s="14">
        <v>1.0</v>
      </c>
      <c r="F81" s="14">
        <v>4.0</v>
      </c>
      <c r="G81" s="15">
        <f t="shared" si="2"/>
        <v>4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18" t="s">
        <v>72</v>
      </c>
      <c r="E82" s="14">
        <v>-1.0</v>
      </c>
      <c r="F82" s="14">
        <v>1.0</v>
      </c>
      <c r="G82" s="15">
        <f t="shared" si="2"/>
        <v>-1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18" t="s">
        <v>73</v>
      </c>
      <c r="E83" s="14">
        <v>2.0</v>
      </c>
      <c r="F83" s="14">
        <v>3.0</v>
      </c>
      <c r="G83" s="15">
        <f t="shared" si="2"/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8" t="s">
        <v>4</v>
      </c>
      <c r="D86" s="9" t="s">
        <v>5</v>
      </c>
      <c r="E86" s="10">
        <f> (E16+E43)*E55*E73</f>
        <v>155.661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8" t="s">
        <v>14</v>
      </c>
      <c r="D88" s="9" t="s">
        <v>15</v>
      </c>
      <c r="E88" s="10">
        <v>20.0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8" t="s">
        <v>2</v>
      </c>
      <c r="D90" s="9" t="s">
        <v>3</v>
      </c>
      <c r="E90" s="10">
        <f>E86*E88</f>
        <v>3113.22</v>
      </c>
      <c r="F90" s="8" t="s">
        <v>74</v>
      </c>
      <c r="G90" s="11"/>
      <c r="H90" s="10">
        <f>E90/24</f>
        <v>129.7175</v>
      </c>
      <c r="I90" s="8" t="s">
        <v>75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26.0"/>
    <col customWidth="1" min="4" max="16" width="17.0"/>
    <col customWidth="1" min="17" max="17" width="14.38"/>
    <col customWidth="1" min="18" max="18" width="18.75"/>
    <col customWidth="1" min="19" max="28" width="14.38"/>
  </cols>
  <sheetData>
    <row r="1" ht="15.75" customHeight="1">
      <c r="A1" s="19" t="s">
        <v>76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ht="15.7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ht="15.75" customHeight="1">
      <c r="A3" s="22"/>
      <c r="B3" s="23" t="s">
        <v>77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ht="15.75" customHeight="1">
      <c r="A5" s="21"/>
      <c r="B5" s="21"/>
      <c r="C5" s="22"/>
      <c r="D5" s="25">
        <v>0.05</v>
      </c>
      <c r="E5" s="26">
        <v>0.2</v>
      </c>
      <c r="F5" s="27">
        <v>0.65</v>
      </c>
      <c r="G5" s="28">
        <v>0.1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ht="15.75" customHeight="1">
      <c r="A6" s="21"/>
      <c r="B6" s="21"/>
      <c r="C6" s="22" t="s">
        <v>78</v>
      </c>
      <c r="D6" s="29" t="s">
        <v>79</v>
      </c>
      <c r="E6" s="29" t="s">
        <v>80</v>
      </c>
      <c r="F6" s="29" t="s">
        <v>81</v>
      </c>
      <c r="G6" s="29" t="s">
        <v>82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ht="15.75" customHeight="1">
      <c r="A7" s="21"/>
      <c r="B7" s="21"/>
      <c r="C7" s="30" t="s">
        <v>83</v>
      </c>
      <c r="D7" s="31">
        <v>0.2</v>
      </c>
      <c r="E7" s="32">
        <v>0.15</v>
      </c>
      <c r="F7" s="32">
        <v>0.15</v>
      </c>
      <c r="G7" s="32">
        <v>0.6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ht="15.75" customHeight="1">
      <c r="A8" s="21"/>
      <c r="B8" s="21"/>
      <c r="C8" s="30" t="s">
        <v>84</v>
      </c>
      <c r="D8" s="32">
        <v>0.0</v>
      </c>
      <c r="E8" s="32">
        <v>0.2</v>
      </c>
      <c r="F8" s="32">
        <v>0.35</v>
      </c>
      <c r="G8" s="32">
        <v>0.15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15.75" customHeight="1">
      <c r="A9" s="21"/>
      <c r="B9" s="21"/>
      <c r="C9" s="30" t="s">
        <v>85</v>
      </c>
      <c r="D9" s="32">
        <v>0.0</v>
      </c>
      <c r="E9" s="32">
        <v>0.15</v>
      </c>
      <c r="F9" s="32">
        <v>0.15</v>
      </c>
      <c r="G9" s="32">
        <v>0.05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ht="15.75" customHeight="1">
      <c r="A10" s="21"/>
      <c r="B10" s="21"/>
      <c r="C10" s="30" t="s">
        <v>86</v>
      </c>
      <c r="D10" s="32">
        <v>0.05</v>
      </c>
      <c r="E10" s="32">
        <v>0.2</v>
      </c>
      <c r="F10" s="32">
        <v>0.05</v>
      </c>
      <c r="G10" s="32">
        <v>0.1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15.75" customHeight="1">
      <c r="A11" s="21"/>
      <c r="B11" s="21"/>
      <c r="C11" s="30" t="s">
        <v>87</v>
      </c>
      <c r="D11" s="32">
        <v>0.65</v>
      </c>
      <c r="E11" s="32">
        <v>0.05</v>
      </c>
      <c r="F11" s="32">
        <v>0.0</v>
      </c>
      <c r="G11" s="32">
        <v>0.0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ht="15.75" customHeight="1">
      <c r="A12" s="21"/>
      <c r="B12" s="21"/>
      <c r="C12" s="30" t="s">
        <v>88</v>
      </c>
      <c r="D12" s="32">
        <v>0.1</v>
      </c>
      <c r="E12" s="32">
        <v>0.2</v>
      </c>
      <c r="F12" s="32">
        <v>0.15</v>
      </c>
      <c r="G12" s="32">
        <v>0.1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ht="15.75" customHeight="1">
      <c r="A13" s="21"/>
      <c r="B13" s="21"/>
      <c r="C13" s="30" t="s">
        <v>89</v>
      </c>
      <c r="D13" s="32">
        <v>0.0</v>
      </c>
      <c r="E13" s="32">
        <v>0.05</v>
      </c>
      <c r="F13" s="32">
        <v>0.15</v>
      </c>
      <c r="G13" s="32">
        <v>0.0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ht="15.75" customHeight="1">
      <c r="A14" s="21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ht="15.75" customHeight="1">
      <c r="A15" s="21"/>
      <c r="B15" s="21"/>
      <c r="C15" s="33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ht="15.75" customHeight="1">
      <c r="A16" s="34"/>
      <c r="B16" s="34"/>
      <c r="C16" s="33" t="s">
        <v>78</v>
      </c>
      <c r="D16" s="35" t="s">
        <v>90</v>
      </c>
      <c r="E16" s="35" t="s">
        <v>91</v>
      </c>
      <c r="F16" s="35" t="s">
        <v>92</v>
      </c>
      <c r="G16" s="35" t="s">
        <v>93</v>
      </c>
      <c r="H16" s="35" t="s">
        <v>94</v>
      </c>
      <c r="I16" s="35" t="s">
        <v>95</v>
      </c>
      <c r="J16" s="35" t="s">
        <v>96</v>
      </c>
      <c r="K16" s="35" t="s">
        <v>97</v>
      </c>
      <c r="L16" s="35" t="s">
        <v>98</v>
      </c>
      <c r="M16" s="35" t="s">
        <v>99</v>
      </c>
      <c r="N16" s="35" t="s">
        <v>100</v>
      </c>
      <c r="O16" s="35" t="s">
        <v>101</v>
      </c>
      <c r="P16" s="35" t="s">
        <v>102</v>
      </c>
      <c r="Q16" s="36"/>
      <c r="R16" s="37" t="s">
        <v>103</v>
      </c>
      <c r="S16" s="38">
        <f>SUM(P17:P23)</f>
        <v>80176.54761</v>
      </c>
      <c r="T16" s="36"/>
      <c r="U16" s="39"/>
      <c r="V16" s="36"/>
      <c r="W16" s="36"/>
      <c r="X16" s="36"/>
      <c r="Y16" s="36"/>
      <c r="Z16" s="36"/>
      <c r="AA16" s="36"/>
      <c r="AB16" s="36"/>
    </row>
    <row r="17" ht="15.75" customHeight="1">
      <c r="A17" s="21"/>
      <c r="B17" s="21"/>
      <c r="C17" s="30" t="s">
        <v>83</v>
      </c>
      <c r="D17" s="40">
        <v>20.0</v>
      </c>
      <c r="E17" s="41">
        <v>1.0</v>
      </c>
      <c r="F17" s="42">
        <f>100*((D5*D7)+(E5*E7)+(F5*F7)+(G5*G7))</f>
        <v>19.75</v>
      </c>
      <c r="G17" s="42">
        <f>(D25*(F17/100))</f>
        <v>614.86095</v>
      </c>
      <c r="H17" s="42">
        <f t="shared" ref="H17:H23" si="1">(G17/E17)</f>
        <v>614.86095</v>
      </c>
      <c r="I17" s="43">
        <f t="shared" ref="I17:I23" si="2">D17*G17</f>
        <v>12297.219</v>
      </c>
      <c r="J17" s="43">
        <f t="shared" ref="J17:J23" si="3">I17/E17</f>
        <v>12297.219</v>
      </c>
      <c r="K17" s="43">
        <f t="shared" ref="K17:K23" si="4">J17*0.4</f>
        <v>4918.8876</v>
      </c>
      <c r="L17" s="43">
        <v>200.0</v>
      </c>
      <c r="M17" s="43">
        <f t="shared" ref="M17:M23" si="5">J17+K17+L17</f>
        <v>17416.1066</v>
      </c>
      <c r="N17" s="43">
        <f t="shared" ref="N17:N23" si="6">M17*0.15</f>
        <v>2612.41599</v>
      </c>
      <c r="O17" s="43">
        <f t="shared" ref="O17:O23" si="7">M17+N17</f>
        <v>20028.52259</v>
      </c>
      <c r="P17" s="43">
        <f t="shared" ref="P17:P23" si="8">O17*E17</f>
        <v>20028.52259</v>
      </c>
      <c r="Q17" s="22"/>
      <c r="R17" s="44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ht="15.75" customHeight="1">
      <c r="A18" s="21"/>
      <c r="B18" s="21"/>
      <c r="C18" s="30" t="s">
        <v>84</v>
      </c>
      <c r="D18" s="40">
        <v>18.0</v>
      </c>
      <c r="E18" s="45">
        <v>2.0</v>
      </c>
      <c r="F18" s="42">
        <f>100*((D5*D8)+(E5*E8)+(F5*F8)+(G5*G8))</f>
        <v>28.25</v>
      </c>
      <c r="G18" s="42">
        <f>(D25*(F18/100))</f>
        <v>879.48465</v>
      </c>
      <c r="H18" s="42">
        <f t="shared" si="1"/>
        <v>439.742325</v>
      </c>
      <c r="I18" s="43">
        <f t="shared" si="2"/>
        <v>15830.7237</v>
      </c>
      <c r="J18" s="43">
        <f t="shared" si="3"/>
        <v>7915.36185</v>
      </c>
      <c r="K18" s="43">
        <f t="shared" si="4"/>
        <v>3166.14474</v>
      </c>
      <c r="L18" s="43">
        <v>200.0</v>
      </c>
      <c r="M18" s="43">
        <f t="shared" si="5"/>
        <v>11281.50659</v>
      </c>
      <c r="N18" s="43">
        <f t="shared" si="6"/>
        <v>1692.225989</v>
      </c>
      <c r="O18" s="43">
        <f t="shared" si="7"/>
        <v>12973.73258</v>
      </c>
      <c r="P18" s="43">
        <f t="shared" si="8"/>
        <v>25947.46516</v>
      </c>
      <c r="Q18" s="22"/>
      <c r="R18" s="37" t="s">
        <v>104</v>
      </c>
      <c r="S18" s="46">
        <f>(S16*0.5)</f>
        <v>40088.27381</v>
      </c>
      <c r="T18" s="22"/>
      <c r="U18" s="22"/>
      <c r="V18" s="22"/>
      <c r="W18" s="22"/>
      <c r="X18" s="22"/>
      <c r="Y18" s="22"/>
      <c r="Z18" s="22"/>
      <c r="AA18" s="22"/>
      <c r="AB18" s="22"/>
    </row>
    <row r="19" ht="15.75" customHeight="1">
      <c r="A19" s="21"/>
      <c r="B19" s="21"/>
      <c r="C19" s="30" t="s">
        <v>85</v>
      </c>
      <c r="D19" s="40">
        <v>8.5</v>
      </c>
      <c r="E19" s="47">
        <v>2.0</v>
      </c>
      <c r="F19" s="42">
        <f>100*((D5*D9)+(E5*E9)+(F5*F9)+(G5*G9))</f>
        <v>13.25</v>
      </c>
      <c r="G19" s="42">
        <f>(D25*(F19/100))</f>
        <v>412.50165</v>
      </c>
      <c r="H19" s="42">
        <f t="shared" si="1"/>
        <v>206.250825</v>
      </c>
      <c r="I19" s="43">
        <f t="shared" si="2"/>
        <v>3506.264025</v>
      </c>
      <c r="J19" s="43">
        <f t="shared" si="3"/>
        <v>1753.132013</v>
      </c>
      <c r="K19" s="43">
        <f t="shared" si="4"/>
        <v>701.252805</v>
      </c>
      <c r="L19" s="43">
        <v>200.0</v>
      </c>
      <c r="M19" s="43">
        <f t="shared" si="5"/>
        <v>2654.384818</v>
      </c>
      <c r="N19" s="43">
        <f t="shared" si="6"/>
        <v>398.1577226</v>
      </c>
      <c r="O19" s="43">
        <f t="shared" si="7"/>
        <v>3052.54254</v>
      </c>
      <c r="P19" s="43">
        <f t="shared" si="8"/>
        <v>6105.08508</v>
      </c>
      <c r="Q19" s="22"/>
      <c r="R19" s="37" t="s">
        <v>105</v>
      </c>
      <c r="S19" s="46">
        <f>S16*0.1</f>
        <v>8017.654761</v>
      </c>
      <c r="T19" s="22"/>
      <c r="U19" s="22"/>
      <c r="V19" s="22"/>
      <c r="W19" s="22"/>
      <c r="X19" s="22"/>
      <c r="Y19" s="22"/>
      <c r="Z19" s="22"/>
      <c r="AA19" s="22"/>
      <c r="AB19" s="22"/>
    </row>
    <row r="20" ht="15.75" customHeight="1">
      <c r="A20" s="21"/>
      <c r="B20" s="21"/>
      <c r="C20" s="30" t="s">
        <v>86</v>
      </c>
      <c r="D20" s="40">
        <v>9.0</v>
      </c>
      <c r="E20" s="48">
        <v>2.0</v>
      </c>
      <c r="F20" s="42">
        <f>100*((D5*D10)+(E5*E10)+(F5*F10)+(G5*G10))</f>
        <v>8.5</v>
      </c>
      <c r="G20" s="42">
        <f>(D25*(F20/100))</f>
        <v>264.6237</v>
      </c>
      <c r="H20" s="42">
        <f t="shared" si="1"/>
        <v>132.31185</v>
      </c>
      <c r="I20" s="43">
        <f t="shared" si="2"/>
        <v>2381.6133</v>
      </c>
      <c r="J20" s="43">
        <f t="shared" si="3"/>
        <v>1190.80665</v>
      </c>
      <c r="K20" s="43">
        <f t="shared" si="4"/>
        <v>476.32266</v>
      </c>
      <c r="L20" s="43">
        <v>200.0</v>
      </c>
      <c r="M20" s="43">
        <f t="shared" si="5"/>
        <v>1867.12931</v>
      </c>
      <c r="N20" s="43">
        <f t="shared" si="6"/>
        <v>280.0693965</v>
      </c>
      <c r="O20" s="43">
        <f t="shared" si="7"/>
        <v>2147.198707</v>
      </c>
      <c r="P20" s="43">
        <f t="shared" si="8"/>
        <v>4294.397413</v>
      </c>
      <c r="Q20" s="22"/>
      <c r="R20" s="44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ht="15.75" customHeight="1">
      <c r="A21" s="21"/>
      <c r="B21" s="21"/>
      <c r="C21" s="30" t="s">
        <v>87</v>
      </c>
      <c r="D21" s="40">
        <v>15.0</v>
      </c>
      <c r="E21" s="47">
        <v>2.0</v>
      </c>
      <c r="F21" s="42">
        <f>100*((D5*D11)+(E5*E11)+(F5*F11)+(G5*G11))</f>
        <v>4.25</v>
      </c>
      <c r="G21" s="42">
        <f>(D25*(F21/100))</f>
        <v>132.31185</v>
      </c>
      <c r="H21" s="42">
        <f t="shared" si="1"/>
        <v>66.155925</v>
      </c>
      <c r="I21" s="43">
        <f t="shared" si="2"/>
        <v>1984.67775</v>
      </c>
      <c r="J21" s="43">
        <f t="shared" si="3"/>
        <v>992.338875</v>
      </c>
      <c r="K21" s="43">
        <f t="shared" si="4"/>
        <v>396.93555</v>
      </c>
      <c r="L21" s="43">
        <v>200.0</v>
      </c>
      <c r="M21" s="43">
        <f t="shared" si="5"/>
        <v>1589.274425</v>
      </c>
      <c r="N21" s="43">
        <f t="shared" si="6"/>
        <v>238.3911638</v>
      </c>
      <c r="O21" s="43">
        <f t="shared" si="7"/>
        <v>1827.665589</v>
      </c>
      <c r="P21" s="43">
        <f t="shared" si="8"/>
        <v>3655.331178</v>
      </c>
      <c r="Q21" s="22"/>
      <c r="R21" s="37" t="s">
        <v>106</v>
      </c>
      <c r="S21" s="46">
        <f>S16+S18+S19</f>
        <v>128282.4762</v>
      </c>
      <c r="T21" s="22"/>
      <c r="U21" s="22"/>
      <c r="V21" s="22"/>
      <c r="W21" s="22"/>
      <c r="X21" s="22"/>
      <c r="Y21" s="22"/>
      <c r="Z21" s="22"/>
      <c r="AA21" s="22"/>
      <c r="AB21" s="22"/>
    </row>
    <row r="22" ht="15.75" customHeight="1">
      <c r="A22" s="21"/>
      <c r="B22" s="21"/>
      <c r="C22" s="30" t="s">
        <v>88</v>
      </c>
      <c r="D22" s="40">
        <v>18.0</v>
      </c>
      <c r="E22" s="47">
        <v>1.0</v>
      </c>
      <c r="F22" s="42">
        <f>100*((D5*D12)+(E5*E12)+(F5*F12)+(G5*G12))</f>
        <v>15.25</v>
      </c>
      <c r="G22" s="42">
        <f>(D25*(F22/100))</f>
        <v>474.76605</v>
      </c>
      <c r="H22" s="42">
        <f t="shared" si="1"/>
        <v>474.76605</v>
      </c>
      <c r="I22" s="43">
        <f t="shared" si="2"/>
        <v>8545.7889</v>
      </c>
      <c r="J22" s="43">
        <f t="shared" si="3"/>
        <v>8545.7889</v>
      </c>
      <c r="K22" s="43">
        <f t="shared" si="4"/>
        <v>3418.31556</v>
      </c>
      <c r="L22" s="43">
        <v>200.0</v>
      </c>
      <c r="M22" s="43">
        <f t="shared" si="5"/>
        <v>12164.10446</v>
      </c>
      <c r="N22" s="43">
        <f t="shared" si="6"/>
        <v>1824.615669</v>
      </c>
      <c r="O22" s="43">
        <f t="shared" si="7"/>
        <v>13988.72013</v>
      </c>
      <c r="P22" s="43">
        <f t="shared" si="8"/>
        <v>13988.72013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ht="15.75" customHeight="1">
      <c r="A23" s="21"/>
      <c r="B23" s="21"/>
      <c r="C23" s="30" t="s">
        <v>89</v>
      </c>
      <c r="D23" s="40">
        <v>11.0</v>
      </c>
      <c r="E23" s="47">
        <v>1.0</v>
      </c>
      <c r="F23" s="42">
        <f>100*((D5*D13)+(E5*E13)+(F5*F13)+(G5*G13))</f>
        <v>10.75</v>
      </c>
      <c r="G23" s="42">
        <f>(D25*(F23/100))</f>
        <v>334.67115</v>
      </c>
      <c r="H23" s="42">
        <f t="shared" si="1"/>
        <v>334.67115</v>
      </c>
      <c r="I23" s="43">
        <f t="shared" si="2"/>
        <v>3681.38265</v>
      </c>
      <c r="J23" s="43">
        <f t="shared" si="3"/>
        <v>3681.38265</v>
      </c>
      <c r="K23" s="43">
        <f t="shared" si="4"/>
        <v>1472.55306</v>
      </c>
      <c r="L23" s="43">
        <v>200.0</v>
      </c>
      <c r="M23" s="43">
        <f t="shared" si="5"/>
        <v>5353.93571</v>
      </c>
      <c r="N23" s="43">
        <f t="shared" si="6"/>
        <v>803.0903565</v>
      </c>
      <c r="O23" s="43">
        <f t="shared" si="7"/>
        <v>6157.026067</v>
      </c>
      <c r="P23" s="43">
        <f t="shared" si="8"/>
        <v>6157.026067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ht="15.75" customHeight="1">
      <c r="A24" s="21"/>
      <c r="B24" s="21"/>
      <c r="C24" s="22"/>
      <c r="D24" s="22"/>
      <c r="E24" s="22"/>
      <c r="F24" s="36"/>
      <c r="G24" s="36"/>
      <c r="H24" s="22"/>
      <c r="I24" s="22"/>
      <c r="J24" s="22"/>
      <c r="K24" s="22"/>
      <c r="L24" s="22"/>
      <c r="M24" s="33"/>
      <c r="N24" s="33"/>
      <c r="O24" s="33"/>
      <c r="P24" s="33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ht="15.75" customHeight="1">
      <c r="A25" s="21"/>
      <c r="B25" s="21"/>
      <c r="C25" s="49" t="s">
        <v>107</v>
      </c>
      <c r="D25" s="50">
        <f>ProjTemps!E90</f>
        <v>3113.22</v>
      </c>
      <c r="E25" s="22"/>
      <c r="F25" s="22"/>
      <c r="G25" s="22"/>
      <c r="H25" s="22"/>
      <c r="I25" s="22"/>
      <c r="J25" s="22"/>
      <c r="K25" s="22"/>
      <c r="L25" s="22"/>
      <c r="M25" s="33"/>
      <c r="N25" s="33"/>
      <c r="O25" s="33"/>
      <c r="P25" s="5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ht="15.75" customHeight="1">
      <c r="A26" s="21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33"/>
      <c r="N26" s="33"/>
      <c r="O26" s="33"/>
      <c r="P26" s="33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ht="15.75" customHeight="1">
      <c r="A27" s="21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33"/>
      <c r="N27" s="33"/>
      <c r="O27" s="33"/>
      <c r="P27" s="51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ht="15.75" customHeight="1">
      <c r="A28" s="21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33"/>
      <c r="N28" s="33"/>
      <c r="O28" s="33"/>
      <c r="P28" s="5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ht="15.75" customHeight="1">
      <c r="A29" s="21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33"/>
      <c r="N29" s="33"/>
      <c r="O29" s="33"/>
      <c r="P29" s="33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ht="15.75" customHeight="1">
      <c r="A30" s="21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33"/>
      <c r="N30" s="33"/>
      <c r="O30" s="33"/>
      <c r="P30" s="51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ht="15.75" customHeight="1">
      <c r="A31" s="21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ht="15.75" customHeight="1">
      <c r="A32" s="21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ht="15.75" customHeight="1">
      <c r="A33" s="21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ht="15.75" customHeight="1">
      <c r="A34" s="21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ht="15.75" customHeight="1">
      <c r="A35" s="21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ht="15.75" customHeight="1">
      <c r="A36" s="21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ht="15.75" customHeight="1">
      <c r="A37" s="21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ht="15.75" customHeight="1">
      <c r="A38" s="21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ht="15.75" customHeight="1">
      <c r="A39" s="21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ht="15.75" customHeight="1">
      <c r="A40" s="21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ht="15.75" customHeight="1">
      <c r="A41" s="21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ht="15.75" customHeight="1">
      <c r="A42" s="21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ht="15.75" customHeight="1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ht="15.75" customHeight="1">
      <c r="A44" s="21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ht="15.75" customHeight="1">
      <c r="A45" s="21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ht="15.75" customHeight="1">
      <c r="A46" s="21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ht="15.75" customHeight="1">
      <c r="A47" s="21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ht="15.75" customHeight="1">
      <c r="A48" s="21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ht="15.75" customHeight="1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ht="15.75" customHeight="1">
      <c r="A50" s="21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ht="15.75" customHeight="1">
      <c r="A51" s="21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ht="15.75" customHeight="1">
      <c r="A52" s="21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ht="15.75" customHeight="1">
      <c r="A53" s="21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ht="15.75" customHeight="1">
      <c r="A54" s="21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ht="15.75" customHeight="1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ht="15.75" customHeight="1">
      <c r="A56" s="21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ht="15.75" customHeight="1">
      <c r="A57" s="21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ht="15.75" customHeight="1">
      <c r="A58" s="21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ht="15.75" customHeight="1">
      <c r="A59" s="21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ht="15.75" customHeight="1">
      <c r="A60" s="21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ht="15.75" customHeight="1">
      <c r="A61" s="21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ht="15.75" customHeight="1">
      <c r="A62" s="21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ht="15.75" customHeight="1">
      <c r="A63" s="21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ht="15.75" customHeight="1">
      <c r="A64" s="21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ht="15.75" customHeight="1">
      <c r="A65" s="21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ht="15.75" customHeight="1">
      <c r="A66" s="21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ht="15.75" customHeight="1">
      <c r="A67" s="21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ht="15.75" customHeight="1">
      <c r="A68" s="21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ht="15.75" customHeight="1">
      <c r="A69" s="21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ht="15.75" customHeight="1">
      <c r="A70" s="21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ht="15.75" customHeight="1">
      <c r="A71" s="21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ht="15.75" customHeight="1">
      <c r="A72" s="21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ht="15.75" customHeight="1">
      <c r="A73" s="21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ht="15.75" customHeight="1">
      <c r="A74" s="21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ht="15.75" customHeight="1">
      <c r="A75" s="21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ht="15.75" customHeight="1">
      <c r="A76" s="21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ht="15.75" customHeight="1">
      <c r="A77" s="21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ht="15.75" customHeight="1">
      <c r="A78" s="21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ht="15.75" customHeight="1">
      <c r="A79" s="21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ht="15.75" customHeight="1">
      <c r="A80" s="21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ht="15.75" customHeight="1">
      <c r="A81" s="21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ht="15.75" customHeight="1">
      <c r="A82" s="21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ht="15.75" customHeight="1">
      <c r="A83" s="21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ht="15.75" customHeight="1">
      <c r="A84" s="21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ht="15.75" customHeight="1">
      <c r="A85" s="21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ht="15.75" customHeight="1">
      <c r="A86" s="21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ht="15.75" customHeight="1">
      <c r="A87" s="21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ht="15.75" customHeight="1">
      <c r="A88" s="21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ht="15.75" customHeight="1">
      <c r="A89" s="21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ht="15.75" customHeight="1">
      <c r="A90" s="21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ht="15.75" customHeight="1">
      <c r="A91" s="21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ht="15.75" customHeight="1">
      <c r="A92" s="21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ht="15.75" customHeight="1">
      <c r="A93" s="21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ht="15.75" customHeight="1">
      <c r="A94" s="21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ht="15.75" customHeight="1">
      <c r="A95" s="21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ht="15.75" customHeight="1">
      <c r="A96" s="21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ht="15.75" customHeight="1">
      <c r="A97" s="21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ht="15.75" customHeight="1">
      <c r="A98" s="21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ht="15.75" customHeight="1">
      <c r="A99" s="21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ht="15.75" customHeight="1">
      <c r="A100" s="21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ht="15.75" customHeight="1">
      <c r="A101" s="21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ht="15.75" customHeight="1">
      <c r="A102" s="21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ht="15.75" customHeight="1">
      <c r="A103" s="21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ht="15.75" customHeight="1">
      <c r="A104" s="21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ht="15.75" customHeight="1">
      <c r="A105" s="21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ht="15.75" customHeight="1">
      <c r="A106" s="21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ht="15.75" customHeight="1">
      <c r="A107" s="21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ht="15.75" customHeight="1">
      <c r="A108" s="21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ht="15.75" customHeight="1">
      <c r="A109" s="21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ht="15.75" customHeight="1">
      <c r="A110" s="21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ht="15.75" customHeight="1">
      <c r="A111" s="21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ht="15.75" customHeight="1">
      <c r="A112" s="21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ht="15.75" customHeight="1">
      <c r="A113" s="21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ht="15.75" customHeight="1">
      <c r="A114" s="21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ht="15.75" customHeight="1">
      <c r="A115" s="21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ht="15.75" customHeight="1">
      <c r="A116" s="21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ht="15.75" customHeight="1">
      <c r="A117" s="21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ht="15.75" customHeight="1">
      <c r="A118" s="21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ht="15.75" customHeight="1">
      <c r="A119" s="21"/>
      <c r="B119" s="21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ht="15.75" customHeight="1">
      <c r="A120" s="21"/>
      <c r="B120" s="21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ht="15.75" customHeight="1">
      <c r="A121" s="21"/>
      <c r="B121" s="2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ht="15.75" customHeight="1">
      <c r="A122" s="21"/>
      <c r="B122" s="21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ht="15.75" customHeight="1">
      <c r="A123" s="21"/>
      <c r="B123" s="2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ht="15.75" customHeight="1">
      <c r="A124" s="21"/>
      <c r="B124" s="21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ht="15.75" customHeight="1">
      <c r="A125" s="21"/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ht="15.75" customHeight="1">
      <c r="A126" s="21"/>
      <c r="B126" s="21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ht="15.75" customHeight="1">
      <c r="A127" s="21"/>
      <c r="B127" s="21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ht="15.75" customHeight="1">
      <c r="A128" s="21"/>
      <c r="B128" s="21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ht="15.75" customHeight="1">
      <c r="A129" s="21"/>
      <c r="B129" s="2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ht="15.75" customHeight="1">
      <c r="A130" s="21"/>
      <c r="B130" s="21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ht="15.75" customHeight="1">
      <c r="A131" s="21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ht="15.75" customHeight="1">
      <c r="A132" s="21"/>
      <c r="B132" s="21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ht="15.75" customHeight="1">
      <c r="A133" s="21"/>
      <c r="B133" s="2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ht="15.75" customHeight="1">
      <c r="A134" s="21"/>
      <c r="B134" s="2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ht="15.75" customHeight="1">
      <c r="A135" s="21"/>
      <c r="B135" s="2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ht="15.75" customHeight="1">
      <c r="A136" s="21"/>
      <c r="B136" s="21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ht="15.75" customHeight="1">
      <c r="A137" s="21"/>
      <c r="B137" s="21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ht="15.75" customHeight="1">
      <c r="A138" s="21"/>
      <c r="B138" s="21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ht="15.75" customHeight="1">
      <c r="A139" s="21"/>
      <c r="B139" s="21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ht="15.75" customHeight="1">
      <c r="A140" s="21"/>
      <c r="B140" s="21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ht="15.75" customHeight="1">
      <c r="A141" s="21"/>
      <c r="B141" s="2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ht="15.75" customHeight="1">
      <c r="A142" s="21"/>
      <c r="B142" s="21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ht="15.75" customHeight="1">
      <c r="A143" s="21"/>
      <c r="B143" s="21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ht="15.75" customHeight="1">
      <c r="A144" s="21"/>
      <c r="B144" s="21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ht="15.75" customHeight="1">
      <c r="A145" s="21"/>
      <c r="B145" s="21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ht="15.75" customHeight="1">
      <c r="A146" s="21"/>
      <c r="B146" s="21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ht="15.75" customHeight="1">
      <c r="A147" s="21"/>
      <c r="B147" s="21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ht="15.75" customHeight="1">
      <c r="A148" s="21"/>
      <c r="B148" s="21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ht="15.75" customHeight="1">
      <c r="A149" s="21"/>
      <c r="B149" s="21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ht="15.75" customHeight="1">
      <c r="A150" s="21"/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ht="15.75" customHeight="1">
      <c r="A151" s="21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ht="15.75" customHeight="1">
      <c r="A152" s="21"/>
      <c r="B152" s="21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ht="15.75" customHeight="1">
      <c r="A153" s="21"/>
      <c r="B153" s="21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ht="15.75" customHeight="1">
      <c r="A154" s="21"/>
      <c r="B154" s="21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ht="15.75" customHeight="1">
      <c r="A155" s="21"/>
      <c r="B155" s="21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ht="15.75" customHeight="1">
      <c r="A156" s="21"/>
      <c r="B156" s="21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ht="15.75" customHeight="1">
      <c r="A157" s="21"/>
      <c r="B157" s="21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ht="15.75" customHeight="1">
      <c r="A158" s="21"/>
      <c r="B158" s="21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ht="15.75" customHeight="1">
      <c r="A159" s="21"/>
      <c r="B159" s="2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ht="15.75" customHeight="1">
      <c r="A160" s="21"/>
      <c r="B160" s="21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ht="15.75" customHeight="1">
      <c r="A161" s="21"/>
      <c r="B161" s="2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ht="15.75" customHeight="1">
      <c r="A162" s="21"/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ht="15.75" customHeight="1">
      <c r="A163" s="21"/>
      <c r="B163" s="21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ht="15.75" customHeight="1">
      <c r="A164" s="21"/>
      <c r="B164" s="21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ht="15.75" customHeight="1">
      <c r="A165" s="21"/>
      <c r="B165" s="21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ht="15.75" customHeight="1">
      <c r="A166" s="21"/>
      <c r="B166" s="21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ht="15.75" customHeight="1">
      <c r="A167" s="21"/>
      <c r="B167" s="21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ht="15.75" customHeight="1">
      <c r="A168" s="21"/>
      <c r="B168" s="21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ht="15.75" customHeight="1">
      <c r="A169" s="21"/>
      <c r="B169" s="21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ht="15.75" customHeight="1">
      <c r="A170" s="21"/>
      <c r="B170" s="21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ht="15.75" customHeight="1">
      <c r="A171" s="21"/>
      <c r="B171" s="21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ht="15.75" customHeight="1">
      <c r="A172" s="21"/>
      <c r="B172" s="21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ht="15.75" customHeight="1">
      <c r="A173" s="21"/>
      <c r="B173" s="21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ht="15.75" customHeight="1">
      <c r="A174" s="21"/>
      <c r="B174" s="21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ht="15.75" customHeight="1">
      <c r="A175" s="21"/>
      <c r="B175" s="21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ht="15.75" customHeight="1">
      <c r="A176" s="21"/>
      <c r="B176" s="21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ht="15.75" customHeight="1">
      <c r="A177" s="21"/>
      <c r="B177" s="21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ht="15.75" customHeight="1">
      <c r="A178" s="21"/>
      <c r="B178" s="21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ht="15.75" customHeight="1">
      <c r="A179" s="21"/>
      <c r="B179" s="21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ht="15.75" customHeight="1">
      <c r="A180" s="21"/>
      <c r="B180" s="21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ht="15.75" customHeight="1">
      <c r="A181" s="21"/>
      <c r="B181" s="21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ht="15.75" customHeight="1">
      <c r="A182" s="21"/>
      <c r="B182" s="21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ht="15.75" customHeight="1">
      <c r="A183" s="21"/>
      <c r="B183" s="21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ht="15.75" customHeight="1">
      <c r="A184" s="21"/>
      <c r="B184" s="2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ht="15.75" customHeight="1">
      <c r="A185" s="21"/>
      <c r="B185" s="21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ht="15.75" customHeight="1">
      <c r="A186" s="21"/>
      <c r="B186" s="21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ht="15.75" customHeight="1">
      <c r="A187" s="21"/>
      <c r="B187" s="21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ht="15.75" customHeight="1">
      <c r="A188" s="21"/>
      <c r="B188" s="21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ht="15.75" customHeight="1">
      <c r="A189" s="21"/>
      <c r="B189" s="21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ht="15.75" customHeight="1">
      <c r="A190" s="21"/>
      <c r="B190" s="21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ht="15.75" customHeight="1">
      <c r="A191" s="21"/>
      <c r="B191" s="21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ht="15.75" customHeight="1">
      <c r="A192" s="21"/>
      <c r="B192" s="21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ht="15.75" customHeight="1">
      <c r="A193" s="21"/>
      <c r="B193" s="21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ht="15.75" customHeight="1">
      <c r="A194" s="21"/>
      <c r="B194" s="21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ht="15.75" customHeight="1">
      <c r="A195" s="21"/>
      <c r="B195" s="21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ht="15.75" customHeight="1">
      <c r="A196" s="21"/>
      <c r="B196" s="21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ht="15.75" customHeight="1">
      <c r="A197" s="21"/>
      <c r="B197" s="21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ht="15.75" customHeight="1">
      <c r="A198" s="21"/>
      <c r="B198" s="21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ht="15.75" customHeight="1">
      <c r="A199" s="21"/>
      <c r="B199" s="21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ht="15.75" customHeight="1">
      <c r="A200" s="21"/>
      <c r="B200" s="21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ht="15.75" customHeight="1">
      <c r="A201" s="21"/>
      <c r="B201" s="21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ht="15.75" customHeight="1">
      <c r="A202" s="21"/>
      <c r="B202" s="21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ht="15.75" customHeight="1">
      <c r="A203" s="21"/>
      <c r="B203" s="21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ht="15.75" customHeight="1">
      <c r="A204" s="21"/>
      <c r="B204" s="21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ht="15.75" customHeight="1">
      <c r="A205" s="21"/>
      <c r="B205" s="21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ht="15.75" customHeight="1">
      <c r="A206" s="21"/>
      <c r="B206" s="21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ht="15.75" customHeight="1">
      <c r="A207" s="21"/>
      <c r="B207" s="21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ht="15.75" customHeight="1">
      <c r="A208" s="21"/>
      <c r="B208" s="21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ht="15.75" customHeight="1">
      <c r="A209" s="21"/>
      <c r="B209" s="21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ht="15.75" customHeight="1">
      <c r="A210" s="21"/>
      <c r="B210" s="21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ht="15.75" customHeight="1">
      <c r="A211" s="21"/>
      <c r="B211" s="21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ht="15.75" customHeight="1">
      <c r="A212" s="21"/>
      <c r="B212" s="21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ht="15.75" customHeight="1">
      <c r="A213" s="21"/>
      <c r="B213" s="21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ht="15.75" customHeight="1">
      <c r="A214" s="21"/>
      <c r="B214" s="21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ht="15.75" customHeight="1">
      <c r="A215" s="21"/>
      <c r="B215" s="21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ht="15.75" customHeight="1">
      <c r="A216" s="21"/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ht="15.75" customHeight="1">
      <c r="A217" s="21"/>
      <c r="B217" s="21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ht="15.75" customHeight="1">
      <c r="A218" s="21"/>
      <c r="B218" s="21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ht="15.75" customHeight="1">
      <c r="A219" s="21"/>
      <c r="B219" s="21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ht="15.75" customHeight="1">
      <c r="A220" s="21"/>
      <c r="B220" s="21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ht="15.75" customHeight="1">
      <c r="A221" s="21"/>
      <c r="B221" s="21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ht="15.75" customHeight="1">
      <c r="A222" s="21"/>
      <c r="B222" s="21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ht="15.75" customHeight="1">
      <c r="A223" s="21"/>
      <c r="B223" s="21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ht="15.75" customHeight="1">
      <c r="A224" s="21"/>
      <c r="B224" s="21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ht="15.75" customHeight="1">
      <c r="A225" s="21"/>
      <c r="B225" s="21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7:G13">
    <cfRule type="colorScale" priority="1">
      <colorScale>
        <cfvo type="percent" val="0"/>
        <cfvo type="percent" val="50"/>
        <cfvo type="percent" val="100"/>
        <color rgb="FFFFFFFF"/>
        <color rgb="FFCCCCCC"/>
        <color rgb="FF999999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41.88"/>
    <col customWidth="1" min="3" max="7" width="14.38"/>
    <col customWidth="1" min="8" max="8" width="19.13"/>
    <col customWidth="1" min="9" max="26" width="14.38"/>
  </cols>
  <sheetData>
    <row r="1" ht="15.75" customHeight="1">
      <c r="A1" s="19" t="s">
        <v>108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21"/>
      <c r="B2" s="21"/>
      <c r="C2" s="21"/>
      <c r="D2" s="21"/>
      <c r="E2" s="21"/>
      <c r="F2" s="21"/>
      <c r="G2" s="21"/>
      <c r="H2" s="33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21"/>
      <c r="B3" s="52" t="s">
        <v>17</v>
      </c>
      <c r="C3" s="53" t="s">
        <v>109</v>
      </c>
      <c r="D3" s="54" t="s">
        <v>110</v>
      </c>
      <c r="E3" s="55" t="s">
        <v>111</v>
      </c>
      <c r="F3" s="56" t="s">
        <v>112</v>
      </c>
      <c r="G3" s="21"/>
      <c r="H3" s="33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57" t="s">
        <v>20</v>
      </c>
      <c r="C4" s="21" t="s">
        <v>113</v>
      </c>
      <c r="D4" s="21" t="s">
        <v>114</v>
      </c>
      <c r="E4" s="21" t="s">
        <v>115</v>
      </c>
      <c r="F4" s="21" t="s">
        <v>115</v>
      </c>
      <c r="G4" s="58"/>
      <c r="H4" s="33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21"/>
      <c r="B5" s="57" t="s">
        <v>22</v>
      </c>
      <c r="C5" s="21" t="s">
        <v>113</v>
      </c>
      <c r="D5" s="21" t="s">
        <v>114</v>
      </c>
      <c r="E5" s="21" t="s">
        <v>115</v>
      </c>
      <c r="F5" s="21" t="s">
        <v>115</v>
      </c>
      <c r="G5" s="21"/>
      <c r="H5" s="33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21"/>
      <c r="B6" s="57" t="s">
        <v>23</v>
      </c>
      <c r="C6" s="21" t="s">
        <v>113</v>
      </c>
      <c r="D6" s="21" t="s">
        <v>116</v>
      </c>
      <c r="E6" s="21" t="s">
        <v>115</v>
      </c>
      <c r="F6" s="21" t="s">
        <v>115</v>
      </c>
      <c r="G6" s="58"/>
      <c r="H6" s="33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21"/>
      <c r="B7" s="57" t="s">
        <v>24</v>
      </c>
      <c r="C7" s="21" t="s">
        <v>113</v>
      </c>
      <c r="D7" s="21" t="s">
        <v>116</v>
      </c>
      <c r="E7" s="21" t="s">
        <v>115</v>
      </c>
      <c r="F7" s="21" t="s">
        <v>115</v>
      </c>
      <c r="G7" s="58"/>
      <c r="H7" s="33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21"/>
      <c r="B8" s="57" t="s">
        <v>25</v>
      </c>
      <c r="C8" s="21" t="s">
        <v>113</v>
      </c>
      <c r="D8" s="21" t="s">
        <v>116</v>
      </c>
      <c r="E8" s="21" t="s">
        <v>114</v>
      </c>
      <c r="F8" s="21" t="s">
        <v>115</v>
      </c>
      <c r="G8" s="58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57" t="s">
        <v>27</v>
      </c>
      <c r="C9" s="21" t="s">
        <v>113</v>
      </c>
      <c r="D9" s="21" t="s">
        <v>116</v>
      </c>
      <c r="E9" s="21" t="s">
        <v>115</v>
      </c>
      <c r="F9" s="21" t="s">
        <v>115</v>
      </c>
      <c r="G9" s="58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21"/>
      <c r="B10" s="57" t="s">
        <v>28</v>
      </c>
      <c r="C10" s="21" t="s">
        <v>113</v>
      </c>
      <c r="D10" s="21" t="s">
        <v>116</v>
      </c>
      <c r="E10" s="21" t="s">
        <v>114</v>
      </c>
      <c r="F10" s="21" t="s">
        <v>115</v>
      </c>
      <c r="G10" s="58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21"/>
      <c r="B11" s="57" t="s">
        <v>29</v>
      </c>
      <c r="C11" s="21" t="s">
        <v>113</v>
      </c>
      <c r="D11" s="21" t="s">
        <v>116</v>
      </c>
      <c r="E11" s="21" t="s">
        <v>115</v>
      </c>
      <c r="F11" s="21" t="s">
        <v>115</v>
      </c>
      <c r="G11" s="58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75" customHeight="1">
      <c r="A12" s="21"/>
      <c r="B12" s="57" t="s">
        <v>30</v>
      </c>
      <c r="C12" s="21" t="s">
        <v>113</v>
      </c>
      <c r="D12" s="21" t="s">
        <v>116</v>
      </c>
      <c r="E12" s="21" t="s">
        <v>115</v>
      </c>
      <c r="F12" s="21" t="s">
        <v>115</v>
      </c>
      <c r="G12" s="58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.75" customHeight="1">
      <c r="A13" s="21"/>
      <c r="B13" s="57" t="s">
        <v>31</v>
      </c>
      <c r="C13" s="21" t="s">
        <v>113</v>
      </c>
      <c r="D13" s="21" t="s">
        <v>116</v>
      </c>
      <c r="E13" s="21" t="s">
        <v>114</v>
      </c>
      <c r="F13" s="21" t="s">
        <v>115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75" customHeight="1">
      <c r="A14" s="21"/>
      <c r="B14" s="57" t="s">
        <v>32</v>
      </c>
      <c r="C14" s="21" t="s">
        <v>113</v>
      </c>
      <c r="D14" s="21" t="s">
        <v>114</v>
      </c>
      <c r="E14" s="21" t="s">
        <v>115</v>
      </c>
      <c r="F14" s="21" t="s">
        <v>115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75" customHeight="1">
      <c r="A15" s="21"/>
      <c r="B15" s="57" t="s">
        <v>33</v>
      </c>
      <c r="C15" s="21" t="s">
        <v>113</v>
      </c>
      <c r="D15" s="21" t="s">
        <v>117</v>
      </c>
      <c r="E15" s="21" t="s">
        <v>115</v>
      </c>
      <c r="F15" s="21" t="s">
        <v>115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.75" customHeight="1">
      <c r="A16" s="21"/>
      <c r="B16" s="57" t="s">
        <v>34</v>
      </c>
      <c r="C16" s="21" t="s">
        <v>113</v>
      </c>
      <c r="D16" s="21" t="s">
        <v>117</v>
      </c>
      <c r="E16" s="21" t="s">
        <v>115</v>
      </c>
      <c r="F16" s="21" t="s">
        <v>115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.75" customHeight="1">
      <c r="A17" s="21"/>
      <c r="B17" s="57" t="s">
        <v>36</v>
      </c>
      <c r="C17" s="21" t="s">
        <v>113</v>
      </c>
      <c r="D17" s="21" t="s">
        <v>117</v>
      </c>
      <c r="E17" s="21" t="s">
        <v>115</v>
      </c>
      <c r="F17" s="21" t="s">
        <v>115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.75" customHeight="1">
      <c r="A18" s="21"/>
      <c r="B18" s="57" t="s">
        <v>37</v>
      </c>
      <c r="C18" s="21" t="s">
        <v>113</v>
      </c>
      <c r="D18" s="21" t="s">
        <v>117</v>
      </c>
      <c r="E18" s="21" t="s">
        <v>115</v>
      </c>
      <c r="F18" s="21" t="s">
        <v>115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.75" customHeight="1">
      <c r="A19" s="21"/>
      <c r="B19" s="57" t="s">
        <v>38</v>
      </c>
      <c r="C19" s="59" t="s">
        <v>116</v>
      </c>
      <c r="D19" s="21" t="s">
        <v>114</v>
      </c>
      <c r="E19" s="21" t="s">
        <v>115</v>
      </c>
      <c r="F19" s="21" t="s">
        <v>115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1"/>
      <c r="B22" s="33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1"/>
      <c r="B23" s="60" t="s">
        <v>118</v>
      </c>
      <c r="C23" s="53" t="s">
        <v>109</v>
      </c>
      <c r="D23" s="54" t="s">
        <v>110</v>
      </c>
      <c r="E23" s="55" t="s">
        <v>111</v>
      </c>
      <c r="F23" s="56" t="s">
        <v>112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1"/>
      <c r="B24" s="61" t="s">
        <v>119</v>
      </c>
      <c r="C24" s="62">
        <f t="shared" ref="C24:F24" si="1">COUNTIF(C4:C19,"Identificat")/COUNTA(C4:C19)</f>
        <v>0.9375</v>
      </c>
      <c r="D24" s="62">
        <f t="shared" si="1"/>
        <v>0</v>
      </c>
      <c r="E24" s="62">
        <f t="shared" si="1"/>
        <v>0</v>
      </c>
      <c r="F24" s="62">
        <f t="shared" si="1"/>
        <v>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1"/>
      <c r="B25" s="61" t="s">
        <v>116</v>
      </c>
      <c r="C25" s="62">
        <f t="shared" ref="C25:F25" si="2">COUNTIF(C4:C19,"Esbossat")/COUNTA(C4:C19)</f>
        <v>0.0625</v>
      </c>
      <c r="D25" s="62">
        <f t="shared" si="2"/>
        <v>0.5</v>
      </c>
      <c r="E25" s="62">
        <f t="shared" si="2"/>
        <v>0</v>
      </c>
      <c r="F25" s="62">
        <f t="shared" si="2"/>
        <v>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1"/>
      <c r="B26" s="61" t="s">
        <v>117</v>
      </c>
      <c r="C26" s="62">
        <f t="shared" ref="C26:F26" si="3">COUNTIF(C4:C19,"Refinat")/COUNTA(C4:C19)</f>
        <v>0</v>
      </c>
      <c r="D26" s="62">
        <f t="shared" si="3"/>
        <v>0.25</v>
      </c>
      <c r="E26" s="62">
        <f t="shared" si="3"/>
        <v>0</v>
      </c>
      <c r="F26" s="62">
        <f t="shared" si="3"/>
        <v>0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1"/>
      <c r="B27" s="61" t="s">
        <v>114</v>
      </c>
      <c r="C27" s="62">
        <f t="shared" ref="C27:F27" si="4">COUNTIF(C4:C19,"Analitzat")/COUNTA(C4:C19)</f>
        <v>0</v>
      </c>
      <c r="D27" s="62">
        <f t="shared" si="4"/>
        <v>0.25</v>
      </c>
      <c r="E27" s="62">
        <f t="shared" si="4"/>
        <v>0.1875</v>
      </c>
      <c r="F27" s="62">
        <f t="shared" si="4"/>
        <v>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1"/>
      <c r="B28" s="61" t="s">
        <v>115</v>
      </c>
      <c r="C28" s="62">
        <f t="shared" ref="C28:F28" si="5">COUNTIF(C4:C19,"Complet")/COUNTA(C4:C19)</f>
        <v>0</v>
      </c>
      <c r="D28" s="62">
        <f t="shared" si="5"/>
        <v>0</v>
      </c>
      <c r="E28" s="62">
        <f t="shared" si="5"/>
        <v>0.8125</v>
      </c>
      <c r="F28" s="62">
        <f t="shared" si="5"/>
        <v>1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1"/>
      <c r="B29" s="3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63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58"/>
      <c r="E40" s="58"/>
      <c r="F40" s="58"/>
      <c r="G40" s="58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58"/>
      <c r="E42" s="58"/>
      <c r="F42" s="58"/>
      <c r="G42" s="58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:C28">
    <cfRule type="colorScale" priority="1">
      <colorScale>
        <cfvo type="min"/>
        <cfvo type="max"/>
        <color rgb="FFFFF2CC"/>
        <color rgb="FFF1C232"/>
      </colorScale>
    </cfRule>
  </conditionalFormatting>
  <conditionalFormatting sqref="D24:D28">
    <cfRule type="colorScale" priority="2">
      <colorScale>
        <cfvo type="min"/>
        <cfvo type="max"/>
        <color rgb="FFD9EAD3"/>
        <color rgb="FF6AA84F"/>
      </colorScale>
    </cfRule>
  </conditionalFormatting>
  <conditionalFormatting sqref="E24:E28">
    <cfRule type="colorScale" priority="3">
      <colorScale>
        <cfvo type="percent" val="0"/>
        <cfvo type="percent" val="100"/>
        <color rgb="FFCFE2F3"/>
        <color rgb="FF3C78D8"/>
      </colorScale>
    </cfRule>
  </conditionalFormatting>
  <conditionalFormatting sqref="F24:F28">
    <cfRule type="colorScale" priority="4">
      <colorScale>
        <cfvo type="min"/>
        <cfvo type="max"/>
        <color rgb="FFEAD1DC"/>
        <color rgb="FFA64D79"/>
      </colorScale>
    </cfRule>
  </conditionalFormatting>
  <dataValidations>
    <dataValidation type="list" allowBlank="1" showInputMessage="1" showErrorMessage="1" prompt="Click and enter a value from the list of items" sqref="C4:F19">
      <formula1>"Identificat,Esbossat,Refinat,Analitzat,Complet"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24.25"/>
    <col customWidth="1" min="4" max="8" width="19.75"/>
    <col customWidth="1" min="9" max="28" width="14.38"/>
  </cols>
  <sheetData>
    <row r="1" ht="15.75" customHeight="1">
      <c r="A1" s="19" t="s">
        <v>108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ht="1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ht="15.75" customHeight="1">
      <c r="A3" s="22"/>
      <c r="B3" s="23" t="s">
        <v>120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ht="15.75" customHeight="1">
      <c r="A4" s="33"/>
      <c r="B4" s="33"/>
      <c r="C4" s="64"/>
      <c r="D4" s="65">
        <v>0.05</v>
      </c>
      <c r="E4" s="65">
        <v>0.2</v>
      </c>
      <c r="F4" s="65">
        <v>0.65</v>
      </c>
      <c r="G4" s="65">
        <v>0.1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 ht="15.75" customHeight="1">
      <c r="A5" s="33"/>
      <c r="B5" s="33"/>
      <c r="C5" s="22" t="s">
        <v>78</v>
      </c>
      <c r="D5" s="53" t="s">
        <v>79</v>
      </c>
      <c r="E5" s="54" t="s">
        <v>80</v>
      </c>
      <c r="F5" s="55" t="s">
        <v>81</v>
      </c>
      <c r="G5" s="56" t="s">
        <v>121</v>
      </c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</row>
    <row r="6" ht="15.75" customHeight="1">
      <c r="A6" s="33"/>
      <c r="B6" s="33"/>
      <c r="C6" s="30" t="s">
        <v>83</v>
      </c>
      <c r="D6" s="31">
        <v>0.2</v>
      </c>
      <c r="E6" s="32">
        <v>0.15</v>
      </c>
      <c r="F6" s="32">
        <v>0.15</v>
      </c>
      <c r="G6" s="32">
        <v>0.6</v>
      </c>
      <c r="H6" s="64" t="s">
        <v>122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</row>
    <row r="7" ht="15.75" customHeight="1">
      <c r="A7" s="33"/>
      <c r="B7" s="33"/>
      <c r="C7" s="30" t="s">
        <v>84</v>
      </c>
      <c r="D7" s="32">
        <v>0.0</v>
      </c>
      <c r="E7" s="32">
        <v>0.2</v>
      </c>
      <c r="F7" s="32">
        <v>0.35</v>
      </c>
      <c r="G7" s="32">
        <v>0.15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</row>
    <row r="8" ht="15.75" customHeight="1">
      <c r="A8" s="33"/>
      <c r="B8" s="33"/>
      <c r="C8" s="30" t="s">
        <v>85</v>
      </c>
      <c r="D8" s="32">
        <v>0.0</v>
      </c>
      <c r="E8" s="32">
        <v>0.15</v>
      </c>
      <c r="F8" s="32">
        <v>0.15</v>
      </c>
      <c r="G8" s="32">
        <v>0.05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</row>
    <row r="9" ht="15.75" customHeight="1">
      <c r="A9" s="33"/>
      <c r="B9" s="33"/>
      <c r="C9" s="30" t="s">
        <v>86</v>
      </c>
      <c r="D9" s="32">
        <v>0.05</v>
      </c>
      <c r="E9" s="32">
        <v>0.2</v>
      </c>
      <c r="F9" s="32">
        <v>0.05</v>
      </c>
      <c r="G9" s="32">
        <v>0.1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</row>
    <row r="10" ht="15.75" customHeight="1">
      <c r="A10" s="33"/>
      <c r="B10" s="33"/>
      <c r="C10" s="30" t="s">
        <v>87</v>
      </c>
      <c r="D10" s="32">
        <v>0.65</v>
      </c>
      <c r="E10" s="32">
        <v>0.05</v>
      </c>
      <c r="F10" s="32">
        <v>0.0</v>
      </c>
      <c r="G10" s="32">
        <v>0.0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</row>
    <row r="11" ht="15.75" customHeight="1">
      <c r="A11" s="33"/>
      <c r="B11" s="33"/>
      <c r="C11" s="30" t="s">
        <v>88</v>
      </c>
      <c r="D11" s="32">
        <v>0.1</v>
      </c>
      <c r="E11" s="32">
        <v>0.2</v>
      </c>
      <c r="F11" s="32">
        <v>0.15</v>
      </c>
      <c r="G11" s="32">
        <v>0.1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</row>
    <row r="12" ht="15.75" customHeight="1">
      <c r="A12" s="33"/>
      <c r="B12" s="33"/>
      <c r="C12" s="30" t="s">
        <v>89</v>
      </c>
      <c r="D12" s="32">
        <v>0.0</v>
      </c>
      <c r="E12" s="32">
        <v>0.05</v>
      </c>
      <c r="F12" s="32">
        <v>0.15</v>
      </c>
      <c r="G12" s="32">
        <v>0.0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</row>
    <row r="13" ht="15.75" customHeight="1">
      <c r="A13" s="33"/>
      <c r="B13" s="33"/>
      <c r="C13" s="22" t="s">
        <v>78</v>
      </c>
      <c r="D13" s="53" t="s">
        <v>79</v>
      </c>
      <c r="E13" s="54" t="s">
        <v>80</v>
      </c>
      <c r="F13" s="55" t="s">
        <v>81</v>
      </c>
      <c r="G13" s="56" t="s">
        <v>121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</row>
    <row r="14" ht="15.75" customHeight="1">
      <c r="A14" s="33"/>
      <c r="B14" s="33"/>
      <c r="C14" s="30" t="s">
        <v>83</v>
      </c>
      <c r="D14" s="66">
        <f t="shared" ref="D14:G14" si="1">D21*D6</f>
        <v>31.1322</v>
      </c>
      <c r="E14" s="67">
        <f t="shared" si="1"/>
        <v>93.3966</v>
      </c>
      <c r="F14" s="68">
        <f t="shared" si="1"/>
        <v>303.53895</v>
      </c>
      <c r="G14" s="69">
        <f t="shared" si="1"/>
        <v>186.7932</v>
      </c>
      <c r="H14" s="70">
        <f t="shared" ref="H14:H20" si="3">SUM(D14:G14)</f>
        <v>614.86095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</row>
    <row r="15" ht="15.75" customHeight="1">
      <c r="A15" s="33"/>
      <c r="B15" s="33"/>
      <c r="C15" s="30" t="s">
        <v>84</v>
      </c>
      <c r="D15" s="66">
        <f t="shared" ref="D15:G15" si="2">D21*D7</f>
        <v>0</v>
      </c>
      <c r="E15" s="67">
        <f t="shared" si="2"/>
        <v>124.5288</v>
      </c>
      <c r="F15" s="68">
        <f t="shared" si="2"/>
        <v>708.25755</v>
      </c>
      <c r="G15" s="69">
        <f t="shared" si="2"/>
        <v>46.6983</v>
      </c>
      <c r="H15" s="70">
        <f t="shared" si="3"/>
        <v>879.48465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</row>
    <row r="16" ht="15.75" customHeight="1">
      <c r="A16" s="33"/>
      <c r="B16" s="33"/>
      <c r="C16" s="30" t="s">
        <v>85</v>
      </c>
      <c r="D16" s="66">
        <f t="shared" ref="D16:G16" si="4">D21*D8</f>
        <v>0</v>
      </c>
      <c r="E16" s="67">
        <f t="shared" si="4"/>
        <v>93.3966</v>
      </c>
      <c r="F16" s="68">
        <f t="shared" si="4"/>
        <v>303.53895</v>
      </c>
      <c r="G16" s="69">
        <f t="shared" si="4"/>
        <v>15.5661</v>
      </c>
      <c r="H16" s="70">
        <f t="shared" si="3"/>
        <v>412.50165</v>
      </c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</row>
    <row r="17" ht="15.75" customHeight="1">
      <c r="A17" s="33"/>
      <c r="B17" s="33"/>
      <c r="C17" s="30" t="s">
        <v>86</v>
      </c>
      <c r="D17" s="66">
        <f t="shared" ref="D17:G17" si="5">D21*D9</f>
        <v>7.78305</v>
      </c>
      <c r="E17" s="67">
        <f t="shared" si="5"/>
        <v>124.5288</v>
      </c>
      <c r="F17" s="68">
        <f t="shared" si="5"/>
        <v>101.17965</v>
      </c>
      <c r="G17" s="69">
        <f t="shared" si="5"/>
        <v>31.1322</v>
      </c>
      <c r="H17" s="70">
        <f t="shared" si="3"/>
        <v>264.6237</v>
      </c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</row>
    <row r="18" ht="15.75" customHeight="1">
      <c r="A18" s="33"/>
      <c r="B18" s="33"/>
      <c r="C18" s="30" t="s">
        <v>87</v>
      </c>
      <c r="D18" s="66">
        <f t="shared" ref="D18:G18" si="6">D21*D10</f>
        <v>101.17965</v>
      </c>
      <c r="E18" s="67">
        <f t="shared" si="6"/>
        <v>31.1322</v>
      </c>
      <c r="F18" s="68">
        <f t="shared" si="6"/>
        <v>0</v>
      </c>
      <c r="G18" s="69">
        <f t="shared" si="6"/>
        <v>0</v>
      </c>
      <c r="H18" s="70">
        <f t="shared" si="3"/>
        <v>132.31185</v>
      </c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</row>
    <row r="19" ht="15.75" customHeight="1">
      <c r="A19" s="33"/>
      <c r="B19" s="33"/>
      <c r="C19" s="30" t="s">
        <v>88</v>
      </c>
      <c r="D19" s="66">
        <f t="shared" ref="D19:G19" si="7">D21*D11</f>
        <v>15.5661</v>
      </c>
      <c r="E19" s="67">
        <f t="shared" si="7"/>
        <v>124.5288</v>
      </c>
      <c r="F19" s="68">
        <f t="shared" si="7"/>
        <v>303.53895</v>
      </c>
      <c r="G19" s="69">
        <f t="shared" si="7"/>
        <v>31.1322</v>
      </c>
      <c r="H19" s="70">
        <f t="shared" si="3"/>
        <v>474.76605</v>
      </c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</row>
    <row r="20" ht="15.75" customHeight="1">
      <c r="A20" s="33"/>
      <c r="B20" s="33"/>
      <c r="C20" s="30" t="s">
        <v>89</v>
      </c>
      <c r="D20" s="66">
        <f t="shared" ref="D20:G20" si="8">D21*D12</f>
        <v>0</v>
      </c>
      <c r="E20" s="67">
        <f t="shared" si="8"/>
        <v>31.1322</v>
      </c>
      <c r="F20" s="68">
        <f t="shared" si="8"/>
        <v>303.53895</v>
      </c>
      <c r="G20" s="69">
        <f t="shared" si="8"/>
        <v>0</v>
      </c>
      <c r="H20" s="70">
        <f t="shared" si="3"/>
        <v>334.67115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</row>
    <row r="21" ht="15.75" customHeight="1">
      <c r="A21" s="33"/>
      <c r="B21" s="33"/>
      <c r="C21" s="64"/>
      <c r="D21" s="71">
        <f> D4 * D23</f>
        <v>155.661</v>
      </c>
      <c r="E21" s="72">
        <f>D23*E4</f>
        <v>622.644</v>
      </c>
      <c r="F21" s="73">
        <f>D23*F4</f>
        <v>2023.593</v>
      </c>
      <c r="G21" s="74">
        <f>D23*G4</f>
        <v>311.322</v>
      </c>
      <c r="H21" s="75">
        <f> SUM(H14:H20)</f>
        <v>3113.22</v>
      </c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</row>
    <row r="22" ht="15.75" customHeight="1">
      <c r="A22" s="33"/>
      <c r="B22" s="3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</row>
    <row r="23" ht="15.75" customHeight="1">
      <c r="A23" s="33"/>
      <c r="B23" s="33"/>
      <c r="C23" s="76" t="s">
        <v>107</v>
      </c>
      <c r="D23" s="77">
        <f> ProjTemps!E90</f>
        <v>3113.22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</row>
    <row r="24" ht="15.75" customHeight="1">
      <c r="A24" s="33"/>
      <c r="B24" s="3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</row>
    <row r="25" ht="15.75" customHeight="1">
      <c r="A25" s="22"/>
      <c r="B25" s="23" t="s">
        <v>123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ht="15.75" customHeight="1">
      <c r="A26" s="33"/>
      <c r="B26" s="3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</row>
    <row r="27" ht="15.75" customHeight="1">
      <c r="A27" s="33"/>
      <c r="B27" s="33"/>
      <c r="C27" s="22" t="s">
        <v>78</v>
      </c>
      <c r="D27" s="53" t="s">
        <v>79</v>
      </c>
      <c r="E27" s="54" t="s">
        <v>80</v>
      </c>
      <c r="F27" s="55" t="s">
        <v>81</v>
      </c>
      <c r="G27" s="56" t="s">
        <v>121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</row>
    <row r="28" ht="15.75" customHeight="1">
      <c r="A28" s="33"/>
      <c r="B28" s="33"/>
      <c r="C28" s="30" t="s">
        <v>83</v>
      </c>
      <c r="D28" s="66">
        <f>D14 /ProjCost!E17 
</f>
        <v>31.1322</v>
      </c>
      <c r="E28" s="67">
        <f>E14 /ProjCost!E17 
</f>
        <v>93.3966</v>
      </c>
      <c r="F28" s="68">
        <f>F14 /ProjCost!E17 
</f>
        <v>303.53895</v>
      </c>
      <c r="G28" s="69">
        <f>G14 /ProjCost!E17 
</f>
        <v>186.7932</v>
      </c>
      <c r="H28" s="70">
        <f t="shared" ref="H28:H34" si="9">SUM(D28:G28)</f>
        <v>614.86095</v>
      </c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ht="15.75" customHeight="1">
      <c r="A29" s="33"/>
      <c r="B29" s="33"/>
      <c r="C29" s="30" t="s">
        <v>84</v>
      </c>
      <c r="D29" s="66">
        <f> D15/ProjCost!E18</f>
        <v>0</v>
      </c>
      <c r="E29" s="67">
        <f> E15 / ProjCost!E18</f>
        <v>62.2644</v>
      </c>
      <c r="F29" s="68">
        <f> F15 / ProjCost!E18</f>
        <v>354.128775</v>
      </c>
      <c r="G29" s="69">
        <f> G15 / ProjCost!E18</f>
        <v>23.34915</v>
      </c>
      <c r="H29" s="70">
        <f t="shared" si="9"/>
        <v>439.742325</v>
      </c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ht="15.75" customHeight="1">
      <c r="A30" s="33"/>
      <c r="B30" s="33"/>
      <c r="C30" s="30" t="s">
        <v>85</v>
      </c>
      <c r="D30" s="66">
        <f>D16 /ProjCost!E19 
</f>
        <v>0</v>
      </c>
      <c r="E30" s="67">
        <f>E16 /ProjCost!E19 
</f>
        <v>46.6983</v>
      </c>
      <c r="F30" s="68">
        <f>F16 /ProjCost!E19 
</f>
        <v>151.769475</v>
      </c>
      <c r="G30" s="69">
        <f>G16 /ProjCost!E19 
</f>
        <v>7.78305</v>
      </c>
      <c r="H30" s="70">
        <f t="shared" si="9"/>
        <v>206.250825</v>
      </c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ht="15.75" customHeight="1">
      <c r="A31" s="33"/>
      <c r="B31" s="33"/>
      <c r="C31" s="30" t="s">
        <v>86</v>
      </c>
      <c r="D31" s="66">
        <f> D17/ProjCost!E20</f>
        <v>3.891525</v>
      </c>
      <c r="E31" s="67">
        <f> E17 / ProjCost!E20</f>
        <v>62.2644</v>
      </c>
      <c r="F31" s="68">
        <f> F17 / ProjCost!E20</f>
        <v>50.589825</v>
      </c>
      <c r="G31" s="69">
        <f> G17 / ProjCost!E20</f>
        <v>15.5661</v>
      </c>
      <c r="H31" s="70">
        <f t="shared" si="9"/>
        <v>132.31185</v>
      </c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ht="15.75" customHeight="1">
      <c r="A32" s="33"/>
      <c r="B32" s="33"/>
      <c r="C32" s="30" t="s">
        <v>87</v>
      </c>
      <c r="D32" s="66">
        <f>D18 /ProjCost!E21 
</f>
        <v>50.589825</v>
      </c>
      <c r="E32" s="67">
        <f>E18 /ProjCost!E21 
</f>
        <v>15.5661</v>
      </c>
      <c r="F32" s="68">
        <f>F18 /ProjCost!E21 
</f>
        <v>0</v>
      </c>
      <c r="G32" s="69">
        <f>G18 /ProjCost!E21 
</f>
        <v>0</v>
      </c>
      <c r="H32" s="70">
        <f t="shared" si="9"/>
        <v>66.155925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ht="15.75" customHeight="1">
      <c r="A33" s="33"/>
      <c r="B33" s="33"/>
      <c r="C33" s="30" t="s">
        <v>88</v>
      </c>
      <c r="D33" s="66">
        <f> D19/ProjCost!E22</f>
        <v>15.5661</v>
      </c>
      <c r="E33" s="67">
        <f> E19 / ProjCost!E22</f>
        <v>124.5288</v>
      </c>
      <c r="F33" s="68">
        <f> F19 / ProjCost!E22</f>
        <v>303.53895</v>
      </c>
      <c r="G33" s="69">
        <f> G19 / ProjCost!E22</f>
        <v>31.1322</v>
      </c>
      <c r="H33" s="70">
        <f t="shared" si="9"/>
        <v>474.76605</v>
      </c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ht="15.75" customHeight="1">
      <c r="A34" s="33"/>
      <c r="B34" s="33"/>
      <c r="C34" s="30" t="s">
        <v>89</v>
      </c>
      <c r="D34" s="66">
        <f>D20 /ProjCost!E23 
</f>
        <v>0</v>
      </c>
      <c r="E34" s="67">
        <f>E20 /ProjCost!E23 
</f>
        <v>31.1322</v>
      </c>
      <c r="F34" s="68">
        <f>F20 /ProjCost!E23 
</f>
        <v>303.53895</v>
      </c>
      <c r="G34" s="69">
        <f>G20 /ProjCost!E23 
</f>
        <v>0</v>
      </c>
      <c r="H34" s="70">
        <f t="shared" si="9"/>
        <v>334.67115</v>
      </c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ht="15.75" customHeight="1">
      <c r="A35" s="33"/>
      <c r="B35" s="33"/>
      <c r="C35" s="64"/>
      <c r="D35" s="71">
        <f t="shared" ref="D35:G35" si="10">SUM(D28:D34)</f>
        <v>101.17965</v>
      </c>
      <c r="E35" s="72">
        <f t="shared" si="10"/>
        <v>435.8508</v>
      </c>
      <c r="F35" s="73">
        <f t="shared" si="10"/>
        <v>1467.104925</v>
      </c>
      <c r="G35" s="74">
        <f t="shared" si="10"/>
        <v>264.6237</v>
      </c>
      <c r="H35" s="78">
        <f> SUM(H28:H34)</f>
        <v>2268.759075</v>
      </c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ht="15.75" customHeight="1">
      <c r="A36" s="33"/>
      <c r="B36" s="3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ht="15.75" customHeight="1">
      <c r="A37" s="33"/>
      <c r="B37" s="33"/>
      <c r="C37" s="76" t="s">
        <v>107</v>
      </c>
      <c r="D37" s="79">
        <f> ProjTemps!E90</f>
        <v>3113.22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ht="15.75" customHeight="1">
      <c r="A38" s="33"/>
      <c r="B38" s="3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ht="15.75" customHeight="1">
      <c r="A39" s="22"/>
      <c r="B39" s="23" t="s">
        <v>124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ht="15.75" customHeight="1">
      <c r="A40" s="33"/>
      <c r="B40" s="3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ht="15.75" customHeight="1">
      <c r="A41" s="33"/>
      <c r="B41" s="33"/>
      <c r="C41" s="80" t="s">
        <v>125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ht="15.75" customHeight="1">
      <c r="A42" s="33"/>
      <c r="B42" s="3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ht="15.75" customHeight="1">
      <c r="A43" s="33"/>
      <c r="B43" s="33"/>
      <c r="C43" s="64"/>
      <c r="D43" s="53" t="s">
        <v>79</v>
      </c>
      <c r="E43" s="54" t="s">
        <v>80</v>
      </c>
      <c r="F43" s="55" t="s">
        <v>81</v>
      </c>
      <c r="G43" s="56" t="s">
        <v>121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ht="15.75" customHeight="1">
      <c r="A44" s="33"/>
      <c r="B44" s="33"/>
      <c r="C44" s="81" t="s">
        <v>126</v>
      </c>
      <c r="D44" s="82">
        <f> ROUNDUP( D35 / 8 )</f>
        <v>13</v>
      </c>
      <c r="E44" s="82">
        <f> roundup( E35 / 8)</f>
        <v>55</v>
      </c>
      <c r="F44" s="82">
        <f> ROUNDUP( F35 / 8 )</f>
        <v>184</v>
      </c>
      <c r="G44" s="82">
        <f> roundup( G35 / 8)</f>
        <v>34</v>
      </c>
      <c r="H44" s="64">
        <f> sum(D44:G44)</f>
        <v>286</v>
      </c>
      <c r="I44" s="64" t="s">
        <v>127</v>
      </c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ht="15.75" customHeight="1">
      <c r="A45" s="33"/>
      <c r="B45" s="33"/>
      <c r="C45" s="81" t="s">
        <v>128</v>
      </c>
      <c r="D45" s="83">
        <v>43766.0</v>
      </c>
      <c r="E45" s="84">
        <v>43873.0</v>
      </c>
      <c r="F45" s="83">
        <v>44112.0</v>
      </c>
      <c r="G45" s="83">
        <v>44160.0</v>
      </c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ht="15.75" customHeight="1">
      <c r="A46" s="33"/>
      <c r="B46" s="33"/>
      <c r="C46" s="81" t="s">
        <v>129</v>
      </c>
      <c r="D46" s="65">
        <v>0.05</v>
      </c>
      <c r="E46" s="65">
        <v>0.2</v>
      </c>
      <c r="F46" s="65">
        <v>0.65</v>
      </c>
      <c r="G46" s="65">
        <v>0.1</v>
      </c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ht="15.75" customHeight="1">
      <c r="A47" s="33"/>
      <c r="B47" s="33"/>
      <c r="C47" s="81" t="s">
        <v>130</v>
      </c>
      <c r="D47" s="82">
        <f t="shared" ref="D47:G47" si="11">D21</f>
        <v>155.661</v>
      </c>
      <c r="E47" s="82">
        <f t="shared" si="11"/>
        <v>622.644</v>
      </c>
      <c r="F47" s="82">
        <f t="shared" si="11"/>
        <v>2023.593</v>
      </c>
      <c r="G47" s="82">
        <f t="shared" si="11"/>
        <v>311.322</v>
      </c>
      <c r="H47" s="82">
        <f>SUM(D47:G47)</f>
        <v>3113.22</v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ht="15.75" customHeight="1">
      <c r="A48" s="33"/>
      <c r="B48" s="33"/>
      <c r="C48" s="81" t="s">
        <v>131</v>
      </c>
      <c r="D48" s="65">
        <v>0.1</v>
      </c>
      <c r="E48" s="65">
        <v>0.3</v>
      </c>
      <c r="F48" s="65">
        <v>0.5</v>
      </c>
      <c r="G48" s="65">
        <v>0.1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ht="15.75" customHeight="1">
      <c r="A49" s="33"/>
      <c r="B49" s="33"/>
      <c r="C49" s="81" t="s">
        <v>132</v>
      </c>
      <c r="D49" s="82">
        <f>D48*D37</f>
        <v>311.322</v>
      </c>
      <c r="E49" s="82">
        <f>D37*E48</f>
        <v>933.966</v>
      </c>
      <c r="F49" s="82">
        <f>D37*F48</f>
        <v>1556.61</v>
      </c>
      <c r="G49" s="82">
        <f>G48*D37</f>
        <v>311.322</v>
      </c>
      <c r="H49" s="82">
        <f>SUM(D49:G49)</f>
        <v>3113.22</v>
      </c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ht="15.75" customHeight="1">
      <c r="A50" s="33"/>
      <c r="B50" s="3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ht="15.75" customHeight="1">
      <c r="A51" s="33"/>
      <c r="B51" s="3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ht="15.75" customHeight="1">
      <c r="A52" s="33"/>
      <c r="B52" s="33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ht="15.75" customHeight="1">
      <c r="A53" s="33"/>
      <c r="B53" s="33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ht="15.75" customHeight="1">
      <c r="A54" s="33"/>
      <c r="B54" s="3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ht="15.75" customHeight="1">
      <c r="A55" s="33"/>
      <c r="B55" s="3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ht="15.75" customHeight="1">
      <c r="A56" s="33"/>
      <c r="B56" s="33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ht="15.75" customHeight="1">
      <c r="A57" s="33"/>
      <c r="B57" s="3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ht="15.75" customHeight="1">
      <c r="A58" s="33"/>
      <c r="B58" s="33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ht="15.75" customHeight="1">
      <c r="A59" s="33"/>
      <c r="B59" s="33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ht="15.75" customHeight="1">
      <c r="A60" s="33"/>
      <c r="B60" s="33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ht="15.75" customHeight="1">
      <c r="A61" s="33"/>
      <c r="B61" s="33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ht="15.75" customHeight="1">
      <c r="A62" s="33"/>
      <c r="B62" s="33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ht="15.75" customHeight="1">
      <c r="A63" s="33"/>
      <c r="B63" s="3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ht="15.75" customHeight="1">
      <c r="A64" s="33"/>
      <c r="B64" s="33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ht="15.75" customHeight="1">
      <c r="A65" s="33"/>
      <c r="B65" s="33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ht="15.75" customHeight="1">
      <c r="A66" s="33"/>
      <c r="B66" s="33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ht="15.75" customHeight="1">
      <c r="A67" s="33"/>
      <c r="B67" s="33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ht="15.75" customHeight="1">
      <c r="A68" s="33"/>
      <c r="B68" s="33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ht="15.75" customHeight="1">
      <c r="A69" s="33"/>
      <c r="B69" s="33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ht="15.75" customHeight="1">
      <c r="A70" s="33"/>
      <c r="B70" s="33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ht="15.75" customHeight="1">
      <c r="A71" s="33"/>
      <c r="B71" s="3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ht="15.75" customHeight="1">
      <c r="A72" s="33"/>
      <c r="B72" s="33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ht="15.75" customHeight="1">
      <c r="A73" s="33"/>
      <c r="B73" s="3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ht="15.75" customHeight="1">
      <c r="A74" s="33"/>
      <c r="B74" s="33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ht="15.75" customHeight="1">
      <c r="A75" s="33"/>
      <c r="B75" s="3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ht="15.75" customHeight="1">
      <c r="A76" s="33"/>
      <c r="B76" s="33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ht="15.75" customHeight="1">
      <c r="A77" s="33"/>
      <c r="B77" s="3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ht="15.75" customHeight="1">
      <c r="A78" s="33"/>
      <c r="B78" s="3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ht="15.75" customHeight="1">
      <c r="A79" s="33"/>
      <c r="B79" s="3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ht="15.75" customHeight="1">
      <c r="A80" s="33"/>
      <c r="B80" s="3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ht="15.75" customHeight="1">
      <c r="A81" s="33"/>
      <c r="B81" s="3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ht="15.75" customHeight="1">
      <c r="A82" s="33"/>
      <c r="B82" s="3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ht="15.75" customHeight="1">
      <c r="A83" s="33"/>
      <c r="B83" s="3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ht="15.75" customHeight="1">
      <c r="A84" s="33"/>
      <c r="B84" s="3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ht="15.75" customHeight="1">
      <c r="A85" s="33"/>
      <c r="B85" s="3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ht="15.75" customHeight="1">
      <c r="A86" s="33"/>
      <c r="B86" s="3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ht="15.75" customHeight="1">
      <c r="A87" s="33"/>
      <c r="B87" s="3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ht="15.75" customHeight="1">
      <c r="A88" s="33"/>
      <c r="B88" s="3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ht="15.75" customHeight="1">
      <c r="A89" s="33"/>
      <c r="B89" s="3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ht="15.75" customHeight="1">
      <c r="A90" s="33"/>
      <c r="B90" s="33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ht="15.75" customHeight="1">
      <c r="A91" s="33"/>
      <c r="B91" s="33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ht="15.75" customHeight="1">
      <c r="A92" s="33"/>
      <c r="B92" s="33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ht="15.75" customHeight="1">
      <c r="A93" s="33"/>
      <c r="B93" s="3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ht="15.75" customHeight="1">
      <c r="A94" s="33"/>
      <c r="B94" s="3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ht="15.75" customHeight="1">
      <c r="A95" s="33"/>
      <c r="B95" s="33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ht="15.75" customHeight="1">
      <c r="A96" s="33"/>
      <c r="B96" s="3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ht="15.75" customHeight="1">
      <c r="A97" s="33"/>
      <c r="B97" s="33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ht="15.75" customHeight="1">
      <c r="A98" s="33"/>
      <c r="B98" s="3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ht="15.75" customHeight="1">
      <c r="A99" s="33"/>
      <c r="B99" s="33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ht="15.75" customHeight="1">
      <c r="A100" s="33"/>
      <c r="B100" s="33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ht="15.75" customHeight="1">
      <c r="A101" s="33"/>
      <c r="B101" s="3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ht="15.75" customHeight="1">
      <c r="A102" s="33"/>
      <c r="B102" s="33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ht="15.75" customHeight="1">
      <c r="A103" s="33"/>
      <c r="B103" s="33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ht="15.75" customHeight="1">
      <c r="A104" s="33"/>
      <c r="B104" s="33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ht="15.75" customHeight="1">
      <c r="A105" s="33"/>
      <c r="B105" s="33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ht="15.75" customHeight="1">
      <c r="A106" s="33"/>
      <c r="B106" s="3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ht="15.75" customHeight="1">
      <c r="A107" s="33"/>
      <c r="B107" s="33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ht="15.75" customHeight="1">
      <c r="A108" s="33"/>
      <c r="B108" s="33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ht="15.75" customHeight="1">
      <c r="A109" s="33"/>
      <c r="B109" s="33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ht="15.75" customHeight="1">
      <c r="A110" s="33"/>
      <c r="B110" s="33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ht="15.75" customHeight="1">
      <c r="A111" s="33"/>
      <c r="B111" s="33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ht="15.75" customHeight="1">
      <c r="A112" s="33"/>
      <c r="B112" s="33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ht="15.75" customHeight="1">
      <c r="A113" s="33"/>
      <c r="B113" s="33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ht="15.75" customHeight="1">
      <c r="A114" s="33"/>
      <c r="B114" s="33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ht="15.75" customHeight="1">
      <c r="A115" s="33"/>
      <c r="B115" s="3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ht="15.75" customHeight="1">
      <c r="A116" s="33"/>
      <c r="B116" s="3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ht="15.75" customHeight="1">
      <c r="A117" s="33"/>
      <c r="B117" s="33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ht="15.75" customHeight="1">
      <c r="A118" s="33"/>
      <c r="B118" s="33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ht="15.75" customHeight="1">
      <c r="A119" s="33"/>
      <c r="B119" s="33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ht="15.75" customHeight="1">
      <c r="A120" s="33"/>
      <c r="B120" s="33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ht="15.75" customHeight="1">
      <c r="A121" s="33"/>
      <c r="B121" s="3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ht="15.75" customHeight="1">
      <c r="A122" s="33"/>
      <c r="B122" s="33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ht="15.75" customHeight="1">
      <c r="A123" s="33"/>
      <c r="B123" s="33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ht="15.75" customHeight="1">
      <c r="A124" s="33"/>
      <c r="B124" s="33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ht="15.75" customHeight="1">
      <c r="A125" s="33"/>
      <c r="B125" s="33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ht="15.75" customHeight="1">
      <c r="A126" s="33"/>
      <c r="B126" s="33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ht="15.75" customHeight="1">
      <c r="A127" s="33"/>
      <c r="B127" s="33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ht="15.75" customHeight="1">
      <c r="A128" s="33"/>
      <c r="B128" s="33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ht="15.75" customHeight="1">
      <c r="A129" s="33"/>
      <c r="B129" s="33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ht="15.75" customHeight="1">
      <c r="A130" s="33"/>
      <c r="B130" s="33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ht="15.75" customHeight="1">
      <c r="A131" s="33"/>
      <c r="B131" s="33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ht="15.75" customHeight="1">
      <c r="A132" s="33"/>
      <c r="B132" s="33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ht="15.75" customHeight="1">
      <c r="A133" s="33"/>
      <c r="B133" s="33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ht="15.75" customHeight="1">
      <c r="A134" s="33"/>
      <c r="B134" s="33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ht="15.75" customHeight="1">
      <c r="A135" s="33"/>
      <c r="B135" s="33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ht="15.75" customHeight="1">
      <c r="A136" s="33"/>
      <c r="B136" s="33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ht="15.75" customHeight="1">
      <c r="A137" s="33"/>
      <c r="B137" s="33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ht="15.75" customHeight="1">
      <c r="A138" s="33"/>
      <c r="B138" s="33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ht="15.75" customHeight="1">
      <c r="A139" s="33"/>
      <c r="B139" s="33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ht="15.75" customHeight="1">
      <c r="A140" s="33"/>
      <c r="B140" s="33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ht="15.75" customHeight="1">
      <c r="A141" s="33"/>
      <c r="B141" s="33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ht="15.75" customHeight="1">
      <c r="A142" s="33"/>
      <c r="B142" s="33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ht="15.75" customHeight="1">
      <c r="A143" s="33"/>
      <c r="B143" s="33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ht="15.75" customHeight="1">
      <c r="A144" s="33"/>
      <c r="B144" s="3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ht="15.75" customHeight="1">
      <c r="A145" s="33"/>
      <c r="B145" s="33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ht="15.75" customHeight="1">
      <c r="A146" s="33"/>
      <c r="B146" s="33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ht="15.75" customHeight="1">
      <c r="A147" s="33"/>
      <c r="B147" s="33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ht="15.75" customHeight="1">
      <c r="A148" s="33"/>
      <c r="B148" s="33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ht="15.75" customHeight="1">
      <c r="A149" s="33"/>
      <c r="B149" s="33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ht="15.75" customHeight="1">
      <c r="A150" s="33"/>
      <c r="B150" s="33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ht="15.75" customHeight="1">
      <c r="A151" s="33"/>
      <c r="B151" s="33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ht="15.75" customHeight="1">
      <c r="A152" s="33"/>
      <c r="B152" s="33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ht="15.75" customHeight="1">
      <c r="A153" s="33"/>
      <c r="B153" s="33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ht="15.75" customHeight="1">
      <c r="A154" s="33"/>
      <c r="B154" s="33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ht="15.75" customHeight="1">
      <c r="A155" s="33"/>
      <c r="B155" s="33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ht="15.75" customHeight="1">
      <c r="A156" s="33"/>
      <c r="B156" s="33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ht="15.75" customHeight="1">
      <c r="A157" s="33"/>
      <c r="B157" s="33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ht="15.75" customHeight="1">
      <c r="A158" s="33"/>
      <c r="B158" s="33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ht="15.75" customHeight="1">
      <c r="A159" s="33"/>
      <c r="B159" s="33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ht="15.75" customHeight="1">
      <c r="A160" s="33"/>
      <c r="B160" s="33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ht="15.75" customHeight="1">
      <c r="A161" s="33"/>
      <c r="B161" s="33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ht="15.75" customHeight="1">
      <c r="A162" s="33"/>
      <c r="B162" s="33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ht="15.75" customHeight="1">
      <c r="A163" s="33"/>
      <c r="B163" s="33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ht="15.75" customHeight="1">
      <c r="A164" s="33"/>
      <c r="B164" s="33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ht="15.75" customHeight="1">
      <c r="A165" s="33"/>
      <c r="B165" s="33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ht="15.75" customHeight="1">
      <c r="A166" s="33"/>
      <c r="B166" s="33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ht="15.75" customHeight="1">
      <c r="A167" s="33"/>
      <c r="B167" s="3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ht="15.75" customHeight="1">
      <c r="A168" s="33"/>
      <c r="B168" s="33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ht="15.75" customHeight="1">
      <c r="A169" s="33"/>
      <c r="B169" s="33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ht="15.75" customHeight="1">
      <c r="A170" s="33"/>
      <c r="B170" s="33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ht="15.75" customHeight="1">
      <c r="A171" s="33"/>
      <c r="B171" s="3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ht="15.75" customHeight="1">
      <c r="A172" s="33"/>
      <c r="B172" s="33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ht="15.75" customHeight="1">
      <c r="A173" s="33"/>
      <c r="B173" s="3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ht="15.75" customHeight="1">
      <c r="A174" s="33"/>
      <c r="B174" s="33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ht="15.75" customHeight="1">
      <c r="A175" s="33"/>
      <c r="B175" s="33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ht="15.75" customHeight="1">
      <c r="A176" s="33"/>
      <c r="B176" s="33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ht="15.75" customHeight="1">
      <c r="A177" s="33"/>
      <c r="B177" s="33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ht="15.75" customHeight="1">
      <c r="A178" s="33"/>
      <c r="B178" s="33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ht="15.75" customHeight="1">
      <c r="A179" s="33"/>
      <c r="B179" s="33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ht="15.75" customHeight="1">
      <c r="A180" s="33"/>
      <c r="B180" s="33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ht="15.75" customHeight="1">
      <c r="A181" s="33"/>
      <c r="B181" s="33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ht="15.75" customHeight="1">
      <c r="A182" s="33"/>
      <c r="B182" s="33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ht="15.75" customHeight="1">
      <c r="A183" s="33"/>
      <c r="B183" s="33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ht="15.75" customHeight="1">
      <c r="A184" s="33"/>
      <c r="B184" s="33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ht="15.75" customHeight="1">
      <c r="A185" s="33"/>
      <c r="B185" s="33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ht="15.75" customHeight="1">
      <c r="A186" s="33"/>
      <c r="B186" s="33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ht="15.75" customHeight="1">
      <c r="A187" s="33"/>
      <c r="B187" s="33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ht="15.75" customHeight="1">
      <c r="A188" s="33"/>
      <c r="B188" s="33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ht="15.75" customHeight="1">
      <c r="A189" s="33"/>
      <c r="B189" s="33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ht="15.75" customHeight="1">
      <c r="A190" s="33"/>
      <c r="B190" s="3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ht="15.75" customHeight="1">
      <c r="A191" s="33"/>
      <c r="B191" s="33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ht="15.75" customHeight="1">
      <c r="A192" s="33"/>
      <c r="B192" s="33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ht="15.75" customHeight="1">
      <c r="A193" s="33"/>
      <c r="B193" s="33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ht="15.75" customHeight="1">
      <c r="A194" s="33"/>
      <c r="B194" s="33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ht="15.75" customHeight="1">
      <c r="A195" s="33"/>
      <c r="B195" s="33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ht="15.75" customHeight="1">
      <c r="A196" s="33"/>
      <c r="B196" s="33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ht="15.75" customHeight="1">
      <c r="A197" s="33"/>
      <c r="B197" s="33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ht="15.75" customHeight="1">
      <c r="A198" s="33"/>
      <c r="B198" s="33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ht="15.75" customHeight="1">
      <c r="A199" s="33"/>
      <c r="B199" s="33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ht="15.75" customHeight="1">
      <c r="A200" s="33"/>
      <c r="B200" s="33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ht="15.75" customHeight="1">
      <c r="A201" s="33"/>
      <c r="B201" s="33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ht="15.75" customHeight="1">
      <c r="A202" s="33"/>
      <c r="B202" s="33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ht="15.75" customHeight="1">
      <c r="A203" s="33"/>
      <c r="B203" s="33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ht="15.75" customHeight="1">
      <c r="A204" s="33"/>
      <c r="B204" s="33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ht="15.75" customHeight="1">
      <c r="A205" s="33"/>
      <c r="B205" s="33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ht="15.75" customHeight="1">
      <c r="A206" s="33"/>
      <c r="B206" s="33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ht="15.75" customHeight="1">
      <c r="A207" s="33"/>
      <c r="B207" s="33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ht="15.75" customHeight="1">
      <c r="A208" s="33"/>
      <c r="B208" s="33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ht="15.75" customHeight="1">
      <c r="A209" s="33"/>
      <c r="B209" s="33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ht="15.75" customHeight="1">
      <c r="A210" s="33"/>
      <c r="B210" s="33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ht="15.75" customHeight="1">
      <c r="A211" s="33"/>
      <c r="B211" s="33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ht="15.75" customHeight="1">
      <c r="A212" s="33"/>
      <c r="B212" s="33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ht="15.75" customHeight="1">
      <c r="A213" s="33"/>
      <c r="B213" s="3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ht="15.75" customHeight="1">
      <c r="A214" s="33"/>
      <c r="B214" s="33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ht="15.75" customHeight="1">
      <c r="A215" s="33"/>
      <c r="B215" s="33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ht="15.75" customHeight="1">
      <c r="A216" s="33"/>
      <c r="B216" s="33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ht="15.75" customHeight="1">
      <c r="A217" s="33"/>
      <c r="B217" s="33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ht="15.75" customHeight="1">
      <c r="A218" s="33"/>
      <c r="B218" s="33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ht="15.75" customHeight="1">
      <c r="A219" s="33"/>
      <c r="B219" s="33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ht="15.75" customHeight="1">
      <c r="A220" s="33"/>
      <c r="B220" s="33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ht="15.75" customHeight="1">
      <c r="A221" s="33"/>
      <c r="B221" s="33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ht="15.75" customHeight="1">
      <c r="A222" s="33"/>
      <c r="B222" s="33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ht="15.75" customHeight="1">
      <c r="A223" s="33"/>
      <c r="B223" s="33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ht="15.75" customHeight="1">
      <c r="A224" s="33"/>
      <c r="B224" s="3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ht="15.75" customHeight="1">
      <c r="A225" s="33"/>
      <c r="B225" s="33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ht="15.75" customHeight="1">
      <c r="A226" s="33"/>
      <c r="B226" s="33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ht="15.75" customHeight="1">
      <c r="A227" s="33"/>
      <c r="B227" s="33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ht="15.75" customHeight="1">
      <c r="A228" s="33"/>
      <c r="B228" s="33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ht="15.75" customHeight="1">
      <c r="A229" s="33"/>
      <c r="B229" s="33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ht="15.75" customHeight="1">
      <c r="A230" s="33"/>
      <c r="B230" s="33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ht="15.75" customHeight="1">
      <c r="A231" s="33"/>
      <c r="B231" s="33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ht="15.75" customHeight="1">
      <c r="A232" s="33"/>
      <c r="B232" s="33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ht="15.75" customHeight="1">
      <c r="A233" s="33"/>
      <c r="B233" s="33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ht="15.75" customHeight="1">
      <c r="A234" s="33"/>
      <c r="B234" s="33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ht="15.75" customHeight="1">
      <c r="A235" s="33"/>
      <c r="B235" s="33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ht="15.75" customHeight="1">
      <c r="A236" s="33"/>
      <c r="B236" s="33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ht="15.75" customHeight="1">
      <c r="A237" s="33"/>
      <c r="B237" s="33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ht="15.75" customHeight="1">
      <c r="A238" s="33"/>
      <c r="B238" s="33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ht="15.75" customHeight="1">
      <c r="A239" s="33"/>
      <c r="B239" s="33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ht="15.75" customHeight="1">
      <c r="A240" s="33"/>
      <c r="B240" s="33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ht="15.75" customHeight="1">
      <c r="A241" s="33"/>
      <c r="B241" s="33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ht="15.75" customHeight="1">
      <c r="A242" s="33"/>
      <c r="B242" s="33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ht="15.75" customHeight="1">
      <c r="A243" s="33"/>
      <c r="B243" s="33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ht="15.75" customHeight="1">
      <c r="A244" s="33"/>
      <c r="B244" s="33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ht="15.75" customHeight="1">
      <c r="A245" s="33"/>
      <c r="B245" s="33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ht="15.75" customHeight="1">
      <c r="A246" s="33"/>
      <c r="B246" s="33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ht="15.75" customHeight="1">
      <c r="A247" s="33"/>
      <c r="B247" s="33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ht="15.75" customHeight="1">
      <c r="A248" s="33"/>
      <c r="B248" s="33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ht="15.75" customHeight="1">
      <c r="A249" s="33"/>
      <c r="B249" s="33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6:G12">
    <cfRule type="colorScale" priority="1">
      <colorScale>
        <cfvo type="percent" val="0"/>
        <cfvo type="percent" val="50"/>
        <cfvo type="percent" val="100"/>
        <color rgb="FFFFFFFF"/>
        <color rgb="FFCCCCCC"/>
        <color rgb="FF999999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47.25"/>
    <col customWidth="1" min="5" max="5" width="33.25"/>
    <col customWidth="1" min="6" max="26" width="14.38"/>
  </cols>
  <sheetData>
    <row r="1" ht="15.75" customHeight="1">
      <c r="A1" s="19" t="s">
        <v>133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/>
      <c r="B3" s="85" t="s">
        <v>134</v>
      </c>
      <c r="C3" s="85" t="s">
        <v>135</v>
      </c>
      <c r="D3" s="85" t="s">
        <v>136</v>
      </c>
      <c r="E3" s="85" t="s">
        <v>137</v>
      </c>
      <c r="F3" s="85" t="s">
        <v>138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/>
      <c r="B4" s="86" t="s">
        <v>109</v>
      </c>
      <c r="C4" s="87" t="s">
        <v>139</v>
      </c>
      <c r="D4" s="88" t="s">
        <v>140</v>
      </c>
      <c r="E4" s="89" t="s">
        <v>141</v>
      </c>
      <c r="F4" s="90">
        <f> FaseHoresCarreg!D35</f>
        <v>101.17965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/>
      <c r="B5" s="91"/>
      <c r="C5" s="91"/>
      <c r="D5" s="92" t="s">
        <v>142</v>
      </c>
      <c r="E5" s="91"/>
      <c r="F5" s="9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/>
      <c r="B6" s="91"/>
      <c r="C6" s="91"/>
      <c r="D6" s="92" t="s">
        <v>143</v>
      </c>
      <c r="E6" s="91"/>
      <c r="F6" s="9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/>
      <c r="B7" s="91"/>
      <c r="C7" s="91"/>
      <c r="D7" s="92" t="s">
        <v>144</v>
      </c>
      <c r="E7" s="91"/>
      <c r="F7" s="9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/>
      <c r="B8" s="93"/>
      <c r="C8" s="93"/>
      <c r="D8" s="94" t="s">
        <v>145</v>
      </c>
      <c r="E8" s="93"/>
      <c r="F8" s="9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/>
      <c r="B9" s="95" t="s">
        <v>110</v>
      </c>
      <c r="C9" s="96" t="s">
        <v>146</v>
      </c>
      <c r="D9" s="97" t="s">
        <v>147</v>
      </c>
      <c r="E9" s="98" t="s">
        <v>148</v>
      </c>
      <c r="F9" s="99">
        <f> FaseHoresCarreg!E35</f>
        <v>435.8508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/>
      <c r="B10" s="91"/>
      <c r="C10" s="91"/>
      <c r="D10" s="100" t="s">
        <v>149</v>
      </c>
      <c r="E10" s="91"/>
      <c r="F10" s="9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/>
      <c r="B11" s="91"/>
      <c r="C11" s="93"/>
      <c r="D11" s="101" t="s">
        <v>150</v>
      </c>
      <c r="E11" s="91"/>
      <c r="F11" s="9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/>
      <c r="B12" s="91"/>
      <c r="C12" s="96" t="s">
        <v>151</v>
      </c>
      <c r="D12" s="102" t="s">
        <v>152</v>
      </c>
      <c r="E12" s="91"/>
      <c r="F12" s="9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/>
      <c r="B13" s="91"/>
      <c r="C13" s="91"/>
      <c r="D13" s="103" t="s">
        <v>153</v>
      </c>
      <c r="E13" s="91"/>
      <c r="F13" s="9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/>
      <c r="B14" s="93"/>
      <c r="C14" s="93"/>
      <c r="D14" s="104" t="s">
        <v>154</v>
      </c>
      <c r="E14" s="93"/>
      <c r="F14" s="9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/>
      <c r="B15" s="105" t="s">
        <v>111</v>
      </c>
      <c r="C15" s="106" t="s">
        <v>155</v>
      </c>
      <c r="D15" s="107" t="s">
        <v>156</v>
      </c>
      <c r="E15" s="108" t="s">
        <v>157</v>
      </c>
      <c r="F15" s="109">
        <f> FaseHoresCarreg!F35</f>
        <v>1467.104925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/>
      <c r="B16" s="91"/>
      <c r="C16" s="91"/>
      <c r="D16" s="110" t="s">
        <v>158</v>
      </c>
      <c r="E16" s="91"/>
      <c r="F16" s="9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/>
      <c r="B17" s="91"/>
      <c r="C17" s="91"/>
      <c r="D17" s="110" t="s">
        <v>159</v>
      </c>
      <c r="E17" s="91"/>
      <c r="F17" s="9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/>
      <c r="B18" s="91"/>
      <c r="C18" s="93"/>
      <c r="D18" s="111" t="s">
        <v>160</v>
      </c>
      <c r="E18" s="91"/>
      <c r="F18" s="9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91"/>
      <c r="C19" s="112" t="s">
        <v>161</v>
      </c>
      <c r="D19" s="113" t="s">
        <v>162</v>
      </c>
      <c r="E19" s="91"/>
      <c r="F19" s="9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/>
      <c r="B20" s="91"/>
      <c r="C20" s="106" t="s">
        <v>163</v>
      </c>
      <c r="D20" s="107" t="s">
        <v>164</v>
      </c>
      <c r="E20" s="91"/>
      <c r="F20" s="9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/>
      <c r="B21" s="93"/>
      <c r="C21" s="93"/>
      <c r="D21" s="111" t="s">
        <v>165</v>
      </c>
      <c r="E21" s="93"/>
      <c r="F21" s="9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/>
      <c r="B22" s="114" t="s">
        <v>112</v>
      </c>
      <c r="C22" s="115" t="s">
        <v>166</v>
      </c>
      <c r="D22" s="116" t="s">
        <v>167</v>
      </c>
      <c r="E22" s="117" t="s">
        <v>168</v>
      </c>
      <c r="F22" s="118">
        <f> FaseHoresCarreg!G35</f>
        <v>264.6237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91"/>
      <c r="C23" s="91"/>
      <c r="D23" s="119" t="s">
        <v>169</v>
      </c>
      <c r="E23" s="91"/>
      <c r="F23" s="9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91"/>
      <c r="C24" s="91"/>
      <c r="D24" s="119" t="s">
        <v>170</v>
      </c>
      <c r="E24" s="91"/>
      <c r="F24" s="9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93"/>
      <c r="C25" s="93"/>
      <c r="D25" s="120" t="s">
        <v>171</v>
      </c>
      <c r="E25" s="93"/>
      <c r="F25" s="9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4:B8"/>
    <mergeCell ref="C4:C8"/>
    <mergeCell ref="E4:E8"/>
    <mergeCell ref="F4:F8"/>
    <mergeCell ref="B9:B14"/>
    <mergeCell ref="E9:E14"/>
    <mergeCell ref="F9:F14"/>
    <mergeCell ref="B22:B25"/>
    <mergeCell ref="C22:C25"/>
    <mergeCell ref="E22:E25"/>
    <mergeCell ref="F22:F25"/>
    <mergeCell ref="C9:C11"/>
    <mergeCell ref="C12:C14"/>
    <mergeCell ref="B15:B21"/>
    <mergeCell ref="C15:C18"/>
    <mergeCell ref="E15:E21"/>
    <mergeCell ref="F15:F21"/>
    <mergeCell ref="C20:C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4.63"/>
    <col customWidth="1" min="3" max="3" width="3.63"/>
    <col customWidth="1" min="4" max="4" width="40.75"/>
    <col customWidth="1" min="5" max="5" width="10.63"/>
    <col customWidth="1" min="6" max="6" width="40.75"/>
    <col customWidth="1" min="7" max="9" width="14.38"/>
    <col customWidth="1" min="10" max="44" width="7.88"/>
  </cols>
  <sheetData>
    <row r="1" ht="15.75" customHeight="1">
      <c r="A1" s="19" t="s">
        <v>172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ht="15.75" customHeight="1"/>
    <row r="3" ht="15.75" customHeight="1">
      <c r="A3" s="22"/>
      <c r="B3" s="23" t="s">
        <v>173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</row>
    <row r="4" ht="15.75" customHeight="1">
      <c r="C4" s="121"/>
      <c r="E4" s="121"/>
    </row>
    <row r="5" ht="15.75" customHeight="1">
      <c r="C5" s="122" t="s">
        <v>174</v>
      </c>
      <c r="D5" s="122" t="s">
        <v>175</v>
      </c>
      <c r="E5" s="122" t="s">
        <v>176</v>
      </c>
      <c r="F5" s="122" t="s">
        <v>177</v>
      </c>
      <c r="G5" s="122" t="s">
        <v>178</v>
      </c>
    </row>
    <row r="6" ht="15.75" customHeight="1">
      <c r="C6" s="123" t="s">
        <v>179</v>
      </c>
      <c r="D6" s="124" t="s">
        <v>180</v>
      </c>
      <c r="E6" s="125">
        <v>1.0</v>
      </c>
      <c r="F6" s="124" t="s">
        <v>181</v>
      </c>
      <c r="G6" s="125" t="s">
        <v>182</v>
      </c>
    </row>
    <row r="7" ht="15.75" customHeight="1">
      <c r="C7" s="126" t="s">
        <v>183</v>
      </c>
      <c r="D7" s="124" t="s">
        <v>184</v>
      </c>
      <c r="E7" s="125">
        <v>1.0</v>
      </c>
      <c r="F7" s="124" t="s">
        <v>181</v>
      </c>
      <c r="G7" s="125" t="s">
        <v>182</v>
      </c>
    </row>
    <row r="8" ht="15.75" customHeight="1">
      <c r="C8" s="127" t="s">
        <v>185</v>
      </c>
      <c r="D8" s="125" t="s">
        <v>186</v>
      </c>
      <c r="E8" s="125">
        <v>2.0</v>
      </c>
      <c r="F8" s="124" t="s">
        <v>181</v>
      </c>
      <c r="G8" s="125" t="s">
        <v>179</v>
      </c>
    </row>
    <row r="9" ht="15.75" customHeight="1">
      <c r="C9" s="128" t="s">
        <v>187</v>
      </c>
      <c r="D9" s="124" t="s">
        <v>188</v>
      </c>
      <c r="E9" s="125">
        <v>5.0</v>
      </c>
      <c r="F9" s="124" t="s">
        <v>189</v>
      </c>
      <c r="G9" s="125" t="s">
        <v>183</v>
      </c>
    </row>
    <row r="10" ht="15.75" customHeight="1">
      <c r="C10" s="129" t="s">
        <v>190</v>
      </c>
      <c r="D10" s="124" t="s">
        <v>191</v>
      </c>
      <c r="E10" s="125">
        <v>4.0</v>
      </c>
      <c r="F10" s="125" t="s">
        <v>192</v>
      </c>
      <c r="G10" s="125" t="s">
        <v>183</v>
      </c>
    </row>
    <row r="11" ht="15.75" customHeight="1">
      <c r="C11" s="130" t="s">
        <v>193</v>
      </c>
      <c r="D11" s="124" t="s">
        <v>144</v>
      </c>
      <c r="E11" s="125">
        <v>2.0</v>
      </c>
      <c r="F11" s="124" t="s">
        <v>181</v>
      </c>
      <c r="G11" s="125" t="s">
        <v>185</v>
      </c>
    </row>
    <row r="12" ht="15.75" customHeight="1">
      <c r="C12" s="131" t="s">
        <v>194</v>
      </c>
      <c r="D12" s="124" t="s">
        <v>195</v>
      </c>
      <c r="E12" s="125">
        <v>2.0</v>
      </c>
      <c r="F12" s="124" t="s">
        <v>181</v>
      </c>
      <c r="G12" s="125" t="s">
        <v>185</v>
      </c>
    </row>
    <row r="13" ht="15.75" customHeight="1">
      <c r="C13" s="132" t="s">
        <v>196</v>
      </c>
      <c r="D13" s="124" t="s">
        <v>145</v>
      </c>
      <c r="E13" s="125">
        <v>4.0</v>
      </c>
      <c r="F13" s="124" t="s">
        <v>197</v>
      </c>
      <c r="G13" s="125" t="s">
        <v>194</v>
      </c>
    </row>
    <row r="14" ht="15.75" customHeight="1">
      <c r="C14" s="133" t="s">
        <v>198</v>
      </c>
      <c r="D14" s="124" t="s">
        <v>199</v>
      </c>
      <c r="E14" s="125">
        <v>6.0</v>
      </c>
      <c r="F14" s="124" t="s">
        <v>189</v>
      </c>
      <c r="G14" s="125" t="s">
        <v>187</v>
      </c>
    </row>
    <row r="15" ht="15.75" customHeight="1">
      <c r="C15" s="123" t="s">
        <v>200</v>
      </c>
      <c r="D15" s="124" t="s">
        <v>201</v>
      </c>
      <c r="E15" s="134">
        <v>5.0</v>
      </c>
      <c r="F15" s="124" t="s">
        <v>189</v>
      </c>
      <c r="G15" s="134" t="s">
        <v>193</v>
      </c>
    </row>
    <row r="16" ht="15.75" customHeight="1">
      <c r="C16" s="126" t="s">
        <v>202</v>
      </c>
      <c r="D16" s="124" t="s">
        <v>203</v>
      </c>
      <c r="E16" s="134">
        <v>2.0</v>
      </c>
      <c r="F16" s="124" t="s">
        <v>189</v>
      </c>
      <c r="G16" s="134" t="s">
        <v>194</v>
      </c>
    </row>
    <row r="17" ht="15.75" customHeight="1">
      <c r="C17" s="127" t="s">
        <v>204</v>
      </c>
      <c r="D17" s="124" t="s">
        <v>205</v>
      </c>
      <c r="E17" s="125">
        <v>2.0</v>
      </c>
      <c r="F17" s="124" t="s">
        <v>181</v>
      </c>
      <c r="G17" s="125" t="s">
        <v>185</v>
      </c>
    </row>
    <row r="18" ht="15.75" customHeight="1"/>
    <row r="19" ht="15.75" customHeight="1">
      <c r="A19" s="22"/>
      <c r="B19" s="23" t="s">
        <v>206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ht="15.75" customHeight="1"/>
    <row r="21" ht="15.75" customHeight="1">
      <c r="J21" s="135">
        <v>43742.0</v>
      </c>
      <c r="K21" s="136">
        <v>43743.0</v>
      </c>
      <c r="L21" s="136">
        <v>43744.0</v>
      </c>
      <c r="M21" s="136">
        <v>43745.0</v>
      </c>
      <c r="N21" s="135">
        <v>43746.0</v>
      </c>
      <c r="O21" s="136">
        <v>43747.0</v>
      </c>
      <c r="P21" s="135">
        <v>43748.0</v>
      </c>
      <c r="Q21" s="136">
        <v>43749.0</v>
      </c>
      <c r="R21" s="135">
        <v>43750.0</v>
      </c>
      <c r="S21" s="136">
        <v>43751.0</v>
      </c>
      <c r="T21" s="135">
        <v>43752.0</v>
      </c>
      <c r="U21" s="136">
        <v>43753.0</v>
      </c>
      <c r="V21" s="135">
        <v>43754.0</v>
      </c>
      <c r="W21" s="136">
        <v>43755.0</v>
      </c>
      <c r="X21" s="135">
        <v>43756.0</v>
      </c>
      <c r="Y21" s="135">
        <v>43757.0</v>
      </c>
      <c r="Z21" s="136">
        <v>43758.0</v>
      </c>
      <c r="AA21" s="135">
        <v>43759.0</v>
      </c>
      <c r="AB21" s="136">
        <v>43760.0</v>
      </c>
      <c r="AC21" s="135">
        <v>43761.0</v>
      </c>
      <c r="AD21" s="135">
        <v>43762.0</v>
      </c>
      <c r="AE21" s="136">
        <v>43763.0</v>
      </c>
      <c r="AF21" s="135">
        <v>43764.0</v>
      </c>
      <c r="AG21" s="135">
        <v>43765.0</v>
      </c>
      <c r="AH21" s="136">
        <v>43766.0</v>
      </c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</row>
    <row r="22" ht="15.75" customHeight="1">
      <c r="I22" s="138" t="s">
        <v>179</v>
      </c>
      <c r="K22" s="139"/>
      <c r="L22" s="139"/>
      <c r="M22" s="140" t="s">
        <v>207</v>
      </c>
      <c r="R22" s="141"/>
      <c r="S22" s="141"/>
      <c r="Y22" s="141"/>
      <c r="Z22" s="141"/>
      <c r="AF22" s="141"/>
      <c r="AG22" s="141"/>
    </row>
    <row r="23" ht="15.75" customHeight="1">
      <c r="I23" s="142" t="s">
        <v>183</v>
      </c>
      <c r="J23" s="143" t="s">
        <v>207</v>
      </c>
      <c r="K23" s="139"/>
      <c r="L23" s="139"/>
      <c r="R23" s="141"/>
      <c r="S23" s="141"/>
      <c r="Y23" s="141"/>
      <c r="Z23" s="141"/>
      <c r="AF23" s="141"/>
      <c r="AG23" s="141"/>
    </row>
    <row r="24" ht="15.75" customHeight="1">
      <c r="I24" s="144" t="s">
        <v>185</v>
      </c>
      <c r="K24" s="139"/>
      <c r="L24" s="139"/>
      <c r="N24" s="145" t="s">
        <v>207</v>
      </c>
      <c r="O24" s="146"/>
      <c r="R24" s="141"/>
      <c r="S24" s="141"/>
      <c r="Y24" s="141"/>
      <c r="Z24" s="141"/>
      <c r="AF24" s="141"/>
      <c r="AG24" s="141"/>
    </row>
    <row r="25" ht="15.75" customHeight="1">
      <c r="I25" s="147" t="s">
        <v>187</v>
      </c>
      <c r="K25" s="139"/>
      <c r="L25" s="139"/>
      <c r="M25" s="148" t="s">
        <v>208</v>
      </c>
      <c r="N25" s="149"/>
      <c r="O25" s="149"/>
      <c r="P25" s="150"/>
      <c r="Q25" s="151"/>
      <c r="R25" s="141"/>
      <c r="S25" s="141"/>
      <c r="Y25" s="141"/>
      <c r="Z25" s="141"/>
      <c r="AF25" s="141"/>
      <c r="AG25" s="141"/>
    </row>
    <row r="26" ht="15.75" customHeight="1">
      <c r="I26" s="152" t="s">
        <v>190</v>
      </c>
      <c r="K26" s="139"/>
      <c r="L26" s="139"/>
      <c r="P26" s="153" t="s">
        <v>209</v>
      </c>
      <c r="Q26" s="154"/>
      <c r="R26" s="141"/>
      <c r="S26" s="141"/>
      <c r="T26" s="155"/>
      <c r="U26" s="156"/>
      <c r="Y26" s="141"/>
      <c r="Z26" s="141"/>
      <c r="AF26" s="141"/>
      <c r="AG26" s="141"/>
    </row>
    <row r="27" ht="15.75" customHeight="1">
      <c r="I27" s="157" t="s">
        <v>193</v>
      </c>
      <c r="K27" s="139"/>
      <c r="L27" s="139"/>
      <c r="P27" s="158" t="s">
        <v>207</v>
      </c>
      <c r="Q27" s="159"/>
      <c r="R27" s="141"/>
      <c r="S27" s="141"/>
      <c r="Y27" s="141"/>
      <c r="Z27" s="141"/>
      <c r="AF27" s="141"/>
      <c r="AG27" s="141"/>
    </row>
    <row r="28" ht="15.75" customHeight="1">
      <c r="I28" s="160" t="s">
        <v>194</v>
      </c>
      <c r="K28" s="139"/>
      <c r="L28" s="139"/>
      <c r="R28" s="141"/>
      <c r="S28" s="141"/>
      <c r="T28" s="161" t="s">
        <v>207</v>
      </c>
      <c r="U28" s="162"/>
      <c r="Y28" s="141"/>
      <c r="Z28" s="141"/>
      <c r="AF28" s="141"/>
      <c r="AG28" s="141"/>
    </row>
    <row r="29" ht="15.75" customHeight="1">
      <c r="I29" s="163" t="s">
        <v>196</v>
      </c>
      <c r="K29" s="139"/>
      <c r="L29" s="139"/>
      <c r="R29" s="141"/>
      <c r="S29" s="141"/>
      <c r="V29" s="164" t="s">
        <v>210</v>
      </c>
      <c r="W29" s="165"/>
      <c r="X29" s="165"/>
      <c r="Y29" s="141"/>
      <c r="Z29" s="141"/>
      <c r="AA29" s="166"/>
      <c r="AF29" s="141"/>
      <c r="AG29" s="141"/>
    </row>
    <row r="30" ht="15.75" customHeight="1">
      <c r="I30" s="167" t="s">
        <v>198</v>
      </c>
      <c r="K30" s="139"/>
      <c r="L30" s="139"/>
      <c r="R30" s="141"/>
      <c r="S30" s="141"/>
      <c r="T30" s="168" t="s">
        <v>208</v>
      </c>
      <c r="U30" s="169"/>
      <c r="V30" s="170"/>
      <c r="W30" s="170"/>
      <c r="X30" s="170"/>
      <c r="Y30" s="141"/>
      <c r="Z30" s="141"/>
      <c r="AA30" s="171"/>
      <c r="AF30" s="141"/>
      <c r="AG30" s="141"/>
    </row>
    <row r="31" ht="15.75" customHeight="1">
      <c r="I31" s="138" t="s">
        <v>200</v>
      </c>
      <c r="K31" s="139"/>
      <c r="L31" s="139"/>
      <c r="R31" s="141"/>
      <c r="S31" s="141"/>
      <c r="Y31" s="141"/>
      <c r="Z31" s="141"/>
      <c r="AB31" s="172" t="s">
        <v>211</v>
      </c>
      <c r="AC31" s="173"/>
      <c r="AD31" s="174"/>
      <c r="AE31" s="174"/>
      <c r="AF31" s="141"/>
      <c r="AG31" s="141"/>
      <c r="AH31" s="175"/>
    </row>
    <row r="32" ht="15.75" customHeight="1">
      <c r="I32" s="142" t="s">
        <v>202</v>
      </c>
      <c r="K32" s="139"/>
      <c r="L32" s="139"/>
      <c r="R32" s="141"/>
      <c r="S32" s="141"/>
      <c r="Y32" s="141"/>
      <c r="Z32" s="141"/>
      <c r="AB32" s="176" t="s">
        <v>208</v>
      </c>
      <c r="AC32" s="177"/>
      <c r="AF32" s="141"/>
      <c r="AG32" s="141"/>
    </row>
    <row r="33" ht="15.75" customHeight="1">
      <c r="I33" s="144" t="s">
        <v>204</v>
      </c>
      <c r="K33" s="139"/>
      <c r="L33" s="139"/>
      <c r="R33" s="141"/>
      <c r="S33" s="141"/>
      <c r="Y33" s="141"/>
      <c r="Z33" s="141"/>
      <c r="AB33" s="145" t="s">
        <v>207</v>
      </c>
      <c r="AC33" s="146"/>
      <c r="AF33" s="141"/>
      <c r="AG33" s="14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