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ció temps i cost" sheetId="1" r:id="rId4"/>
    <sheet state="visible" name="Pla de fase" sheetId="2" r:id="rId5"/>
    <sheet state="visible" name="Diagram de Gantt" sheetId="3" r:id="rId6"/>
  </sheets>
  <definedNames/>
  <calcPr/>
</workbook>
</file>

<file path=xl/sharedStrings.xml><?xml version="1.0" encoding="utf-8"?>
<sst xmlns="http://schemas.openxmlformats.org/spreadsheetml/2006/main" count="381" uniqueCount="160">
  <si>
    <t>ComunitApp</t>
  </si>
  <si>
    <t>UCP</t>
  </si>
  <si>
    <t>laborables/mes (descontant festius i vacances)</t>
  </si>
  <si>
    <t>PF</t>
  </si>
  <si>
    <t>TEMPS ESFORÇ</t>
  </si>
  <si>
    <t>hores</t>
  </si>
  <si>
    <t>jornades feina</t>
  </si>
  <si>
    <t>mesos</t>
  </si>
  <si>
    <t>anys (sense paral·lelitzar)</t>
  </si>
  <si>
    <t xml:space="preserve">UUCW </t>
  </si>
  <si>
    <t>UAW</t>
  </si>
  <si>
    <t>TCF</t>
  </si>
  <si>
    <t>ECF</t>
  </si>
  <si>
    <t>Casos d'ús</t>
  </si>
  <si>
    <t>Complexitat</t>
  </si>
  <si>
    <t>Pes</t>
  </si>
  <si>
    <t>Actors</t>
  </si>
  <si>
    <t>Tipus</t>
  </si>
  <si>
    <t>Prioritat</t>
  </si>
  <si>
    <t>(Pes*Prioritat)/100</t>
  </si>
  <si>
    <t>Avaluació</t>
  </si>
  <si>
    <t>Pes*Avaluació</t>
  </si>
  <si>
    <t>Iniciar sessió</t>
  </si>
  <si>
    <t>Simple</t>
  </si>
  <si>
    <t>Usuari</t>
  </si>
  <si>
    <t>Complex</t>
  </si>
  <si>
    <t>Distributed Systems</t>
  </si>
  <si>
    <t>Familiarity with UP</t>
  </si>
  <si>
    <t>Tancar sessió</t>
  </si>
  <si>
    <t>Padró Municiapal (API)</t>
  </si>
  <si>
    <t>Performance</t>
  </si>
  <si>
    <t>Part-Time Workers</t>
  </si>
  <si>
    <t>Crear usuari</t>
  </si>
  <si>
    <t>Mig</t>
  </si>
  <si>
    <t>Stripe (Pagaments)</t>
  </si>
  <si>
    <t>End User Efficiency</t>
  </si>
  <si>
    <t>Analyst Capability</t>
  </si>
  <si>
    <t>Eliminar compte</t>
  </si>
  <si>
    <t>Login Apple</t>
  </si>
  <si>
    <t>Complex Internal Processing</t>
  </si>
  <si>
    <t>Application Experience</t>
  </si>
  <si>
    <t>Canviar la contrasenya</t>
  </si>
  <si>
    <t>Gmail (API)</t>
  </si>
  <si>
    <t>Reusability</t>
  </si>
  <si>
    <t>Object-Oriented Experience</t>
  </si>
  <si>
    <t>Contrasenya oblidada</t>
  </si>
  <si>
    <t>Login Facebook</t>
  </si>
  <si>
    <t>Easy to Install</t>
  </si>
  <si>
    <t>Motivation</t>
  </si>
  <si>
    <t>Crear oferta</t>
  </si>
  <si>
    <t>Easy to Use</t>
  </si>
  <si>
    <t>Difficult Programming Language</t>
  </si>
  <si>
    <t>Aplicar oferta</t>
  </si>
  <si>
    <t>Portability</t>
  </si>
  <si>
    <t>Stable Requirements</t>
  </si>
  <si>
    <t>Modificar oferta</t>
  </si>
  <si>
    <t>Easy to change</t>
  </si>
  <si>
    <t>Eliminar oferta</t>
  </si>
  <si>
    <t>Concurrency</t>
  </si>
  <si>
    <t>Guardar oferta</t>
  </si>
  <si>
    <t>Special Security Features</t>
  </si>
  <si>
    <t>Notificar oferta</t>
  </si>
  <si>
    <t>Provides Direct Acces for Third Parties</t>
  </si>
  <si>
    <t>Buscar oferta</t>
  </si>
  <si>
    <t>Special User Training Facilities Are Rquired</t>
  </si>
  <si>
    <t>Filtrar oferta</t>
  </si>
  <si>
    <t>Mostrar perfil</t>
  </si>
  <si>
    <t>Enviar missatges</t>
  </si>
  <si>
    <t>Valorar ofertant</t>
  </si>
  <si>
    <t>Valorar treballador</t>
  </si>
  <si>
    <t>Mostrar historial</t>
  </si>
  <si>
    <t>Modificar configuracions</t>
  </si>
  <si>
    <t>Sol·licitar ajuda</t>
  </si>
  <si>
    <t xml:space="preserve">Modificar perfil </t>
  </si>
  <si>
    <t>PRESSUPOST</t>
  </si>
  <si>
    <t>Rol</t>
  </si>
  <si>
    <t>Inception</t>
  </si>
  <si>
    <t>Elaboration</t>
  </si>
  <si>
    <t>Construction</t>
  </si>
  <si>
    <t>Transition</t>
  </si>
  <si>
    <t>Gestor de projecte</t>
  </si>
  <si>
    <t>Programador senior</t>
  </si>
  <si>
    <t>Arquitecte de SW</t>
  </si>
  <si>
    <t>Enginyer de Requisits</t>
  </si>
  <si>
    <t>Programador júnior</t>
  </si>
  <si>
    <t>Tester</t>
  </si>
  <si>
    <t>Effort</t>
  </si>
  <si>
    <t xml:space="preserve">Cost per hora </t>
  </si>
  <si>
    <t>Persones</t>
  </si>
  <si>
    <t>Esforç</t>
  </si>
  <si>
    <t>Hores/Carrec</t>
  </si>
  <si>
    <t>Hores/Persona</t>
  </si>
  <si>
    <t>Cost/Carrec</t>
  </si>
  <si>
    <t>Cost/Persona</t>
  </si>
  <si>
    <t>Jornades laborals per càrrec i persona (8 hores)</t>
  </si>
  <si>
    <t>SS</t>
  </si>
  <si>
    <t>Euros fixes</t>
  </si>
  <si>
    <t>Cost/Persona + SS + Euros fixes</t>
  </si>
  <si>
    <t>Despeses estructurals(15%)</t>
  </si>
  <si>
    <t>Total brut/persona</t>
  </si>
  <si>
    <t>Total brut/carrec</t>
  </si>
  <si>
    <t>Suma total</t>
  </si>
  <si>
    <t>Benefici(25%)</t>
  </si>
  <si>
    <t>Contingències(10%)</t>
  </si>
  <si>
    <t>Pressupost final</t>
  </si>
  <si>
    <t>PLA DE FASE</t>
  </si>
  <si>
    <t>Fase</t>
  </si>
  <si>
    <t>Iteració</t>
  </si>
  <si>
    <t>Objectius principals</t>
  </si>
  <si>
    <t>Data Inici</t>
  </si>
  <si>
    <t>Data Fi</t>
  </si>
  <si>
    <t>Staff (hores mitjana/pers)</t>
  </si>
  <si>
    <t>Esbossat</t>
  </si>
  <si>
    <t>Complet</t>
  </si>
  <si>
    <t>I1</t>
  </si>
  <si>
    <t>Definir la idea de negoci conjunta</t>
  </si>
  <si>
    <t>Analitzat</t>
  </si>
  <si>
    <t>Establir la magnitud geogràfica del projecte</t>
  </si>
  <si>
    <t>Refinat</t>
  </si>
  <si>
    <t>Triar l'arquitectura pel software</t>
  </si>
  <si>
    <t>Identificat</t>
  </si>
  <si>
    <t>Determinar els requisits del negoci</t>
  </si>
  <si>
    <t>Crear el pla de desenvolupament de software</t>
  </si>
  <si>
    <t>E1</t>
  </si>
  <si>
    <t>Validar detalls de la arquitectura</t>
  </si>
  <si>
    <t>Planificar i determinar la prioritat dels requisits</t>
  </si>
  <si>
    <t>Implementar casos d'ús prioritaris</t>
  </si>
  <si>
    <t>E2</t>
  </si>
  <si>
    <t>Mitigar riscos detectats</t>
  </si>
  <si>
    <t>Documentar els casos d'ús</t>
  </si>
  <si>
    <t>Implementar alguns casos d'ús addicionals</t>
  </si>
  <si>
    <t>C1</t>
  </si>
  <si>
    <t>Explorar els casos d’ús a implementar</t>
  </si>
  <si>
    <t>Plantejar nous requisits i casos d'ús emergents</t>
  </si>
  <si>
    <t>Implementar els casos d’ús per prioritat</t>
  </si>
  <si>
    <t>Validar les funcionalitats implementades</t>
  </si>
  <si>
    <t>Provar l'estat de la integració del producte</t>
  </si>
  <si>
    <t>C2</t>
  </si>
  <si>
    <t>C3</t>
  </si>
  <si>
    <t>Estat de cas d'ús</t>
  </si>
  <si>
    <t>Obtenir la versió beta del software</t>
  </si>
  <si>
    <t>Idenficat</t>
  </si>
  <si>
    <t>T1</t>
  </si>
  <si>
    <t>Desplegar la versió beta en fase de prova</t>
  </si>
  <si>
    <t>Obtenir i processar feedback</t>
  </si>
  <si>
    <t>Mitigar els problemes detectats al feedback</t>
  </si>
  <si>
    <t>Entrega a client</t>
  </si>
  <si>
    <t>Temps Esforç del Projecte
(sense paral·lelitzar)</t>
  </si>
  <si>
    <t>anys</t>
  </si>
  <si>
    <t>Hores Per Càrreg i Fase</t>
  </si>
  <si>
    <t>Effort (hores)</t>
  </si>
  <si>
    <t>Hores Per Persona i Fase</t>
  </si>
  <si>
    <t>Dates Límit per Fases</t>
  </si>
  <si>
    <t>Susposem l'inici del projecte el dia 10 de Novembre</t>
  </si>
  <si>
    <t>Jornades Feina de 8h</t>
  </si>
  <si>
    <t>jornades</t>
  </si>
  <si>
    <t>Data Límit</t>
  </si>
  <si>
    <t>Schedule</t>
  </si>
  <si>
    <t>Schedule (hores)</t>
  </si>
  <si>
    <t>Temps Esforç del Projecte
(definitiu)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</si>
</sst>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0\ &quot;€&quot;"/>
    <numFmt numFmtId="166" formatCode="#,##0.00&quot;€&quot;"/>
    <numFmt numFmtId="167" formatCode="dd/MM/yyyy"/>
    <numFmt numFmtId="168" formatCode="0.0000"/>
    <numFmt numFmtId="169" formatCode="d/m/yyyy"/>
  </numFmts>
  <fonts count="15">
    <font>
      <sz val="10.0"/>
      <color rgb="FF000000"/>
      <name val="Arial"/>
      <scheme val="minor"/>
    </font>
    <font>
      <b/>
      <sz val="17.0"/>
      <color rgb="FFFF637D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Calibri"/>
    </font>
    <font>
      <color theme="1"/>
      <name val="Arial"/>
    </font>
    <font>
      <b/>
      <color rgb="FF000000"/>
      <name val="Calibri"/>
    </font>
    <font>
      <b/>
      <color rgb="FFFFFFFF"/>
      <name val="Calibri"/>
    </font>
    <font>
      <color rgb="FFFFFFFF"/>
      <name val="Calibri"/>
    </font>
    <font>
      <color rgb="FF000000"/>
      <name val="Calibri"/>
    </font>
    <font/>
    <font>
      <b/>
      <color rgb="FFFF0000"/>
      <name val="Arial"/>
      <scheme val="minor"/>
    </font>
    <font>
      <b/>
      <sz val="10.0"/>
      <color rgb="FFFF637D"/>
      <name val="Arial"/>
      <scheme val="minor"/>
    </font>
    <font>
      <b/>
      <color rgb="FFFF637D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EAF2E3"/>
        <bgColor rgb="FFEAF2E3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theme="9"/>
        <bgColor theme="9"/>
      </patternFill>
    </fill>
    <fill>
      <patternFill patternType="solid">
        <fgColor rgb="FF351C75"/>
        <bgColor rgb="FF351C75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741B47"/>
        <bgColor rgb="FF741B47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4" xfId="0" applyFont="1" applyNumberFormat="1"/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9" xfId="0" applyFont="1" applyNumberFormat="1"/>
    <xf borderId="0" fillId="0" fontId="3" numFmtId="10" xfId="0" applyAlignment="1" applyFont="1" applyNumberFormat="1">
      <alignment readingOrder="0"/>
    </xf>
    <xf borderId="0" fillId="0" fontId="5" numFmtId="165" xfId="0" applyAlignment="1" applyFont="1" applyNumberFormat="1">
      <alignment horizontal="right" vertical="bottom"/>
    </xf>
    <xf borderId="0" fillId="3" fontId="5" numFmtId="0" xfId="0" applyAlignment="1" applyFill="1" applyFont="1">
      <alignment horizontal="right" readingOrder="0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3" fontId="5" numFmtId="4" xfId="0" applyAlignment="1" applyFont="1" applyNumberFormat="1">
      <alignment horizontal="right" vertical="bottom"/>
    </xf>
    <xf borderId="0" fillId="3" fontId="5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3" fontId="5" numFmtId="166" xfId="0" applyAlignment="1" applyFont="1" applyNumberFormat="1">
      <alignment horizontal="right" readingOrder="0" vertical="bottom"/>
    </xf>
    <xf borderId="0" fillId="3" fontId="5" numFmtId="166" xfId="0" applyAlignment="1" applyFont="1" applyNumberFormat="1">
      <alignment horizontal="right" vertical="bottom"/>
    </xf>
    <xf borderId="0" fillId="2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1" fillId="4" fontId="8" numFmtId="0" xfId="0" applyAlignment="1" applyBorder="1" applyFill="1" applyFont="1">
      <alignment horizontal="center" readingOrder="0" shrinkToFit="0" wrapText="0"/>
    </xf>
    <xf borderId="1" fillId="5" fontId="9" numFmtId="0" xfId="0" applyAlignment="1" applyBorder="1" applyFill="1" applyFont="1">
      <alignment horizontal="center" readingOrder="0" shrinkToFit="0" wrapText="0"/>
    </xf>
    <xf borderId="2" fillId="6" fontId="10" numFmtId="0" xfId="0" applyAlignment="1" applyBorder="1" applyFill="1" applyFont="1">
      <alignment readingOrder="0" shrinkToFit="0" vertical="bottom" wrapText="0"/>
    </xf>
    <xf borderId="1" fillId="7" fontId="10" numFmtId="167" xfId="0" applyAlignment="1" applyBorder="1" applyFill="1" applyFont="1" applyNumberFormat="1">
      <alignment horizontal="center" readingOrder="0" shrinkToFit="0" wrapText="0"/>
    </xf>
    <xf borderId="1" fillId="8" fontId="10" numFmtId="4" xfId="0" applyAlignment="1" applyBorder="1" applyFill="1" applyFont="1" applyNumberFormat="1">
      <alignment horizontal="center" readingOrder="0" shrinkToFit="0" wrapText="0"/>
    </xf>
    <xf borderId="3" fillId="0" fontId="11" numFmtId="0" xfId="0" applyBorder="1" applyFont="1"/>
    <xf borderId="4" fillId="6" fontId="10" numFmtId="0" xfId="0" applyAlignment="1" applyBorder="1" applyFont="1">
      <alignment readingOrder="0" shrinkToFit="0" vertical="bottom" wrapText="0"/>
    </xf>
    <xf borderId="5" fillId="0" fontId="11" numFmtId="0" xfId="0" applyBorder="1" applyFont="1"/>
    <xf borderId="6" fillId="6" fontId="10" numFmtId="0" xfId="0" applyAlignment="1" applyBorder="1" applyFont="1">
      <alignment readingOrder="0" shrinkToFit="0" vertical="bottom" wrapText="0"/>
    </xf>
    <xf borderId="1" fillId="9" fontId="8" numFmtId="0" xfId="0" applyAlignment="1" applyBorder="1" applyFill="1" applyFont="1">
      <alignment horizontal="center" readingOrder="0" shrinkToFit="0" wrapText="0"/>
    </xf>
    <xf borderId="1" fillId="10" fontId="9" numFmtId="0" xfId="0" applyAlignment="1" applyBorder="1" applyFill="1" applyFont="1">
      <alignment horizontal="center" readingOrder="0" shrinkToFit="0" wrapText="0"/>
    </xf>
    <xf borderId="2" fillId="11" fontId="10" numFmtId="0" xfId="0" applyAlignment="1" applyBorder="1" applyFill="1" applyFont="1">
      <alignment readingOrder="0" shrinkToFit="0" vertical="bottom" wrapText="0"/>
    </xf>
    <xf borderId="1" fillId="12" fontId="10" numFmtId="167" xfId="0" applyAlignment="1" applyBorder="1" applyFill="1" applyFont="1" applyNumberFormat="1">
      <alignment horizontal="center" readingOrder="0" shrinkToFit="0" wrapText="0"/>
    </xf>
    <xf borderId="1" fillId="13" fontId="10" numFmtId="4" xfId="0" applyAlignment="1" applyBorder="1" applyFill="1" applyFont="1" applyNumberFormat="1">
      <alignment horizontal="center" readingOrder="0" shrinkToFit="0" wrapText="0"/>
    </xf>
    <xf borderId="4" fillId="11" fontId="10" numFmtId="0" xfId="0" applyAlignment="1" applyBorder="1" applyFont="1">
      <alignment readingOrder="0" shrinkToFit="0" vertical="bottom" wrapText="0"/>
    </xf>
    <xf borderId="6" fillId="11" fontId="10" numFmtId="0" xfId="0" applyAlignment="1" applyBorder="1" applyFont="1">
      <alignment readingOrder="0" shrinkToFit="0" vertical="bottom" wrapText="0"/>
    </xf>
    <xf borderId="1" fillId="14" fontId="8" numFmtId="0" xfId="0" applyAlignment="1" applyBorder="1" applyFill="1" applyFont="1">
      <alignment horizontal="center" readingOrder="0" shrinkToFit="0" wrapText="0"/>
    </xf>
    <xf borderId="1" fillId="15" fontId="9" numFmtId="0" xfId="0" applyAlignment="1" applyBorder="1" applyFill="1" applyFont="1">
      <alignment horizontal="center" readingOrder="0" shrinkToFit="0" wrapText="0"/>
    </xf>
    <xf borderId="2" fillId="16" fontId="10" numFmtId="0" xfId="0" applyAlignment="1" applyBorder="1" applyFill="1" applyFont="1">
      <alignment readingOrder="0" shrinkToFit="0" vertical="bottom" wrapText="0"/>
    </xf>
    <xf borderId="1" fillId="17" fontId="10" numFmtId="167" xfId="0" applyAlignment="1" applyBorder="1" applyFill="1" applyFont="1" applyNumberFormat="1">
      <alignment horizontal="center" readingOrder="0" shrinkToFit="0" wrapText="0"/>
    </xf>
    <xf borderId="1" fillId="18" fontId="10" numFmtId="4" xfId="0" applyAlignment="1" applyBorder="1" applyFill="1" applyFont="1" applyNumberFormat="1">
      <alignment horizontal="center" readingOrder="0" shrinkToFit="0" wrapText="0"/>
    </xf>
    <xf borderId="4" fillId="16" fontId="10" numFmtId="0" xfId="0" applyAlignment="1" applyBorder="1" applyFont="1">
      <alignment readingOrder="0" shrinkToFit="0" vertical="bottom" wrapText="0"/>
    </xf>
    <xf borderId="6" fillId="16" fontId="10" numFmtId="0" xfId="0" applyAlignment="1" applyBorder="1" applyFont="1">
      <alignment readingOrder="0" shrinkToFit="0" vertical="bottom" wrapText="0"/>
    </xf>
    <xf borderId="1" fillId="16" fontId="5" numFmtId="0" xfId="0" applyAlignment="1" applyBorder="1" applyFont="1">
      <alignment vertical="bottom"/>
    </xf>
    <xf borderId="3" fillId="16" fontId="5" numFmtId="0" xfId="0" applyAlignment="1" applyBorder="1" applyFont="1">
      <alignment vertical="bottom"/>
    </xf>
    <xf borderId="5" fillId="16" fontId="5" numFmtId="0" xfId="0" applyAlignment="1" applyBorder="1" applyFont="1">
      <alignment readingOrder="0" vertical="bottom"/>
    </xf>
    <xf borderId="3" fillId="16" fontId="5" numFmtId="0" xfId="0" applyAlignment="1" applyBorder="1" applyFont="1">
      <alignment readingOrder="0" vertical="bottom"/>
    </xf>
    <xf borderId="0" fillId="19" fontId="2" numFmtId="0" xfId="0" applyAlignment="1" applyFill="1" applyFont="1">
      <alignment readingOrder="0"/>
    </xf>
    <xf borderId="0" fillId="4" fontId="8" numFmtId="0" xfId="0" applyAlignment="1" applyFont="1">
      <alignment horizontal="center" vertical="bottom"/>
    </xf>
    <xf borderId="0" fillId="9" fontId="8" numFmtId="0" xfId="0" applyAlignment="1" applyFont="1">
      <alignment horizontal="center" vertical="bottom"/>
    </xf>
    <xf borderId="0" fillId="14" fontId="8" numFmtId="0" xfId="0" applyAlignment="1" applyFont="1">
      <alignment horizontal="center" vertical="bottom"/>
    </xf>
    <xf borderId="0" fillId="20" fontId="8" numFmtId="0" xfId="0" applyAlignment="1" applyFill="1" applyFont="1">
      <alignment horizontal="center" vertical="bottom"/>
    </xf>
    <xf borderId="0" fillId="21" fontId="5" numFmtId="10" xfId="0" applyAlignment="1" applyFill="1" applyFont="1" applyNumberFormat="1">
      <alignment horizontal="right" vertical="bottom"/>
    </xf>
    <xf borderId="1" fillId="20" fontId="8" numFmtId="0" xfId="0" applyAlignment="1" applyBorder="1" applyFont="1">
      <alignment horizontal="center" readingOrder="0" shrinkToFit="0" wrapText="0"/>
    </xf>
    <xf borderId="1" fillId="22" fontId="9" numFmtId="0" xfId="0" applyAlignment="1" applyBorder="1" applyFill="1" applyFont="1">
      <alignment horizontal="center" readingOrder="0" shrinkToFit="0" wrapText="0"/>
    </xf>
    <xf borderId="1" fillId="23" fontId="10" numFmtId="0" xfId="0" applyAlignment="1" applyBorder="1" applyFill="1" applyFont="1">
      <alignment readingOrder="0" shrinkToFit="0" vertical="bottom" wrapText="0"/>
    </xf>
    <xf borderId="1" fillId="24" fontId="10" numFmtId="167" xfId="0" applyAlignment="1" applyBorder="1" applyFill="1" applyFont="1" applyNumberFormat="1">
      <alignment horizontal="center" readingOrder="0" shrinkToFit="0" wrapText="0"/>
    </xf>
    <xf borderId="1" fillId="25" fontId="10" numFmtId="4" xfId="0" applyAlignment="1" applyBorder="1" applyFill="1" applyFont="1" applyNumberFormat="1">
      <alignment horizontal="center" readingOrder="0" shrinkToFit="0" wrapText="0"/>
    </xf>
    <xf borderId="3" fillId="23" fontId="10" numFmtId="0" xfId="0" applyAlignment="1" applyBorder="1" applyFont="1">
      <alignment readingOrder="0" shrinkToFit="0" vertical="bottom" wrapText="0"/>
    </xf>
    <xf borderId="5" fillId="23" fontId="10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3" numFmtId="0" xfId="0" applyFont="1"/>
    <xf borderId="0" fillId="2" fontId="2" numFmtId="10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2" fontId="2" numFmtId="4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2" fontId="14" numFmtId="0" xfId="0" applyAlignment="1" applyFont="1">
      <alignment readingOrder="0" vertical="bottom"/>
    </xf>
    <xf borderId="0" fillId="2" fontId="6" numFmtId="4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6" numFmtId="168" xfId="0" applyAlignment="1" applyFont="1" applyNumberFormat="1">
      <alignment horizontal="right" vertical="bottom"/>
    </xf>
    <xf borderId="0" fillId="6" fontId="3" numFmtId="169" xfId="0" applyAlignment="1" applyFont="1" applyNumberFormat="1">
      <alignment horizontal="center" readingOrder="0"/>
    </xf>
    <xf borderId="0" fillId="12" fontId="3" numFmtId="0" xfId="0" applyFont="1"/>
    <xf borderId="0" fillId="26" fontId="3" numFmtId="0" xfId="0" applyFill="1" applyFont="1"/>
    <xf borderId="0" fillId="27" fontId="3" numFmtId="0" xfId="0" applyFill="1" applyFont="1"/>
    <xf borderId="0" fillId="22" fontId="3" numFmtId="0" xfId="0" applyFont="1"/>
    <xf borderId="0" fillId="28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88"/>
    <col customWidth="1" min="4" max="4" width="14.25"/>
    <col customWidth="1" min="6" max="6" width="17.88"/>
    <col customWidth="1" min="10" max="10" width="36.63"/>
    <col customWidth="1" min="13" max="13" width="14.75"/>
    <col customWidth="1" min="15" max="15" width="25.13"/>
    <col customWidth="1" min="17" max="17" width="14.88"/>
  </cols>
  <sheetData>
    <row r="3">
      <c r="B3" s="1" t="s">
        <v>0</v>
      </c>
      <c r="D3" s="2" t="s">
        <v>1</v>
      </c>
      <c r="E3" s="3">
        <f>(C7+G7)*K7*P7</f>
        <v>267.785375</v>
      </c>
      <c r="I3" s="4">
        <f>218/12</f>
        <v>18.16666667</v>
      </c>
      <c r="J3" s="4" t="s">
        <v>2</v>
      </c>
    </row>
    <row r="4">
      <c r="D4" s="2" t="s">
        <v>3</v>
      </c>
      <c r="E4" s="2">
        <v>20.0</v>
      </c>
    </row>
    <row r="5">
      <c r="D5" s="2" t="s">
        <v>4</v>
      </c>
      <c r="E5" s="2">
        <f>E3*E4</f>
        <v>5355.7075</v>
      </c>
      <c r="F5" s="4" t="s">
        <v>5</v>
      </c>
      <c r="G5" s="5">
        <f>E5/8</f>
        <v>669.4634375</v>
      </c>
      <c r="H5" s="4" t="s">
        <v>6</v>
      </c>
      <c r="I5" s="5">
        <f>G5/18</f>
        <v>37.19241319</v>
      </c>
      <c r="J5" s="4" t="s">
        <v>7</v>
      </c>
      <c r="K5" s="5">
        <f>I5/12</f>
        <v>3.099367766</v>
      </c>
      <c r="L5" s="4" t="s">
        <v>8</v>
      </c>
    </row>
    <row r="7">
      <c r="B7" s="6" t="s">
        <v>9</v>
      </c>
      <c r="C7" s="7">
        <f>SUM(D9:D30)</f>
        <v>135</v>
      </c>
      <c r="D7" s="3"/>
      <c r="E7" s="4"/>
      <c r="F7" s="6" t="s">
        <v>10</v>
      </c>
      <c r="G7" s="6">
        <f>SUM(H9:H14)</f>
        <v>8</v>
      </c>
      <c r="H7" s="3"/>
      <c r="J7" s="6" t="s">
        <v>11</v>
      </c>
      <c r="K7" s="8">
        <f>0.6+SUM(M9:M21)</f>
        <v>1.055</v>
      </c>
      <c r="L7" s="3"/>
      <c r="M7" s="3"/>
      <c r="O7" s="6" t="s">
        <v>12</v>
      </c>
      <c r="P7" s="7">
        <f>1.4+0.03*SUM(R10:R16)</f>
        <v>1.775</v>
      </c>
      <c r="Q7" s="3"/>
      <c r="R7" s="3"/>
    </row>
    <row r="8">
      <c r="B8" s="6" t="s">
        <v>13</v>
      </c>
      <c r="C8" s="6" t="s">
        <v>14</v>
      </c>
      <c r="D8" s="6" t="s">
        <v>15</v>
      </c>
      <c r="F8" s="6" t="s">
        <v>16</v>
      </c>
      <c r="G8" s="6" t="s">
        <v>14</v>
      </c>
      <c r="H8" s="6" t="s">
        <v>15</v>
      </c>
      <c r="J8" s="6" t="s">
        <v>17</v>
      </c>
      <c r="K8" s="6" t="s">
        <v>15</v>
      </c>
      <c r="L8" s="6" t="s">
        <v>18</v>
      </c>
      <c r="M8" s="6" t="s">
        <v>19</v>
      </c>
      <c r="O8" s="6" t="s">
        <v>17</v>
      </c>
      <c r="P8" s="6" t="s">
        <v>15</v>
      </c>
      <c r="Q8" s="6" t="s">
        <v>20</v>
      </c>
      <c r="R8" s="6" t="s">
        <v>21</v>
      </c>
    </row>
    <row r="9">
      <c r="B9" s="4" t="s">
        <v>22</v>
      </c>
      <c r="C9" s="4" t="s">
        <v>23</v>
      </c>
      <c r="D9" s="9">
        <f t="shared" ref="D9:D30" si="1">IF(C9 = "Simple",5, IF(C9 = "Mig", 10, IF(C9 = "Complex", 15, 0)))</f>
        <v>5</v>
      </c>
      <c r="F9" s="4" t="s">
        <v>24</v>
      </c>
      <c r="G9" s="4" t="s">
        <v>25</v>
      </c>
      <c r="H9" s="5">
        <f t="shared" ref="H9:H14" si="2">IF(G9 = "Simple",1, IF(G9 = "Mig", 2, IF(G9 = "Complex", 3, 0)))</f>
        <v>3</v>
      </c>
      <c r="J9" s="4" t="s">
        <v>26</v>
      </c>
      <c r="K9" s="4">
        <v>2.0</v>
      </c>
      <c r="L9" s="4">
        <v>4.0</v>
      </c>
      <c r="M9" s="10">
        <f t="shared" ref="M9:M21" si="3">(K9*L9)/100</f>
        <v>0.08</v>
      </c>
      <c r="O9" s="4" t="s">
        <v>27</v>
      </c>
      <c r="P9" s="4">
        <v>1.5</v>
      </c>
      <c r="Q9" s="4">
        <v>1.0</v>
      </c>
      <c r="R9" s="5">
        <f t="shared" ref="R9:R16" si="4">P9*Q9</f>
        <v>1.5</v>
      </c>
    </row>
    <row r="10">
      <c r="B10" s="4" t="s">
        <v>28</v>
      </c>
      <c r="C10" s="4" t="s">
        <v>23</v>
      </c>
      <c r="D10" s="9">
        <f t="shared" si="1"/>
        <v>5</v>
      </c>
      <c r="F10" s="4" t="s">
        <v>29</v>
      </c>
      <c r="G10" s="4" t="s">
        <v>23</v>
      </c>
      <c r="H10" s="5">
        <f t="shared" si="2"/>
        <v>1</v>
      </c>
      <c r="J10" s="4" t="s">
        <v>30</v>
      </c>
      <c r="K10" s="4">
        <v>1.0</v>
      </c>
      <c r="L10" s="4">
        <v>3.0</v>
      </c>
      <c r="M10" s="10">
        <f t="shared" si="3"/>
        <v>0.03</v>
      </c>
      <c r="O10" s="4" t="s">
        <v>31</v>
      </c>
      <c r="P10" s="4">
        <v>-1.0</v>
      </c>
      <c r="Q10" s="4">
        <v>0.0</v>
      </c>
      <c r="R10" s="5">
        <f t="shared" si="4"/>
        <v>0</v>
      </c>
    </row>
    <row r="11">
      <c r="B11" s="4" t="s">
        <v>32</v>
      </c>
      <c r="C11" s="4" t="s">
        <v>33</v>
      </c>
      <c r="D11" s="9">
        <f t="shared" si="1"/>
        <v>10</v>
      </c>
      <c r="F11" s="4" t="s">
        <v>34</v>
      </c>
      <c r="G11" s="4" t="s">
        <v>23</v>
      </c>
      <c r="H11" s="5">
        <f t="shared" si="2"/>
        <v>1</v>
      </c>
      <c r="J11" s="4" t="s">
        <v>35</v>
      </c>
      <c r="K11" s="4">
        <v>1.0</v>
      </c>
      <c r="L11" s="4">
        <v>4.0</v>
      </c>
      <c r="M11" s="10">
        <f t="shared" si="3"/>
        <v>0.04</v>
      </c>
      <c r="O11" s="4" t="s">
        <v>36</v>
      </c>
      <c r="P11" s="4">
        <v>0.5</v>
      </c>
      <c r="Q11" s="4">
        <v>3.0</v>
      </c>
      <c r="R11" s="5">
        <f t="shared" si="4"/>
        <v>1.5</v>
      </c>
    </row>
    <row r="12">
      <c r="B12" s="4" t="s">
        <v>37</v>
      </c>
      <c r="C12" s="4" t="s">
        <v>23</v>
      </c>
      <c r="D12" s="9">
        <f t="shared" si="1"/>
        <v>5</v>
      </c>
      <c r="F12" s="4" t="s">
        <v>38</v>
      </c>
      <c r="G12" s="4" t="s">
        <v>23</v>
      </c>
      <c r="H12" s="5">
        <f t="shared" si="2"/>
        <v>1</v>
      </c>
      <c r="J12" s="4" t="s">
        <v>39</v>
      </c>
      <c r="K12" s="4">
        <v>1.0</v>
      </c>
      <c r="L12" s="4">
        <v>2.0</v>
      </c>
      <c r="M12" s="10">
        <f t="shared" si="3"/>
        <v>0.02</v>
      </c>
      <c r="O12" s="4" t="s">
        <v>40</v>
      </c>
      <c r="P12" s="4">
        <v>0.5</v>
      </c>
      <c r="Q12" s="4">
        <v>4.0</v>
      </c>
      <c r="R12" s="5">
        <f t="shared" si="4"/>
        <v>2</v>
      </c>
    </row>
    <row r="13">
      <c r="B13" s="4" t="s">
        <v>41</v>
      </c>
      <c r="C13" s="4" t="s">
        <v>23</v>
      </c>
      <c r="D13" s="9">
        <f t="shared" si="1"/>
        <v>5</v>
      </c>
      <c r="F13" s="4" t="s">
        <v>42</v>
      </c>
      <c r="G13" s="4" t="s">
        <v>23</v>
      </c>
      <c r="H13" s="5">
        <f t="shared" si="2"/>
        <v>1</v>
      </c>
      <c r="J13" s="4" t="s">
        <v>43</v>
      </c>
      <c r="K13" s="4">
        <v>1.0</v>
      </c>
      <c r="L13" s="4">
        <v>3.0</v>
      </c>
      <c r="M13" s="10">
        <f t="shared" si="3"/>
        <v>0.03</v>
      </c>
      <c r="O13" s="4" t="s">
        <v>44</v>
      </c>
      <c r="P13" s="4">
        <v>1.0</v>
      </c>
      <c r="Q13" s="4">
        <v>3.0</v>
      </c>
      <c r="R13" s="5">
        <f t="shared" si="4"/>
        <v>3</v>
      </c>
    </row>
    <row r="14">
      <c r="B14" s="4" t="s">
        <v>45</v>
      </c>
      <c r="C14" s="4" t="s">
        <v>33</v>
      </c>
      <c r="D14" s="9">
        <f t="shared" si="1"/>
        <v>10</v>
      </c>
      <c r="F14" s="4" t="s">
        <v>46</v>
      </c>
      <c r="G14" s="4" t="s">
        <v>23</v>
      </c>
      <c r="H14" s="5">
        <f t="shared" si="2"/>
        <v>1</v>
      </c>
      <c r="J14" s="4" t="s">
        <v>47</v>
      </c>
      <c r="K14" s="4">
        <v>0.5</v>
      </c>
      <c r="L14" s="4">
        <v>4.0</v>
      </c>
      <c r="M14" s="10">
        <f t="shared" si="3"/>
        <v>0.02</v>
      </c>
      <c r="O14" s="4" t="s">
        <v>48</v>
      </c>
      <c r="P14" s="4">
        <v>1.0</v>
      </c>
      <c r="Q14" s="4">
        <v>4.0</v>
      </c>
      <c r="R14" s="5">
        <f t="shared" si="4"/>
        <v>4</v>
      </c>
    </row>
    <row r="15">
      <c r="B15" s="4" t="s">
        <v>49</v>
      </c>
      <c r="C15" s="4" t="s">
        <v>23</v>
      </c>
      <c r="D15" s="9">
        <f t="shared" si="1"/>
        <v>5</v>
      </c>
      <c r="J15" s="4" t="s">
        <v>50</v>
      </c>
      <c r="K15" s="4">
        <v>0.5</v>
      </c>
      <c r="L15" s="4">
        <v>5.0</v>
      </c>
      <c r="M15" s="10">
        <f t="shared" si="3"/>
        <v>0.025</v>
      </c>
      <c r="O15" s="4" t="s">
        <v>51</v>
      </c>
      <c r="P15" s="4">
        <v>-1.0</v>
      </c>
      <c r="Q15" s="4">
        <v>4.0</v>
      </c>
      <c r="R15" s="5">
        <f t="shared" si="4"/>
        <v>-4</v>
      </c>
    </row>
    <row r="16">
      <c r="B16" s="4" t="s">
        <v>52</v>
      </c>
      <c r="C16" s="4" t="s">
        <v>23</v>
      </c>
      <c r="D16" s="9">
        <f t="shared" si="1"/>
        <v>5</v>
      </c>
      <c r="G16" s="4"/>
      <c r="J16" s="4" t="s">
        <v>53</v>
      </c>
      <c r="K16" s="4">
        <v>2.0</v>
      </c>
      <c r="L16" s="4">
        <v>4.0</v>
      </c>
      <c r="M16" s="10">
        <f t="shared" si="3"/>
        <v>0.08</v>
      </c>
      <c r="O16" s="4" t="s">
        <v>54</v>
      </c>
      <c r="P16" s="4">
        <v>2.0</v>
      </c>
      <c r="Q16" s="4">
        <v>3.0</v>
      </c>
      <c r="R16" s="5">
        <f t="shared" si="4"/>
        <v>6</v>
      </c>
    </row>
    <row r="17">
      <c r="B17" s="4" t="s">
        <v>55</v>
      </c>
      <c r="C17" s="4" t="s">
        <v>23</v>
      </c>
      <c r="D17" s="9">
        <f t="shared" si="1"/>
        <v>5</v>
      </c>
      <c r="G17" s="4"/>
      <c r="J17" s="4" t="s">
        <v>56</v>
      </c>
      <c r="K17" s="4">
        <v>1.0</v>
      </c>
      <c r="L17" s="4">
        <v>3.0</v>
      </c>
      <c r="M17" s="10">
        <f t="shared" si="3"/>
        <v>0.03</v>
      </c>
    </row>
    <row r="18">
      <c r="B18" s="4" t="s">
        <v>57</v>
      </c>
      <c r="C18" s="4" t="s">
        <v>23</v>
      </c>
      <c r="D18" s="9">
        <f t="shared" si="1"/>
        <v>5</v>
      </c>
      <c r="G18" s="4"/>
      <c r="J18" s="4" t="s">
        <v>58</v>
      </c>
      <c r="K18" s="4">
        <v>1.0</v>
      </c>
      <c r="L18" s="4">
        <v>4.0</v>
      </c>
      <c r="M18" s="10">
        <f t="shared" si="3"/>
        <v>0.04</v>
      </c>
    </row>
    <row r="19">
      <c r="B19" s="4" t="s">
        <v>59</v>
      </c>
      <c r="C19" s="4" t="s">
        <v>23</v>
      </c>
      <c r="D19" s="9">
        <f t="shared" si="1"/>
        <v>5</v>
      </c>
      <c r="G19" s="4"/>
      <c r="J19" s="4" t="s">
        <v>60</v>
      </c>
      <c r="K19" s="4">
        <v>1.0</v>
      </c>
      <c r="L19" s="4">
        <v>5.0</v>
      </c>
      <c r="M19" s="10">
        <f t="shared" si="3"/>
        <v>0.05</v>
      </c>
    </row>
    <row r="20">
      <c r="B20" s="4" t="s">
        <v>61</v>
      </c>
      <c r="C20" s="4" t="s">
        <v>23</v>
      </c>
      <c r="D20" s="9">
        <f t="shared" si="1"/>
        <v>5</v>
      </c>
      <c r="G20" s="4"/>
      <c r="J20" s="4" t="s">
        <v>62</v>
      </c>
      <c r="K20" s="4">
        <v>1.0</v>
      </c>
      <c r="L20" s="4">
        <v>1.0</v>
      </c>
      <c r="M20" s="10">
        <f t="shared" si="3"/>
        <v>0.01</v>
      </c>
    </row>
    <row r="21">
      <c r="B21" s="4" t="s">
        <v>63</v>
      </c>
      <c r="C21" s="4" t="s">
        <v>23</v>
      </c>
      <c r="D21" s="9">
        <f t="shared" si="1"/>
        <v>5</v>
      </c>
      <c r="J21" s="4" t="s">
        <v>64</v>
      </c>
      <c r="K21" s="4">
        <v>1.0</v>
      </c>
      <c r="L21" s="4">
        <v>0.0</v>
      </c>
      <c r="M21" s="10">
        <f t="shared" si="3"/>
        <v>0</v>
      </c>
    </row>
    <row r="22">
      <c r="B22" s="4" t="s">
        <v>65</v>
      </c>
      <c r="C22" s="4" t="s">
        <v>23</v>
      </c>
      <c r="D22" s="9">
        <f t="shared" si="1"/>
        <v>5</v>
      </c>
    </row>
    <row r="23">
      <c r="B23" s="4" t="s">
        <v>66</v>
      </c>
      <c r="C23" s="4" t="s">
        <v>23</v>
      </c>
      <c r="D23" s="9">
        <f t="shared" si="1"/>
        <v>5</v>
      </c>
    </row>
    <row r="24">
      <c r="B24" s="4" t="s">
        <v>67</v>
      </c>
      <c r="C24" s="4" t="s">
        <v>33</v>
      </c>
      <c r="D24" s="9">
        <f t="shared" si="1"/>
        <v>10</v>
      </c>
    </row>
    <row r="25">
      <c r="B25" s="4" t="s">
        <v>68</v>
      </c>
      <c r="C25" s="4" t="s">
        <v>23</v>
      </c>
      <c r="D25" s="9">
        <f t="shared" si="1"/>
        <v>5</v>
      </c>
    </row>
    <row r="26">
      <c r="B26" s="4" t="s">
        <v>69</v>
      </c>
      <c r="C26" s="4" t="s">
        <v>23</v>
      </c>
      <c r="D26" s="9">
        <f t="shared" si="1"/>
        <v>5</v>
      </c>
    </row>
    <row r="27">
      <c r="B27" s="4" t="s">
        <v>70</v>
      </c>
      <c r="C27" s="4" t="s">
        <v>23</v>
      </c>
      <c r="D27" s="9">
        <f t="shared" si="1"/>
        <v>5</v>
      </c>
    </row>
    <row r="28">
      <c r="B28" s="4" t="s">
        <v>71</v>
      </c>
      <c r="C28" s="4" t="s">
        <v>23</v>
      </c>
      <c r="D28" s="9">
        <f t="shared" si="1"/>
        <v>5</v>
      </c>
    </row>
    <row r="29">
      <c r="B29" s="4" t="s">
        <v>72</v>
      </c>
      <c r="C29" s="4" t="s">
        <v>25</v>
      </c>
      <c r="D29" s="9">
        <f t="shared" si="1"/>
        <v>15</v>
      </c>
    </row>
    <row r="30">
      <c r="B30" s="4" t="s">
        <v>73</v>
      </c>
      <c r="C30" s="4" t="s">
        <v>23</v>
      </c>
      <c r="D30" s="9">
        <f t="shared" si="1"/>
        <v>5</v>
      </c>
    </row>
    <row r="31">
      <c r="D31" s="9"/>
    </row>
    <row r="32">
      <c r="D32" s="9"/>
    </row>
    <row r="34">
      <c r="B34" s="11" t="s">
        <v>74</v>
      </c>
    </row>
    <row r="37">
      <c r="B37" s="11" t="s">
        <v>75</v>
      </c>
      <c r="C37" s="11" t="s">
        <v>76</v>
      </c>
      <c r="D37" s="11" t="s">
        <v>77</v>
      </c>
      <c r="E37" s="11" t="s">
        <v>78</v>
      </c>
      <c r="F37" s="11" t="s">
        <v>79</v>
      </c>
    </row>
    <row r="38">
      <c r="B38" s="4" t="s">
        <v>80</v>
      </c>
      <c r="C38" s="12">
        <v>0.4</v>
      </c>
      <c r="D38" s="12">
        <v>0.1</v>
      </c>
      <c r="E38" s="12">
        <v>0.15</v>
      </c>
      <c r="F38" s="12">
        <v>0.5</v>
      </c>
    </row>
    <row r="39">
      <c r="B39" s="4" t="s">
        <v>81</v>
      </c>
      <c r="C39" s="12">
        <v>0.05</v>
      </c>
      <c r="D39" s="12">
        <v>0.3</v>
      </c>
      <c r="E39" s="12">
        <v>0.15</v>
      </c>
      <c r="F39" s="12">
        <v>0.1</v>
      </c>
    </row>
    <row r="40">
      <c r="B40" s="4" t="s">
        <v>82</v>
      </c>
      <c r="C40" s="12">
        <v>0.15</v>
      </c>
      <c r="D40" s="12">
        <v>0.2</v>
      </c>
      <c r="E40" s="12">
        <v>0.05</v>
      </c>
      <c r="F40" s="12">
        <v>0.0</v>
      </c>
    </row>
    <row r="41">
      <c r="B41" s="4" t="s">
        <v>83</v>
      </c>
      <c r="C41" s="12">
        <v>0.4</v>
      </c>
      <c r="D41" s="12">
        <v>0.2</v>
      </c>
      <c r="E41" s="12">
        <v>0.1</v>
      </c>
      <c r="F41" s="12">
        <v>0.05</v>
      </c>
    </row>
    <row r="42">
      <c r="B42" s="4" t="s">
        <v>84</v>
      </c>
      <c r="C42" s="12">
        <v>0.0</v>
      </c>
      <c r="D42" s="12">
        <v>0.15</v>
      </c>
      <c r="E42" s="12">
        <v>0.4</v>
      </c>
      <c r="F42" s="12">
        <v>0.15</v>
      </c>
    </row>
    <row r="43">
      <c r="B43" s="4" t="s">
        <v>85</v>
      </c>
      <c r="C43" s="12">
        <v>0.0</v>
      </c>
      <c r="D43" s="12">
        <v>0.05</v>
      </c>
      <c r="E43" s="12">
        <v>0.15</v>
      </c>
      <c r="F43" s="12">
        <v>0.2</v>
      </c>
    </row>
    <row r="44">
      <c r="C44" s="13">
        <f t="shared" ref="C44:F44" si="5">SUM(C38:C43)</f>
        <v>1</v>
      </c>
      <c r="D44" s="13">
        <f t="shared" si="5"/>
        <v>1</v>
      </c>
      <c r="E44" s="13">
        <f t="shared" si="5"/>
        <v>1</v>
      </c>
      <c r="F44" s="13">
        <f t="shared" si="5"/>
        <v>1</v>
      </c>
    </row>
    <row r="45">
      <c r="B45" s="11" t="s">
        <v>86</v>
      </c>
      <c r="C45" s="14">
        <v>0.05</v>
      </c>
      <c r="D45" s="14">
        <v>0.2</v>
      </c>
      <c r="E45" s="14">
        <v>0.65</v>
      </c>
      <c r="F45" s="14">
        <v>0.1</v>
      </c>
    </row>
    <row r="49">
      <c r="B49" s="11" t="s">
        <v>75</v>
      </c>
      <c r="C49" s="11" t="s">
        <v>87</v>
      </c>
      <c r="D49" s="11" t="s">
        <v>88</v>
      </c>
      <c r="E49" s="11" t="s">
        <v>89</v>
      </c>
      <c r="F49" s="11" t="s">
        <v>90</v>
      </c>
      <c r="G49" s="11" t="s">
        <v>91</v>
      </c>
      <c r="H49" s="11" t="s">
        <v>92</v>
      </c>
      <c r="I49" s="11" t="s">
        <v>93</v>
      </c>
      <c r="J49" s="11" t="s">
        <v>94</v>
      </c>
      <c r="K49" s="11" t="s">
        <v>95</v>
      </c>
      <c r="L49" s="11" t="s">
        <v>96</v>
      </c>
      <c r="M49" s="11" t="s">
        <v>97</v>
      </c>
      <c r="N49" s="11" t="s">
        <v>98</v>
      </c>
      <c r="O49" s="11" t="s">
        <v>99</v>
      </c>
      <c r="P49" s="11" t="s">
        <v>100</v>
      </c>
      <c r="R49" s="11" t="s">
        <v>101</v>
      </c>
      <c r="S49" s="15">
        <f>SUM(P50:P55)</f>
        <v>143755.2143</v>
      </c>
    </row>
    <row r="50">
      <c r="B50" s="4" t="s">
        <v>80</v>
      </c>
      <c r="C50" s="4">
        <v>18.0</v>
      </c>
      <c r="D50" s="16">
        <v>2.0</v>
      </c>
      <c r="E50" s="17">
        <f>100*((C38*C45)+(D38*D45)+(E38*E45)+(F38*F45))</f>
        <v>18.75</v>
      </c>
      <c r="F50" s="18">
        <f>E5*(E50/100)</f>
        <v>1004.195156</v>
      </c>
      <c r="G50" s="19">
        <f t="shared" ref="G50:G55" si="6">(F50/D50)</f>
        <v>502.0975781</v>
      </c>
      <c r="H50" s="20">
        <f t="shared" ref="H50:H55" si="7">C50*F50</f>
        <v>18075.51281</v>
      </c>
      <c r="I50" s="20">
        <f t="shared" ref="I50:I55" si="8">H50/D50</f>
        <v>9037.756406</v>
      </c>
      <c r="J50" s="5">
        <f>ROUNDUP(G50/8)</f>
        <v>63</v>
      </c>
      <c r="K50" s="20">
        <f t="shared" ref="K50:K55" si="9">I50*0.4</f>
        <v>3615.102563</v>
      </c>
      <c r="L50" s="20">
        <v>200.0</v>
      </c>
      <c r="M50" s="20">
        <f t="shared" ref="M50:M55" si="10">I50+K50+L50</f>
        <v>12852.85897</v>
      </c>
      <c r="N50" s="20">
        <f t="shared" ref="N50:N55" si="11">M50*0.15</f>
        <v>1927.928845</v>
      </c>
      <c r="O50" s="20">
        <f t="shared" ref="O50:O55" si="12">M50+N50</f>
        <v>14780.78781</v>
      </c>
      <c r="P50" s="20">
        <f t="shared" ref="P50:P55" si="13">O50*D50</f>
        <v>29561.57563</v>
      </c>
      <c r="R50" s="21"/>
      <c r="S50" s="21"/>
    </row>
    <row r="51">
      <c r="B51" s="4" t="s">
        <v>81</v>
      </c>
      <c r="C51" s="4">
        <v>19.0</v>
      </c>
      <c r="D51" s="16">
        <v>2.0</v>
      </c>
      <c r="E51" s="17">
        <f>100*((C39*C45)+(D39*D45)+(E39*E45)+(F39*F45))</f>
        <v>17</v>
      </c>
      <c r="F51" s="18">
        <f>(E5*(E51/100))</f>
        <v>910.470275</v>
      </c>
      <c r="G51" s="19">
        <f t="shared" si="6"/>
        <v>455.2351375</v>
      </c>
      <c r="H51" s="20">
        <f t="shared" si="7"/>
        <v>17298.93523</v>
      </c>
      <c r="I51" s="20">
        <f t="shared" si="8"/>
        <v>8649.467613</v>
      </c>
      <c r="J51" s="5">
        <f t="shared" ref="J51:J55" si="14">G51/8</f>
        <v>56.90439219</v>
      </c>
      <c r="K51" s="20">
        <f t="shared" si="9"/>
        <v>3459.787045</v>
      </c>
      <c r="L51" s="20">
        <v>200.0</v>
      </c>
      <c r="M51" s="20">
        <f t="shared" si="10"/>
        <v>12309.25466</v>
      </c>
      <c r="N51" s="20">
        <f t="shared" si="11"/>
        <v>1846.388199</v>
      </c>
      <c r="O51" s="20">
        <f t="shared" si="12"/>
        <v>14155.64286</v>
      </c>
      <c r="P51" s="20">
        <f t="shared" si="13"/>
        <v>28311.28571</v>
      </c>
      <c r="R51" s="11" t="s">
        <v>102</v>
      </c>
      <c r="S51" s="15">
        <f>(S49*0.25)</f>
        <v>35938.80357</v>
      </c>
    </row>
    <row r="52">
      <c r="B52" s="4" t="s">
        <v>82</v>
      </c>
      <c r="C52" s="4">
        <v>24.0</v>
      </c>
      <c r="D52" s="16">
        <v>1.0</v>
      </c>
      <c r="E52" s="17">
        <f>100*((C40*C45)+(D40*D45)+(E40*E45)+(F40*F45))</f>
        <v>8</v>
      </c>
      <c r="F52" s="18">
        <f>(E5*(E52/100))</f>
        <v>428.4566</v>
      </c>
      <c r="G52" s="19">
        <f t="shared" si="6"/>
        <v>428.4566</v>
      </c>
      <c r="H52" s="20">
        <f t="shared" si="7"/>
        <v>10282.9584</v>
      </c>
      <c r="I52" s="20">
        <f t="shared" si="8"/>
        <v>10282.9584</v>
      </c>
      <c r="J52" s="5">
        <f t="shared" si="14"/>
        <v>53.557075</v>
      </c>
      <c r="K52" s="20">
        <f t="shared" si="9"/>
        <v>4113.18336</v>
      </c>
      <c r="L52" s="20">
        <v>200.0</v>
      </c>
      <c r="M52" s="20">
        <f t="shared" si="10"/>
        <v>14596.14176</v>
      </c>
      <c r="N52" s="20">
        <f t="shared" si="11"/>
        <v>2189.421264</v>
      </c>
      <c r="O52" s="20">
        <f t="shared" si="12"/>
        <v>16785.56302</v>
      </c>
      <c r="P52" s="20">
        <f t="shared" si="13"/>
        <v>16785.56302</v>
      </c>
      <c r="R52" s="11" t="s">
        <v>103</v>
      </c>
      <c r="S52" s="15">
        <f>S49*0.1</f>
        <v>14375.52143</v>
      </c>
      <c r="T52" s="21"/>
    </row>
    <row r="53">
      <c r="B53" s="4" t="s">
        <v>83</v>
      </c>
      <c r="C53" s="4">
        <v>16.0</v>
      </c>
      <c r="D53" s="16">
        <v>1.0</v>
      </c>
      <c r="E53" s="17">
        <f>100*((C41*C45)+(D41*D45)+(E41*E45)+(F41*F45))</f>
        <v>13</v>
      </c>
      <c r="F53" s="18">
        <f>(E5*(E53/100))</f>
        <v>696.241975</v>
      </c>
      <c r="G53" s="19">
        <f t="shared" si="6"/>
        <v>696.241975</v>
      </c>
      <c r="H53" s="20">
        <f t="shared" si="7"/>
        <v>11139.8716</v>
      </c>
      <c r="I53" s="20">
        <f t="shared" si="8"/>
        <v>11139.8716</v>
      </c>
      <c r="J53" s="5">
        <f t="shared" si="14"/>
        <v>87.03024688</v>
      </c>
      <c r="K53" s="20">
        <f t="shared" si="9"/>
        <v>4455.94864</v>
      </c>
      <c r="L53" s="20">
        <v>200.0</v>
      </c>
      <c r="M53" s="20">
        <f t="shared" si="10"/>
        <v>15795.82024</v>
      </c>
      <c r="N53" s="20">
        <f t="shared" si="11"/>
        <v>2369.373036</v>
      </c>
      <c r="O53" s="20">
        <f t="shared" si="12"/>
        <v>18165.19328</v>
      </c>
      <c r="P53" s="20">
        <f t="shared" si="13"/>
        <v>18165.19328</v>
      </c>
      <c r="R53" s="21"/>
      <c r="S53" s="21"/>
    </row>
    <row r="54">
      <c r="B54" s="4" t="s">
        <v>84</v>
      </c>
      <c r="C54" s="4">
        <v>14.0</v>
      </c>
      <c r="D54" s="16">
        <v>3.0</v>
      </c>
      <c r="E54" s="17">
        <f>100*((C42*C45)+(D42*D45)+(E42*E45)+(F42*F45))</f>
        <v>30.5</v>
      </c>
      <c r="F54" s="18">
        <f>(E5*(E54/100))</f>
        <v>1633.490788</v>
      </c>
      <c r="G54" s="19">
        <f t="shared" si="6"/>
        <v>544.4969292</v>
      </c>
      <c r="H54" s="20">
        <f t="shared" si="7"/>
        <v>22868.87103</v>
      </c>
      <c r="I54" s="20">
        <f t="shared" si="8"/>
        <v>7622.957008</v>
      </c>
      <c r="J54" s="5">
        <f t="shared" si="14"/>
        <v>68.06211615</v>
      </c>
      <c r="K54" s="20">
        <f t="shared" si="9"/>
        <v>3049.182803</v>
      </c>
      <c r="L54" s="20">
        <v>200.0</v>
      </c>
      <c r="M54" s="20">
        <f t="shared" si="10"/>
        <v>10872.13981</v>
      </c>
      <c r="N54" s="20">
        <f t="shared" si="11"/>
        <v>1630.820972</v>
      </c>
      <c r="O54" s="20">
        <f t="shared" si="12"/>
        <v>12502.96078</v>
      </c>
      <c r="P54" s="20">
        <f t="shared" si="13"/>
        <v>37508.88235</v>
      </c>
      <c r="R54" s="11" t="s">
        <v>104</v>
      </c>
      <c r="S54" s="15">
        <f>S49+S51+S52</f>
        <v>194069.5393</v>
      </c>
    </row>
    <row r="55">
      <c r="B55" s="4" t="s">
        <v>85</v>
      </c>
      <c r="C55" s="4">
        <v>12.0</v>
      </c>
      <c r="D55" s="17">
        <v>1.0</v>
      </c>
      <c r="E55" s="17">
        <f>100*((C43*C45)+(D43*D45)+(E43*E45)+(F43*F45))</f>
        <v>12.75</v>
      </c>
      <c r="F55" s="18">
        <f>(E5*(E55/100))</f>
        <v>682.8527063</v>
      </c>
      <c r="G55" s="19">
        <f t="shared" si="6"/>
        <v>682.8527063</v>
      </c>
      <c r="H55" s="20">
        <f t="shared" si="7"/>
        <v>8194.232475</v>
      </c>
      <c r="I55" s="20">
        <f t="shared" si="8"/>
        <v>8194.232475</v>
      </c>
      <c r="J55" s="5">
        <f t="shared" si="14"/>
        <v>85.35658828</v>
      </c>
      <c r="K55" s="20">
        <f t="shared" si="9"/>
        <v>3277.69299</v>
      </c>
      <c r="L55" s="20">
        <v>200.0</v>
      </c>
      <c r="M55" s="20">
        <f t="shared" si="10"/>
        <v>11671.92547</v>
      </c>
      <c r="N55" s="20">
        <f t="shared" si="11"/>
        <v>1750.78882</v>
      </c>
      <c r="O55" s="20">
        <f t="shared" si="12"/>
        <v>13422.71428</v>
      </c>
      <c r="P55" s="20">
        <f t="shared" si="13"/>
        <v>13422.71428</v>
      </c>
      <c r="R55" s="21"/>
      <c r="S55" s="21"/>
    </row>
    <row r="56">
      <c r="D56" s="17"/>
      <c r="E56" s="17"/>
      <c r="F56" s="18"/>
      <c r="G56" s="22"/>
      <c r="H56" s="20"/>
      <c r="I56" s="20"/>
      <c r="J56" s="20"/>
      <c r="K56" s="20"/>
      <c r="L56" s="20"/>
      <c r="M56" s="20"/>
      <c r="N56" s="20"/>
      <c r="O56" s="20"/>
      <c r="P56" s="21"/>
      <c r="Q56" s="21"/>
      <c r="R56" s="21"/>
      <c r="S56" s="21"/>
    </row>
    <row r="57">
      <c r="D57" s="17"/>
      <c r="E57" s="17"/>
      <c r="G57" s="23"/>
      <c r="H57" s="20"/>
      <c r="I57" s="20"/>
      <c r="J57" s="20"/>
      <c r="K57" s="20"/>
      <c r="L57" s="20"/>
      <c r="M57" s="20"/>
      <c r="N57" s="20"/>
      <c r="O57" s="20" t="str">
        <f>N57</f>
        <v/>
      </c>
      <c r="P57" s="21"/>
      <c r="Q57" s="21"/>
      <c r="R57" s="21"/>
      <c r="S57" s="21"/>
    </row>
  </sheetData>
  <dataValidations>
    <dataValidation type="list" allowBlank="1" showErrorMessage="1" sqref="G9:G14 C9:C30">
      <formula1>"Simple,Mig,Complex"</formula1>
    </dataValidation>
    <dataValidation type="decimal" allowBlank="1" showDropDown="1" sqref="Q9:Q16 L9:L21">
      <formula1>0.0</formula1>
      <formula2>5.0</formula2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11" max="11" width="33.88"/>
    <col customWidth="1" min="14" max="14" width="13.88"/>
    <col customWidth="1" min="15" max="15" width="20.0"/>
  </cols>
  <sheetData>
    <row r="2">
      <c r="B2" s="1" t="s">
        <v>105</v>
      </c>
    </row>
    <row r="5">
      <c r="B5" s="6" t="s">
        <v>13</v>
      </c>
      <c r="C5" s="6" t="s">
        <v>76</v>
      </c>
      <c r="D5" s="6" t="s">
        <v>77</v>
      </c>
      <c r="E5" s="6" t="s">
        <v>78</v>
      </c>
      <c r="F5" s="6" t="s">
        <v>79</v>
      </c>
      <c r="I5" s="24" t="s">
        <v>106</v>
      </c>
      <c r="J5" s="24" t="s">
        <v>107</v>
      </c>
      <c r="K5" s="24" t="s">
        <v>108</v>
      </c>
      <c r="L5" s="24" t="s">
        <v>109</v>
      </c>
      <c r="M5" s="24" t="s">
        <v>110</v>
      </c>
      <c r="N5" s="24" t="s">
        <v>111</v>
      </c>
    </row>
    <row r="6">
      <c r="B6" s="25" t="s">
        <v>22</v>
      </c>
      <c r="C6" s="4" t="s">
        <v>112</v>
      </c>
      <c r="D6" s="4" t="s">
        <v>113</v>
      </c>
      <c r="E6" s="4" t="s">
        <v>113</v>
      </c>
      <c r="F6" s="4" t="s">
        <v>113</v>
      </c>
      <c r="I6" s="26" t="s">
        <v>76</v>
      </c>
      <c r="J6" s="27" t="s">
        <v>114</v>
      </c>
      <c r="K6" s="28" t="s">
        <v>115</v>
      </c>
      <c r="L6" s="29">
        <f>C82</f>
        <v>45240</v>
      </c>
      <c r="M6" s="29">
        <f>C83</f>
        <v>45266</v>
      </c>
      <c r="N6" s="30">
        <f>C63/6</f>
        <v>44.63089583</v>
      </c>
    </row>
    <row r="7">
      <c r="B7" s="25" t="s">
        <v>28</v>
      </c>
      <c r="C7" s="4" t="s">
        <v>112</v>
      </c>
      <c r="D7" s="4" t="s">
        <v>116</v>
      </c>
      <c r="E7" s="4" t="s">
        <v>113</v>
      </c>
      <c r="F7" s="4" t="s">
        <v>113</v>
      </c>
      <c r="I7" s="31"/>
      <c r="J7" s="31"/>
      <c r="K7" s="32" t="s">
        <v>117</v>
      </c>
      <c r="L7" s="31"/>
      <c r="M7" s="31"/>
      <c r="N7" s="31"/>
    </row>
    <row r="8">
      <c r="B8" s="25" t="s">
        <v>32</v>
      </c>
      <c r="C8" s="4" t="s">
        <v>118</v>
      </c>
      <c r="D8" s="4" t="s">
        <v>113</v>
      </c>
      <c r="E8" s="4" t="s">
        <v>113</v>
      </c>
      <c r="F8" s="4" t="s">
        <v>113</v>
      </c>
      <c r="I8" s="31"/>
      <c r="J8" s="31"/>
      <c r="K8" s="32" t="s">
        <v>119</v>
      </c>
      <c r="L8" s="31"/>
      <c r="M8" s="31"/>
      <c r="N8" s="31"/>
    </row>
    <row r="9">
      <c r="B9" s="25" t="s">
        <v>37</v>
      </c>
      <c r="C9" s="4" t="s">
        <v>120</v>
      </c>
      <c r="D9" s="4" t="s">
        <v>112</v>
      </c>
      <c r="E9" s="4" t="s">
        <v>113</v>
      </c>
      <c r="F9" s="4" t="s">
        <v>113</v>
      </c>
      <c r="I9" s="31"/>
      <c r="J9" s="31"/>
      <c r="K9" s="32" t="s">
        <v>121</v>
      </c>
      <c r="L9" s="31"/>
      <c r="M9" s="31"/>
      <c r="N9" s="31"/>
    </row>
    <row r="10">
      <c r="B10" s="25" t="s">
        <v>41</v>
      </c>
      <c r="C10" s="4" t="s">
        <v>120</v>
      </c>
      <c r="D10" s="4" t="s">
        <v>120</v>
      </c>
      <c r="E10" s="4" t="s">
        <v>116</v>
      </c>
      <c r="F10" s="4" t="s">
        <v>113</v>
      </c>
      <c r="I10" s="33"/>
      <c r="J10" s="33"/>
      <c r="K10" s="34" t="s">
        <v>122</v>
      </c>
      <c r="L10" s="33"/>
      <c r="M10" s="33"/>
      <c r="N10" s="33"/>
    </row>
    <row r="11">
      <c r="B11" s="25" t="s">
        <v>45</v>
      </c>
      <c r="C11" s="4" t="s">
        <v>120</v>
      </c>
      <c r="D11" s="4" t="s">
        <v>120</v>
      </c>
      <c r="E11" s="4" t="s">
        <v>116</v>
      </c>
      <c r="F11" s="4" t="s">
        <v>113</v>
      </c>
      <c r="I11" s="35" t="s">
        <v>77</v>
      </c>
      <c r="J11" s="36" t="s">
        <v>123</v>
      </c>
      <c r="K11" s="37" t="s">
        <v>124</v>
      </c>
      <c r="L11" s="38">
        <f>D82</f>
        <v>45267</v>
      </c>
      <c r="M11" s="38">
        <f>D83</f>
        <v>45361</v>
      </c>
      <c r="N11" s="39">
        <f>D63/6</f>
        <v>178.5235833</v>
      </c>
    </row>
    <row r="12">
      <c r="B12" s="25" t="s">
        <v>49</v>
      </c>
      <c r="C12" s="4" t="s">
        <v>118</v>
      </c>
      <c r="D12" s="4" t="s">
        <v>116</v>
      </c>
      <c r="E12" s="4" t="s">
        <v>113</v>
      </c>
      <c r="F12" s="4" t="s">
        <v>113</v>
      </c>
      <c r="I12" s="31"/>
      <c r="J12" s="31"/>
      <c r="K12" s="40" t="s">
        <v>125</v>
      </c>
      <c r="L12" s="31"/>
      <c r="M12" s="31"/>
      <c r="N12" s="31"/>
    </row>
    <row r="13">
      <c r="B13" s="25" t="s">
        <v>52</v>
      </c>
      <c r="C13" s="4" t="s">
        <v>112</v>
      </c>
      <c r="D13" s="4" t="s">
        <v>116</v>
      </c>
      <c r="E13" s="4" t="s">
        <v>113</v>
      </c>
      <c r="F13" s="4" t="s">
        <v>113</v>
      </c>
      <c r="I13" s="31"/>
      <c r="J13" s="33"/>
      <c r="K13" s="41" t="s">
        <v>126</v>
      </c>
      <c r="L13" s="31"/>
      <c r="M13" s="31"/>
      <c r="N13" s="31"/>
    </row>
    <row r="14">
      <c r="B14" s="25" t="s">
        <v>55</v>
      </c>
      <c r="C14" s="4" t="s">
        <v>112</v>
      </c>
      <c r="D14" s="4" t="s">
        <v>118</v>
      </c>
      <c r="E14" s="4" t="s">
        <v>113</v>
      </c>
      <c r="F14" s="4" t="s">
        <v>113</v>
      </c>
      <c r="I14" s="31"/>
      <c r="J14" s="36" t="s">
        <v>127</v>
      </c>
      <c r="K14" s="37" t="s">
        <v>128</v>
      </c>
      <c r="L14" s="31"/>
      <c r="M14" s="31"/>
      <c r="N14" s="31"/>
    </row>
    <row r="15">
      <c r="B15" s="25" t="s">
        <v>57</v>
      </c>
      <c r="C15" s="4" t="s">
        <v>112</v>
      </c>
      <c r="D15" s="4" t="s">
        <v>118</v>
      </c>
      <c r="E15" s="4" t="s">
        <v>113</v>
      </c>
      <c r="F15" s="4" t="s">
        <v>113</v>
      </c>
      <c r="I15" s="31"/>
      <c r="J15" s="31"/>
      <c r="K15" s="40" t="s">
        <v>129</v>
      </c>
      <c r="L15" s="31"/>
      <c r="M15" s="31"/>
      <c r="N15" s="31"/>
    </row>
    <row r="16">
      <c r="B16" s="25" t="s">
        <v>59</v>
      </c>
      <c r="C16" s="4" t="s">
        <v>112</v>
      </c>
      <c r="D16" s="4" t="s">
        <v>118</v>
      </c>
      <c r="E16" s="4" t="s">
        <v>113</v>
      </c>
      <c r="F16" s="4" t="s">
        <v>113</v>
      </c>
      <c r="I16" s="33"/>
      <c r="J16" s="33"/>
      <c r="K16" s="41" t="s">
        <v>130</v>
      </c>
      <c r="L16" s="33"/>
      <c r="M16" s="33"/>
      <c r="N16" s="33"/>
    </row>
    <row r="17">
      <c r="B17" s="25" t="s">
        <v>61</v>
      </c>
      <c r="C17" s="4" t="s">
        <v>120</v>
      </c>
      <c r="D17" s="4" t="s">
        <v>120</v>
      </c>
      <c r="E17" s="4" t="s">
        <v>116</v>
      </c>
      <c r="F17" s="4" t="s">
        <v>113</v>
      </c>
      <c r="I17" s="42" t="s">
        <v>78</v>
      </c>
      <c r="J17" s="43" t="s">
        <v>131</v>
      </c>
      <c r="K17" s="44" t="s">
        <v>132</v>
      </c>
      <c r="L17" s="45">
        <f>E82</f>
        <v>45362</v>
      </c>
      <c r="M17" s="45">
        <f>E83</f>
        <v>45616</v>
      </c>
      <c r="N17" s="46">
        <f>E63/6</f>
        <v>580.2016458</v>
      </c>
    </row>
    <row r="18">
      <c r="B18" s="25" t="s">
        <v>63</v>
      </c>
      <c r="C18" s="4" t="s">
        <v>112</v>
      </c>
      <c r="D18" s="4" t="s">
        <v>112</v>
      </c>
      <c r="E18" s="4" t="s">
        <v>113</v>
      </c>
      <c r="F18" s="4" t="s">
        <v>113</v>
      </c>
      <c r="I18" s="31"/>
      <c r="J18" s="31"/>
      <c r="K18" s="47" t="s">
        <v>133</v>
      </c>
      <c r="L18" s="31"/>
      <c r="M18" s="31"/>
      <c r="N18" s="31"/>
    </row>
    <row r="19">
      <c r="B19" s="25" t="s">
        <v>65</v>
      </c>
      <c r="C19" s="4" t="s">
        <v>120</v>
      </c>
      <c r="D19" s="4" t="s">
        <v>120</v>
      </c>
      <c r="E19" s="4" t="s">
        <v>116</v>
      </c>
      <c r="F19" s="4" t="s">
        <v>113</v>
      </c>
      <c r="I19" s="31"/>
      <c r="J19" s="31"/>
      <c r="K19" s="47" t="s">
        <v>134</v>
      </c>
      <c r="L19" s="31"/>
      <c r="M19" s="31"/>
      <c r="N19" s="31"/>
    </row>
    <row r="20">
      <c r="B20" s="25" t="s">
        <v>66</v>
      </c>
      <c r="C20" s="4" t="s">
        <v>112</v>
      </c>
      <c r="D20" s="4" t="s">
        <v>118</v>
      </c>
      <c r="E20" s="4" t="s">
        <v>113</v>
      </c>
      <c r="F20" s="4" t="s">
        <v>113</v>
      </c>
      <c r="I20" s="31"/>
      <c r="J20" s="31"/>
      <c r="K20" s="47" t="s">
        <v>135</v>
      </c>
      <c r="L20" s="31"/>
      <c r="M20" s="31"/>
      <c r="N20" s="31"/>
    </row>
    <row r="21">
      <c r="B21" s="25" t="s">
        <v>67</v>
      </c>
      <c r="C21" s="4" t="s">
        <v>112</v>
      </c>
      <c r="D21" s="4" t="s">
        <v>118</v>
      </c>
      <c r="E21" s="4" t="s">
        <v>113</v>
      </c>
      <c r="F21" s="4" t="s">
        <v>113</v>
      </c>
      <c r="I21" s="31"/>
      <c r="J21" s="33"/>
      <c r="K21" s="48" t="s">
        <v>136</v>
      </c>
      <c r="L21" s="31"/>
      <c r="M21" s="31"/>
      <c r="N21" s="31"/>
    </row>
    <row r="22">
      <c r="B22" s="25" t="s">
        <v>68</v>
      </c>
      <c r="C22" s="4" t="s">
        <v>120</v>
      </c>
      <c r="D22" s="4" t="s">
        <v>112</v>
      </c>
      <c r="E22" s="4" t="s">
        <v>113</v>
      </c>
      <c r="F22" s="4" t="s">
        <v>113</v>
      </c>
      <c r="I22" s="31"/>
      <c r="J22" s="43" t="s">
        <v>137</v>
      </c>
      <c r="K22" s="49" t="s">
        <v>132</v>
      </c>
      <c r="L22" s="31"/>
      <c r="M22" s="31"/>
      <c r="N22" s="31"/>
    </row>
    <row r="23">
      <c r="B23" s="25" t="s">
        <v>69</v>
      </c>
      <c r="C23" s="4" t="s">
        <v>120</v>
      </c>
      <c r="D23" s="4" t="s">
        <v>112</v>
      </c>
      <c r="E23" s="4" t="s">
        <v>113</v>
      </c>
      <c r="F23" s="4" t="s">
        <v>113</v>
      </c>
      <c r="I23" s="31"/>
      <c r="J23" s="31"/>
      <c r="K23" s="50" t="s">
        <v>133</v>
      </c>
      <c r="L23" s="31"/>
      <c r="M23" s="31"/>
      <c r="N23" s="31"/>
    </row>
    <row r="24">
      <c r="B24" s="25" t="s">
        <v>70</v>
      </c>
      <c r="C24" s="4" t="s">
        <v>120</v>
      </c>
      <c r="D24" s="4" t="s">
        <v>112</v>
      </c>
      <c r="E24" s="4" t="s">
        <v>116</v>
      </c>
      <c r="F24" s="4" t="s">
        <v>113</v>
      </c>
      <c r="I24" s="31"/>
      <c r="J24" s="31"/>
      <c r="K24" s="50" t="s">
        <v>134</v>
      </c>
      <c r="L24" s="31"/>
      <c r="M24" s="31"/>
      <c r="N24" s="31"/>
    </row>
    <row r="25">
      <c r="B25" s="25" t="s">
        <v>71</v>
      </c>
      <c r="C25" s="4" t="s">
        <v>120</v>
      </c>
      <c r="D25" s="4" t="s">
        <v>112</v>
      </c>
      <c r="E25" s="4" t="s">
        <v>113</v>
      </c>
      <c r="F25" s="4" t="s">
        <v>113</v>
      </c>
      <c r="I25" s="31"/>
      <c r="J25" s="31"/>
      <c r="K25" s="50" t="s">
        <v>135</v>
      </c>
      <c r="L25" s="31"/>
      <c r="M25" s="31"/>
      <c r="N25" s="31"/>
    </row>
    <row r="26">
      <c r="B26" s="25" t="s">
        <v>72</v>
      </c>
      <c r="C26" s="4" t="s">
        <v>120</v>
      </c>
      <c r="D26" s="4" t="s">
        <v>112</v>
      </c>
      <c r="E26" s="4" t="s">
        <v>116</v>
      </c>
      <c r="F26" s="4" t="s">
        <v>113</v>
      </c>
      <c r="I26" s="31"/>
      <c r="J26" s="33"/>
      <c r="K26" s="51" t="s">
        <v>136</v>
      </c>
      <c r="L26" s="31"/>
      <c r="M26" s="31"/>
      <c r="N26" s="31"/>
    </row>
    <row r="27">
      <c r="B27" s="25" t="s">
        <v>73</v>
      </c>
      <c r="C27" s="4" t="s">
        <v>120</v>
      </c>
      <c r="D27" s="4" t="s">
        <v>112</v>
      </c>
      <c r="E27" s="4" t="s">
        <v>113</v>
      </c>
      <c r="F27" s="4" t="s">
        <v>113</v>
      </c>
      <c r="I27" s="31"/>
      <c r="J27" s="43" t="s">
        <v>138</v>
      </c>
      <c r="K27" s="49" t="s">
        <v>132</v>
      </c>
      <c r="L27" s="31"/>
      <c r="M27" s="31"/>
      <c r="N27" s="31"/>
    </row>
    <row r="28">
      <c r="I28" s="31"/>
      <c r="J28" s="31"/>
      <c r="K28" s="50" t="s">
        <v>133</v>
      </c>
      <c r="L28" s="31"/>
      <c r="M28" s="31"/>
      <c r="N28" s="31"/>
    </row>
    <row r="29">
      <c r="I29" s="31"/>
      <c r="J29" s="31"/>
      <c r="K29" s="50" t="s">
        <v>134</v>
      </c>
      <c r="L29" s="31"/>
      <c r="M29" s="31"/>
      <c r="N29" s="31"/>
    </row>
    <row r="30">
      <c r="I30" s="31"/>
      <c r="J30" s="31"/>
      <c r="K30" s="50" t="s">
        <v>135</v>
      </c>
      <c r="L30" s="31"/>
      <c r="M30" s="31"/>
      <c r="N30" s="31"/>
    </row>
    <row r="31">
      <c r="I31" s="31"/>
      <c r="J31" s="31"/>
      <c r="K31" s="52" t="s">
        <v>136</v>
      </c>
      <c r="L31" s="31"/>
      <c r="M31" s="31"/>
      <c r="N31" s="31"/>
    </row>
    <row r="32">
      <c r="B32" s="53" t="s">
        <v>139</v>
      </c>
      <c r="C32" s="54" t="s">
        <v>76</v>
      </c>
      <c r="D32" s="55" t="s">
        <v>77</v>
      </c>
      <c r="E32" s="56" t="s">
        <v>78</v>
      </c>
      <c r="F32" s="57" t="s">
        <v>79</v>
      </c>
      <c r="I32" s="33"/>
      <c r="J32" s="33"/>
      <c r="K32" s="50" t="s">
        <v>140</v>
      </c>
      <c r="L32" s="33"/>
      <c r="M32" s="33"/>
      <c r="N32" s="33"/>
    </row>
    <row r="33">
      <c r="B33" s="6" t="s">
        <v>141</v>
      </c>
      <c r="C33" s="58">
        <f t="shared" ref="C33:F33" si="1">(COUNTIF(C6:C27, "Identificat") + COUNTIF(C6:C27, "Esbossat") + COUNTIF(C6:C27, "Refinat") + COUNTIF(C6:C27, "Analitzat") + COUNTIF(C6:C27, "Complet")) / COUNTA(C6:C27)</f>
        <v>1</v>
      </c>
      <c r="D33" s="58">
        <f t="shared" si="1"/>
        <v>1</v>
      </c>
      <c r="E33" s="58">
        <f t="shared" si="1"/>
        <v>1</v>
      </c>
      <c r="F33" s="58">
        <f t="shared" si="1"/>
        <v>1</v>
      </c>
      <c r="I33" s="59" t="s">
        <v>79</v>
      </c>
      <c r="J33" s="60" t="s">
        <v>142</v>
      </c>
      <c r="K33" s="61" t="s">
        <v>143</v>
      </c>
      <c r="L33" s="62">
        <f>F82</f>
        <v>45617</v>
      </c>
      <c r="M33" s="62">
        <f>F83</f>
        <v>45658</v>
      </c>
      <c r="N33" s="63">
        <f>F63/6</f>
        <v>89.26179167</v>
      </c>
    </row>
    <row r="34">
      <c r="B34" s="6" t="s">
        <v>112</v>
      </c>
      <c r="C34" s="58">
        <f t="shared" ref="C34:F34" si="2">(COUNTIF(C6:C27, "Esbossat") + COUNTIF(C6:C27, "Refinat") + COUNTIF(C6:C27, "Analitzat") + COUNTIF(C6:C27, "Complet")) / COUNTA(C6:C27)</f>
        <v>0.5</v>
      </c>
      <c r="D34" s="58">
        <f t="shared" si="2"/>
        <v>0.8181818182</v>
      </c>
      <c r="E34" s="58">
        <f t="shared" si="2"/>
        <v>1</v>
      </c>
      <c r="F34" s="58">
        <f t="shared" si="2"/>
        <v>1</v>
      </c>
      <c r="I34" s="31"/>
      <c r="J34" s="31"/>
      <c r="K34" s="64" t="s">
        <v>144</v>
      </c>
      <c r="L34" s="31"/>
      <c r="M34" s="31"/>
      <c r="N34" s="31"/>
    </row>
    <row r="35">
      <c r="B35" s="6" t="s">
        <v>118</v>
      </c>
      <c r="C35" s="58">
        <f t="shared" ref="C35:F35" si="3">(COUNTIF(C6:C27, "Refinat") + COUNTIF(C6:C27, "Analitzat") + COUNTIF(C6:C27, "Complet")) / COUNTA(C6:C27)</f>
        <v>0.09090909091</v>
      </c>
      <c r="D35" s="58">
        <f t="shared" si="3"/>
        <v>0.4545454545</v>
      </c>
      <c r="E35" s="58">
        <f t="shared" si="3"/>
        <v>1</v>
      </c>
      <c r="F35" s="58">
        <f t="shared" si="3"/>
        <v>1</v>
      </c>
      <c r="I35" s="31"/>
      <c r="J35" s="31"/>
      <c r="K35" s="64" t="s">
        <v>145</v>
      </c>
      <c r="L35" s="31"/>
      <c r="M35" s="31"/>
      <c r="N35" s="31"/>
    </row>
    <row r="36">
      <c r="B36" s="6" t="s">
        <v>116</v>
      </c>
      <c r="C36" s="58">
        <f t="shared" ref="C36:F36" si="4">(COUNTIF(C6:C27, "Analitzat") + COUNTIF(C6:C27, "Complet")) / COUNTA(C6:C27)</f>
        <v>0</v>
      </c>
      <c r="D36" s="58">
        <f t="shared" si="4"/>
        <v>0.2272727273</v>
      </c>
      <c r="E36" s="58">
        <f t="shared" si="4"/>
        <v>1</v>
      </c>
      <c r="F36" s="58">
        <f t="shared" si="4"/>
        <v>1</v>
      </c>
      <c r="I36" s="33"/>
      <c r="J36" s="33"/>
      <c r="K36" s="65" t="s">
        <v>146</v>
      </c>
      <c r="L36" s="33"/>
      <c r="M36" s="33"/>
      <c r="N36" s="33"/>
    </row>
    <row r="37">
      <c r="B37" s="6" t="s">
        <v>113</v>
      </c>
      <c r="C37" s="58">
        <f t="shared" ref="C37:F37" si="5">(COUNTIF(C6:C27, "Complet")) / COUNTA(C6:C27)</f>
        <v>0</v>
      </c>
      <c r="D37" s="58">
        <f t="shared" si="5"/>
        <v>0.09090909091</v>
      </c>
      <c r="E37" s="58">
        <f t="shared" si="5"/>
        <v>0.7272727273</v>
      </c>
      <c r="F37" s="58">
        <f t="shared" si="5"/>
        <v>1</v>
      </c>
    </row>
    <row r="38">
      <c r="K38" s="66"/>
    </row>
    <row r="41">
      <c r="B41" s="67" t="s">
        <v>147</v>
      </c>
      <c r="C41" s="68">
        <f>'Projecció temps i cost'!E5</f>
        <v>5355.7075</v>
      </c>
      <c r="D41" s="11" t="s">
        <v>5</v>
      </c>
      <c r="E41" s="68">
        <f>'Projecció temps i cost'!G5</f>
        <v>669.4634375</v>
      </c>
      <c r="F41" s="11" t="s">
        <v>6</v>
      </c>
    </row>
    <row r="42">
      <c r="C42" s="68">
        <f>'Projecció temps i cost'!I5</f>
        <v>37.19241319</v>
      </c>
      <c r="D42" s="11" t="s">
        <v>7</v>
      </c>
      <c r="E42" s="68">
        <f>'Projecció temps i cost'!K5</f>
        <v>3.099367766</v>
      </c>
      <c r="F42" s="11" t="s">
        <v>148</v>
      </c>
    </row>
    <row r="44">
      <c r="B44" s="6" t="s">
        <v>75</v>
      </c>
      <c r="C44" s="6" t="s">
        <v>76</v>
      </c>
      <c r="D44" s="6" t="s">
        <v>77</v>
      </c>
      <c r="E44" s="6" t="s">
        <v>78</v>
      </c>
      <c r="F44" s="6" t="s">
        <v>79</v>
      </c>
    </row>
    <row r="45">
      <c r="B45" s="6" t="s">
        <v>86</v>
      </c>
      <c r="C45" s="69">
        <v>0.05</v>
      </c>
      <c r="D45" s="69">
        <v>0.2</v>
      </c>
      <c r="E45" s="69">
        <v>0.65</v>
      </c>
      <c r="F45" s="69">
        <v>0.1</v>
      </c>
    </row>
    <row r="46">
      <c r="B46" s="11" t="s">
        <v>80</v>
      </c>
      <c r="C46" s="12">
        <v>0.4</v>
      </c>
      <c r="D46" s="12">
        <v>0.1</v>
      </c>
      <c r="E46" s="12">
        <v>0.15</v>
      </c>
      <c r="F46" s="12">
        <v>0.5</v>
      </c>
    </row>
    <row r="47">
      <c r="B47" s="11" t="s">
        <v>81</v>
      </c>
      <c r="C47" s="12">
        <v>0.05</v>
      </c>
      <c r="D47" s="12">
        <v>0.3</v>
      </c>
      <c r="E47" s="12">
        <v>0.15</v>
      </c>
      <c r="F47" s="12">
        <v>0.1</v>
      </c>
    </row>
    <row r="48">
      <c r="B48" s="11" t="s">
        <v>82</v>
      </c>
      <c r="C48" s="12">
        <v>0.15</v>
      </c>
      <c r="D48" s="12">
        <v>0.2</v>
      </c>
      <c r="E48" s="12">
        <v>0.05</v>
      </c>
      <c r="F48" s="12">
        <v>0.0</v>
      </c>
    </row>
    <row r="49">
      <c r="B49" s="11" t="s">
        <v>83</v>
      </c>
      <c r="C49" s="12">
        <v>0.4</v>
      </c>
      <c r="D49" s="12">
        <v>0.2</v>
      </c>
      <c r="E49" s="12">
        <v>0.1</v>
      </c>
      <c r="F49" s="12">
        <v>0.05</v>
      </c>
    </row>
    <row r="50">
      <c r="B50" s="11" t="s">
        <v>84</v>
      </c>
      <c r="C50" s="12">
        <v>0.0</v>
      </c>
      <c r="D50" s="12">
        <v>0.15</v>
      </c>
      <c r="E50" s="12">
        <v>0.4</v>
      </c>
      <c r="F50" s="12">
        <v>0.15</v>
      </c>
    </row>
    <row r="51">
      <c r="B51" s="11" t="s">
        <v>85</v>
      </c>
      <c r="C51" s="12">
        <v>0.0</v>
      </c>
      <c r="D51" s="12">
        <v>0.05</v>
      </c>
      <c r="E51" s="12">
        <v>0.15</v>
      </c>
      <c r="F51" s="12">
        <v>0.2</v>
      </c>
    </row>
    <row r="54">
      <c r="B54" s="67" t="s">
        <v>149</v>
      </c>
      <c r="C54" s="68"/>
      <c r="D54" s="68"/>
      <c r="E54" s="68"/>
      <c r="F54" s="68"/>
    </row>
    <row r="56">
      <c r="B56" s="6" t="s">
        <v>75</v>
      </c>
      <c r="C56" s="6" t="s">
        <v>76</v>
      </c>
      <c r="D56" s="6" t="s">
        <v>77</v>
      </c>
      <c r="E56" s="6" t="s">
        <v>78</v>
      </c>
      <c r="F56" s="6" t="s">
        <v>79</v>
      </c>
    </row>
    <row r="57">
      <c r="B57" s="11" t="s">
        <v>80</v>
      </c>
      <c r="C57" s="70">
        <f t="shared" ref="C57:F57" si="6">C$63*C46</f>
        <v>107.11415</v>
      </c>
      <c r="D57" s="70">
        <f t="shared" si="6"/>
        <v>107.11415</v>
      </c>
      <c r="E57" s="70">
        <f t="shared" si="6"/>
        <v>522.1814813</v>
      </c>
      <c r="F57" s="70">
        <f t="shared" si="6"/>
        <v>267.785375</v>
      </c>
      <c r="G57" s="71">
        <f t="shared" ref="G57:G63" si="8">sum(C57:F57)</f>
        <v>1004.195156</v>
      </c>
    </row>
    <row r="58">
      <c r="B58" s="11" t="s">
        <v>81</v>
      </c>
      <c r="C58" s="70">
        <f t="shared" ref="C58:F58" si="7">C$63*C47</f>
        <v>13.38926875</v>
      </c>
      <c r="D58" s="70">
        <f t="shared" si="7"/>
        <v>321.34245</v>
      </c>
      <c r="E58" s="70">
        <f t="shared" si="7"/>
        <v>522.1814813</v>
      </c>
      <c r="F58" s="70">
        <f t="shared" si="7"/>
        <v>53.557075</v>
      </c>
      <c r="G58" s="71">
        <f t="shared" si="8"/>
        <v>910.470275</v>
      </c>
    </row>
    <row r="59">
      <c r="B59" s="11" t="s">
        <v>82</v>
      </c>
      <c r="C59" s="70">
        <f t="shared" ref="C59:F59" si="9">C$63*C48</f>
        <v>40.16780625</v>
      </c>
      <c r="D59" s="70">
        <f t="shared" si="9"/>
        <v>214.2283</v>
      </c>
      <c r="E59" s="70">
        <f t="shared" si="9"/>
        <v>174.0604938</v>
      </c>
      <c r="F59" s="70">
        <f t="shared" si="9"/>
        <v>0</v>
      </c>
      <c r="G59" s="71">
        <f t="shared" si="8"/>
        <v>428.4566</v>
      </c>
    </row>
    <row r="60">
      <c r="B60" s="11" t="s">
        <v>83</v>
      </c>
      <c r="C60" s="70">
        <f t="shared" ref="C60:F60" si="10">C$63*C49</f>
        <v>107.11415</v>
      </c>
      <c r="D60" s="70">
        <f t="shared" si="10"/>
        <v>214.2283</v>
      </c>
      <c r="E60" s="70">
        <f t="shared" si="10"/>
        <v>348.1209875</v>
      </c>
      <c r="F60" s="70">
        <f t="shared" si="10"/>
        <v>26.7785375</v>
      </c>
      <c r="G60" s="71">
        <f t="shared" si="8"/>
        <v>696.241975</v>
      </c>
    </row>
    <row r="61">
      <c r="B61" s="11" t="s">
        <v>84</v>
      </c>
      <c r="C61" s="70">
        <f t="shared" ref="C61:F61" si="11">C$63*C50</f>
        <v>0</v>
      </c>
      <c r="D61" s="70">
        <f t="shared" si="11"/>
        <v>160.671225</v>
      </c>
      <c r="E61" s="70">
        <f t="shared" si="11"/>
        <v>1392.48395</v>
      </c>
      <c r="F61" s="70">
        <f t="shared" si="11"/>
        <v>80.3356125</v>
      </c>
      <c r="G61" s="71">
        <f t="shared" si="8"/>
        <v>1633.490788</v>
      </c>
    </row>
    <row r="62">
      <c r="B62" s="11" t="s">
        <v>85</v>
      </c>
      <c r="C62" s="70">
        <f t="shared" ref="C62:F62" si="12">C$63*C51</f>
        <v>0</v>
      </c>
      <c r="D62" s="70">
        <f t="shared" si="12"/>
        <v>53.557075</v>
      </c>
      <c r="E62" s="70">
        <f t="shared" si="12"/>
        <v>522.1814813</v>
      </c>
      <c r="F62" s="70">
        <f t="shared" si="12"/>
        <v>107.11415</v>
      </c>
      <c r="G62" s="71">
        <f t="shared" si="8"/>
        <v>682.8527063</v>
      </c>
    </row>
    <row r="63">
      <c r="B63" s="6" t="s">
        <v>150</v>
      </c>
      <c r="C63" s="72">
        <f t="shared" ref="C63:F63" si="13">$C$41*C45</f>
        <v>267.785375</v>
      </c>
      <c r="D63" s="72">
        <f t="shared" si="13"/>
        <v>1071.1415</v>
      </c>
      <c r="E63" s="72">
        <f t="shared" si="13"/>
        <v>3481.209875</v>
      </c>
      <c r="F63" s="72">
        <f t="shared" si="13"/>
        <v>535.57075</v>
      </c>
      <c r="G63" s="71">
        <f t="shared" si="8"/>
        <v>5355.7075</v>
      </c>
    </row>
    <row r="66">
      <c r="B66" s="67" t="s">
        <v>151</v>
      </c>
      <c r="C66" s="68"/>
      <c r="D66" s="68"/>
      <c r="E66" s="68"/>
      <c r="F66" s="68"/>
    </row>
    <row r="68">
      <c r="B68" s="6" t="s">
        <v>75</v>
      </c>
      <c r="C68" s="6" t="s">
        <v>76</v>
      </c>
      <c r="D68" s="6" t="s">
        <v>77</v>
      </c>
      <c r="E68" s="6" t="s">
        <v>78</v>
      </c>
      <c r="F68" s="6" t="s">
        <v>79</v>
      </c>
    </row>
    <row r="69">
      <c r="B69" s="11" t="s">
        <v>80</v>
      </c>
      <c r="C69" s="70">
        <f>C57/'Projecció temps i cost'!$D50</f>
        <v>53.557075</v>
      </c>
      <c r="D69" s="70">
        <f>D57/'Projecció temps i cost'!$D50</f>
        <v>53.557075</v>
      </c>
      <c r="E69" s="70">
        <f>E57/'Projecció temps i cost'!$D50</f>
        <v>261.0907406</v>
      </c>
      <c r="F69" s="70">
        <f>F57/'Projecció temps i cost'!$D50</f>
        <v>133.8926875</v>
      </c>
      <c r="G69" s="71">
        <f t="shared" ref="G69:G75" si="14">SUM(C69:F69)</f>
        <v>502.0975781</v>
      </c>
    </row>
    <row r="70">
      <c r="B70" s="11" t="s">
        <v>81</v>
      </c>
      <c r="C70" s="70">
        <f>C58/'Projecció temps i cost'!$D51</f>
        <v>6.694634375</v>
      </c>
      <c r="D70" s="70">
        <f>D58/'Projecció temps i cost'!$D51</f>
        <v>160.671225</v>
      </c>
      <c r="E70" s="70">
        <f>E58/'Projecció temps i cost'!$D51</f>
        <v>261.0907406</v>
      </c>
      <c r="F70" s="70">
        <f>F58/'Projecció temps i cost'!$D51</f>
        <v>26.7785375</v>
      </c>
      <c r="G70" s="71">
        <f t="shared" si="14"/>
        <v>455.2351375</v>
      </c>
    </row>
    <row r="71">
      <c r="B71" s="11" t="s">
        <v>82</v>
      </c>
      <c r="C71" s="70">
        <f>C59/'Projecció temps i cost'!$D52</f>
        <v>40.16780625</v>
      </c>
      <c r="D71" s="70">
        <f>D59/'Projecció temps i cost'!$D52</f>
        <v>214.2283</v>
      </c>
      <c r="E71" s="70">
        <f>E59/'Projecció temps i cost'!$D52</f>
        <v>174.0604938</v>
      </c>
      <c r="F71" s="70">
        <f>F59/'Projecció temps i cost'!$D52</f>
        <v>0</v>
      </c>
      <c r="G71" s="71">
        <f t="shared" si="14"/>
        <v>428.4566</v>
      </c>
    </row>
    <row r="72">
      <c r="B72" s="11" t="s">
        <v>83</v>
      </c>
      <c r="C72" s="70">
        <f>C60/'Projecció temps i cost'!$D53</f>
        <v>107.11415</v>
      </c>
      <c r="D72" s="70">
        <f>D60/'Projecció temps i cost'!$D53</f>
        <v>214.2283</v>
      </c>
      <c r="E72" s="70">
        <f>E60/'Projecció temps i cost'!$D53</f>
        <v>348.1209875</v>
      </c>
      <c r="F72" s="70">
        <f>F60/'Projecció temps i cost'!$D53</f>
        <v>26.7785375</v>
      </c>
      <c r="G72" s="71">
        <f t="shared" si="14"/>
        <v>696.241975</v>
      </c>
    </row>
    <row r="73">
      <c r="B73" s="11" t="s">
        <v>84</v>
      </c>
      <c r="C73" s="70">
        <f>C61/'Projecció temps i cost'!$D54</f>
        <v>0</v>
      </c>
      <c r="D73" s="70">
        <f>D61/'Projecció temps i cost'!$D54</f>
        <v>53.557075</v>
      </c>
      <c r="E73" s="70">
        <f>E61/'Projecció temps i cost'!$D54</f>
        <v>464.1613167</v>
      </c>
      <c r="F73" s="70">
        <f>F61/'Projecció temps i cost'!$D54</f>
        <v>26.7785375</v>
      </c>
      <c r="G73" s="71">
        <f t="shared" si="14"/>
        <v>544.4969292</v>
      </c>
    </row>
    <row r="74">
      <c r="B74" s="11" t="s">
        <v>85</v>
      </c>
      <c r="C74" s="70">
        <f>C62/'Projecció temps i cost'!$D55</f>
        <v>0</v>
      </c>
      <c r="D74" s="70">
        <f>D62/'Projecció temps i cost'!$D55</f>
        <v>53.557075</v>
      </c>
      <c r="E74" s="70">
        <f>E62/'Projecció temps i cost'!$D55</f>
        <v>522.1814813</v>
      </c>
      <c r="F74" s="70">
        <f>F62/'Projecció temps i cost'!$D55</f>
        <v>107.11415</v>
      </c>
      <c r="G74" s="71">
        <f t="shared" si="14"/>
        <v>682.8527063</v>
      </c>
    </row>
    <row r="75">
      <c r="B75" s="6" t="s">
        <v>150</v>
      </c>
      <c r="C75" s="72">
        <f t="shared" ref="C75:F75" si="15">SUM(C69:C74)</f>
        <v>207.5336656</v>
      </c>
      <c r="D75" s="72">
        <f t="shared" si="15"/>
        <v>749.79905</v>
      </c>
      <c r="E75" s="72">
        <f t="shared" si="15"/>
        <v>2030.70576</v>
      </c>
      <c r="F75" s="72">
        <f t="shared" si="15"/>
        <v>321.34245</v>
      </c>
      <c r="G75" s="71">
        <f t="shared" si="14"/>
        <v>3309.380926</v>
      </c>
    </row>
    <row r="78">
      <c r="B78" s="67" t="s">
        <v>152</v>
      </c>
      <c r="C78" s="11" t="s">
        <v>153</v>
      </c>
      <c r="D78" s="68"/>
      <c r="E78" s="68"/>
      <c r="F78" s="68"/>
    </row>
    <row r="80">
      <c r="B80" s="6" t="s">
        <v>75</v>
      </c>
      <c r="C80" s="6" t="s">
        <v>76</v>
      </c>
      <c r="D80" s="6" t="s">
        <v>77</v>
      </c>
      <c r="E80" s="6" t="s">
        <v>78</v>
      </c>
      <c r="F80" s="6" t="s">
        <v>79</v>
      </c>
    </row>
    <row r="81">
      <c r="B81" s="11" t="s">
        <v>154</v>
      </c>
      <c r="C81" s="70">
        <f t="shared" ref="C81:F81" si="16">roundup(C75/8)</f>
        <v>26</v>
      </c>
      <c r="D81" s="70">
        <f t="shared" si="16"/>
        <v>94</v>
      </c>
      <c r="E81" s="70">
        <f t="shared" si="16"/>
        <v>254</v>
      </c>
      <c r="F81" s="70">
        <f t="shared" si="16"/>
        <v>41</v>
      </c>
      <c r="G81" s="71">
        <f>SUM(C81:F81)</f>
        <v>415</v>
      </c>
      <c r="H81" s="4" t="s">
        <v>155</v>
      </c>
    </row>
    <row r="82">
      <c r="B82" s="11" t="s">
        <v>109</v>
      </c>
      <c r="C82" s="73">
        <f>DATE(2023,11,10)</f>
        <v>45240</v>
      </c>
      <c r="D82" s="73">
        <f t="shared" ref="D82:F82" si="17">C83+1</f>
        <v>45267</v>
      </c>
      <c r="E82" s="73">
        <f t="shared" si="17"/>
        <v>45362</v>
      </c>
      <c r="F82" s="73">
        <f t="shared" si="17"/>
        <v>45617</v>
      </c>
    </row>
    <row r="83">
      <c r="B83" s="11" t="s">
        <v>156</v>
      </c>
      <c r="C83" s="73">
        <f t="shared" ref="C83:F83" si="18">C82+C81</f>
        <v>45266</v>
      </c>
      <c r="D83" s="73">
        <f t="shared" si="18"/>
        <v>45361</v>
      </c>
      <c r="E83" s="73">
        <f t="shared" si="18"/>
        <v>45616</v>
      </c>
      <c r="F83" s="73">
        <f t="shared" si="18"/>
        <v>45658</v>
      </c>
    </row>
    <row r="84">
      <c r="B84" s="11" t="s">
        <v>157</v>
      </c>
      <c r="C84" s="14">
        <v>0.1</v>
      </c>
      <c r="D84" s="14">
        <v>0.3</v>
      </c>
      <c r="E84" s="14">
        <v>0.5</v>
      </c>
      <c r="F84" s="14">
        <v>0.1</v>
      </c>
    </row>
    <row r="85">
      <c r="B85" s="11" t="s">
        <v>158</v>
      </c>
      <c r="C85" s="70">
        <f t="shared" ref="C85:F85" si="19">$C$41*C84</f>
        <v>535.57075</v>
      </c>
      <c r="D85" s="70">
        <f t="shared" si="19"/>
        <v>1606.71225</v>
      </c>
      <c r="E85" s="70">
        <f t="shared" si="19"/>
        <v>2677.85375</v>
      </c>
      <c r="F85" s="70">
        <f t="shared" si="19"/>
        <v>535.57075</v>
      </c>
    </row>
    <row r="88">
      <c r="B88" s="74" t="s">
        <v>159</v>
      </c>
      <c r="C88" s="75">
        <f>SUM(C81:F81)</f>
        <v>415</v>
      </c>
      <c r="D88" s="76" t="s">
        <v>6</v>
      </c>
      <c r="E88" s="77">
        <f>C88/18</f>
        <v>23.05555556</v>
      </c>
      <c r="F88" s="76" t="s">
        <v>7</v>
      </c>
    </row>
    <row r="89">
      <c r="C89" s="77">
        <f>E88/12</f>
        <v>1.921296296</v>
      </c>
      <c r="D89" s="76" t="s">
        <v>148</v>
      </c>
      <c r="E89" s="68"/>
      <c r="F89" s="68"/>
    </row>
  </sheetData>
  <mergeCells count="25">
    <mergeCell ref="L11:L16"/>
    <mergeCell ref="M11:M16"/>
    <mergeCell ref="L17:L32"/>
    <mergeCell ref="M17:M32"/>
    <mergeCell ref="N17:N32"/>
    <mergeCell ref="L33:L36"/>
    <mergeCell ref="M33:M36"/>
    <mergeCell ref="N33:N36"/>
    <mergeCell ref="I6:I10"/>
    <mergeCell ref="J6:J10"/>
    <mergeCell ref="L6:L10"/>
    <mergeCell ref="M6:M10"/>
    <mergeCell ref="N6:N10"/>
    <mergeCell ref="I11:I16"/>
    <mergeCell ref="N11:N16"/>
    <mergeCell ref="I33:I36"/>
    <mergeCell ref="B41:B42"/>
    <mergeCell ref="B88:B89"/>
    <mergeCell ref="J11:J13"/>
    <mergeCell ref="J14:J16"/>
    <mergeCell ref="I17:I32"/>
    <mergeCell ref="J17:J21"/>
    <mergeCell ref="J22:J26"/>
    <mergeCell ref="J27:J32"/>
    <mergeCell ref="J33:J36"/>
  </mergeCells>
  <conditionalFormatting sqref="C33:C37">
    <cfRule type="colorScale" priority="1">
      <colorScale>
        <cfvo type="percent" val="0"/>
        <cfvo type="percent" val="100"/>
        <color rgb="FFFCE5CD"/>
        <color rgb="FFE69138"/>
      </colorScale>
    </cfRule>
  </conditionalFormatting>
  <conditionalFormatting sqref="D33:D37">
    <cfRule type="colorScale" priority="2">
      <colorScale>
        <cfvo type="percent" val="0"/>
        <cfvo type="percent" val="100"/>
        <color rgb="FFD9EAD3"/>
        <color rgb="FF6AA84F"/>
      </colorScale>
    </cfRule>
  </conditionalFormatting>
  <conditionalFormatting sqref="E33:E37">
    <cfRule type="colorScale" priority="3">
      <colorScale>
        <cfvo type="percent" val="0"/>
        <cfvo type="percent" val="100"/>
        <color rgb="FFD0E0E3"/>
        <color rgb="FF45818E"/>
      </colorScale>
    </cfRule>
  </conditionalFormatting>
  <conditionalFormatting sqref="F33:F37">
    <cfRule type="colorScale" priority="4">
      <colorScale>
        <cfvo type="percent" val="0"/>
        <cfvo type="percent" val="100"/>
        <color rgb="FFD9D2E9"/>
        <color rgb="FF8E7CC3"/>
      </colorScale>
    </cfRule>
  </conditionalFormatting>
  <dataValidations>
    <dataValidation type="list" allowBlank="1" showErrorMessage="1" sqref="C6:F27">
      <formula1>"Identificat,Esbossat,Refinat,Analitzat,Complet"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2">
      <c r="B2" s="78">
        <v>45240.0</v>
      </c>
      <c r="C2" s="78">
        <v>45243.0</v>
      </c>
      <c r="D2" s="78">
        <v>45244.0</v>
      </c>
      <c r="E2" s="78">
        <v>45245.0</v>
      </c>
      <c r="F2" s="78">
        <v>45246.0</v>
      </c>
      <c r="G2" s="78">
        <v>45247.0</v>
      </c>
      <c r="H2" s="78">
        <v>45250.0</v>
      </c>
      <c r="I2" s="78">
        <v>45251.0</v>
      </c>
      <c r="J2" s="78">
        <v>45252.0</v>
      </c>
      <c r="K2" s="78">
        <v>45253.0</v>
      </c>
      <c r="L2" s="78">
        <v>45254.0</v>
      </c>
      <c r="M2" s="78">
        <v>45257.0</v>
      </c>
      <c r="N2" s="78">
        <v>45258.0</v>
      </c>
      <c r="O2" s="78">
        <v>45259.0</v>
      </c>
      <c r="P2" s="78">
        <v>45260.0</v>
      </c>
      <c r="Q2" s="78">
        <v>45261.0</v>
      </c>
      <c r="R2" s="78">
        <v>45264.0</v>
      </c>
      <c r="S2" s="78">
        <v>45082.0</v>
      </c>
      <c r="T2" s="78">
        <v>45266.0</v>
      </c>
    </row>
    <row r="3">
      <c r="A3" s="28" t="s">
        <v>115</v>
      </c>
      <c r="B3" s="79"/>
      <c r="C3" s="79"/>
      <c r="D3" s="79"/>
    </row>
    <row r="4">
      <c r="A4" s="32" t="s">
        <v>117</v>
      </c>
      <c r="E4" s="80"/>
      <c r="F4" s="80"/>
      <c r="G4" s="80"/>
      <c r="H4" s="80"/>
    </row>
    <row r="5">
      <c r="A5" s="32" t="s">
        <v>119</v>
      </c>
      <c r="E5" s="81"/>
      <c r="F5" s="81"/>
      <c r="G5" s="81"/>
    </row>
    <row r="6">
      <c r="A6" s="32" t="s">
        <v>121</v>
      </c>
      <c r="H6" s="82"/>
      <c r="I6" s="82"/>
      <c r="J6" s="82"/>
      <c r="K6" s="82"/>
      <c r="L6" s="82"/>
      <c r="M6" s="82"/>
      <c r="N6" s="82"/>
      <c r="O6" s="82"/>
      <c r="P6" s="82"/>
    </row>
    <row r="7">
      <c r="A7" s="34" t="s">
        <v>122</v>
      </c>
      <c r="Q7" s="83"/>
      <c r="R7" s="83"/>
      <c r="S7" s="83"/>
      <c r="T7" s="83"/>
    </row>
  </sheetData>
  <drawing r:id="rId1"/>
</worksheet>
</file>