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45" yWindow="1035" windowWidth="11850" windowHeight="8460" activeTab="1"/>
  </bookViews>
  <sheets>
    <sheet name="Nota de Pedido QF" sheetId="1" r:id="rId1"/>
    <sheet name="Hoja1" sheetId="2" r:id="rId2"/>
  </sheets>
  <definedNames>
    <definedName name="_xlnm._FilterDatabase" localSheetId="0" hidden="1">'Nota de Pedido QF'!$A$10:$I$261</definedName>
    <definedName name="_xlnm.Print_Area" localSheetId="0">'Nota de Pedido QF'!$A$6:$I$261</definedName>
    <definedName name="_xlnm.Print_Titles" localSheetId="0">'Nota de Pedido QF'!$6:$10</definedName>
  </definedNames>
  <calcPr calcId="125725"/>
</workbook>
</file>

<file path=xl/calcChain.xml><?xml version="1.0" encoding="utf-8"?>
<calcChain xmlns="http://schemas.openxmlformats.org/spreadsheetml/2006/main">
  <c r="D241" i="2"/>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D2"/>
  <c r="D1"/>
  <c r="C241"/>
  <c r="C240"/>
  <c r="C239"/>
  <c r="C238"/>
  <c r="C237"/>
  <c r="C236"/>
  <c r="C235"/>
  <c r="C234"/>
  <c r="C233"/>
  <c r="C232"/>
  <c r="C231"/>
  <c r="C230"/>
  <c r="C229"/>
  <c r="C228"/>
  <c r="C227"/>
  <c r="C226"/>
  <c r="C225"/>
  <c r="C224"/>
  <c r="C223"/>
  <c r="C222"/>
  <c r="C221"/>
  <c r="C220"/>
  <c r="C219"/>
  <c r="C218"/>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 r="Z223" i="1"/>
  <c r="AB223" s="1"/>
  <c r="Z164"/>
  <c r="AC160"/>
  <c r="Z132"/>
  <c r="Z131"/>
  <c r="Z121"/>
  <c r="Z101"/>
  <c r="Z102" s="1"/>
  <c r="Z54"/>
  <c r="Z46"/>
  <c r="AC205"/>
  <c r="AC206"/>
  <c r="AC207"/>
  <c r="AC208"/>
  <c r="AC209"/>
  <c r="AC210"/>
  <c r="AC211"/>
  <c r="AC212"/>
  <c r="AC213"/>
  <c r="AC214"/>
  <c r="AC216"/>
  <c r="AC217"/>
  <c r="AC218"/>
  <c r="AC219"/>
  <c r="AC220"/>
  <c r="AC221"/>
  <c r="AC222"/>
  <c r="AC223"/>
  <c r="AC204"/>
  <c r="AC50"/>
  <c r="AC68"/>
  <c r="AC69"/>
  <c r="AC70"/>
  <c r="AC71"/>
  <c r="AC72"/>
  <c r="AC73"/>
  <c r="AC74"/>
  <c r="AC75"/>
  <c r="AC76"/>
  <c r="AC77"/>
  <c r="AC78"/>
  <c r="AC79"/>
  <c r="AC80"/>
  <c r="AC82"/>
  <c r="AC83"/>
  <c r="AC84"/>
  <c r="AC115"/>
  <c r="AC116"/>
  <c r="AC138"/>
  <c r="AC139"/>
  <c r="AC140"/>
  <c r="AC141"/>
  <c r="AC142"/>
  <c r="AC143"/>
  <c r="AC147"/>
  <c r="AC151"/>
  <c r="AC152"/>
  <c r="AC153"/>
  <c r="AC154"/>
  <c r="AC155"/>
  <c r="AC158"/>
  <c r="AC162"/>
  <c r="AC163"/>
  <c r="AC168"/>
  <c r="AC169"/>
  <c r="AC38"/>
  <c r="Z12"/>
  <c r="AC11"/>
  <c r="AC12" s="1"/>
  <c r="AB50"/>
  <c r="AB68"/>
  <c r="AB69"/>
  <c r="AB70"/>
  <c r="AB71"/>
  <c r="AB72"/>
  <c r="AB73"/>
  <c r="AB74"/>
  <c r="AB75"/>
  <c r="AB76"/>
  <c r="AB77"/>
  <c r="AB78"/>
  <c r="AB79"/>
  <c r="AB80"/>
  <c r="AB82"/>
  <c r="AB83"/>
  <c r="AB84"/>
  <c r="AB115"/>
  <c r="AB116"/>
  <c r="AB138"/>
  <c r="AB139"/>
  <c r="AB140"/>
  <c r="AB141"/>
  <c r="AB142"/>
  <c r="AB143"/>
  <c r="AB147"/>
  <c r="AB151"/>
  <c r="AB152"/>
  <c r="AB153"/>
  <c r="AB154"/>
  <c r="AB155"/>
  <c r="AB158"/>
  <c r="AB160"/>
  <c r="AB162"/>
  <c r="AB163"/>
  <c r="AB168"/>
  <c r="AB204"/>
  <c r="AB205"/>
  <c r="AB206"/>
  <c r="AB207"/>
  <c r="AB208"/>
  <c r="AB209"/>
  <c r="AB210"/>
  <c r="AB211"/>
  <c r="AB212"/>
  <c r="AB213"/>
  <c r="AB214"/>
  <c r="AB216"/>
  <c r="AB217"/>
  <c r="AB218"/>
  <c r="AB219"/>
  <c r="AB220"/>
  <c r="AB221"/>
  <c r="AB222"/>
  <c r="AB32"/>
  <c r="AB33"/>
  <c r="AB34"/>
  <c r="AB35"/>
  <c r="AB36"/>
  <c r="AB11"/>
  <c r="Z252"/>
  <c r="Z251"/>
  <c r="Z250"/>
  <c r="Z248"/>
  <c r="Z247"/>
  <c r="Z246"/>
  <c r="Z236"/>
  <c r="Z230"/>
  <c r="Z229"/>
  <c r="Z225"/>
  <c r="Z231" s="1"/>
  <c r="Z170"/>
  <c r="Z169"/>
  <c r="AB169" s="1"/>
  <c r="Z167"/>
  <c r="Z165"/>
  <c r="Z166" s="1"/>
  <c r="Z161"/>
  <c r="Z156"/>
  <c r="Z157"/>
  <c r="Z148"/>
  <c r="Z149"/>
  <c r="Z144"/>
  <c r="Z123"/>
  <c r="Z112"/>
  <c r="Z111"/>
  <c r="Z110"/>
  <c r="Z105"/>
  <c r="Z81"/>
  <c r="AC36"/>
  <c r="AC35"/>
  <c r="AC34"/>
  <c r="AC33"/>
  <c r="AC32"/>
  <c r="Z13"/>
  <c r="X205"/>
  <c r="X206"/>
  <c r="X207"/>
  <c r="X208"/>
  <c r="X209"/>
  <c r="X210"/>
  <c r="X211"/>
  <c r="X212"/>
  <c r="X213"/>
  <c r="X214"/>
  <c r="X216"/>
  <c r="X204"/>
  <c r="U242"/>
  <c r="U239"/>
  <c r="U123"/>
  <c r="U121"/>
  <c r="U112"/>
  <c r="U111"/>
  <c r="U110"/>
  <c r="U105"/>
  <c r="U106"/>
  <c r="U101"/>
  <c r="U102"/>
  <c r="U33"/>
  <c r="W33"/>
  <c r="U11"/>
  <c r="W11"/>
  <c r="W50"/>
  <c r="W68"/>
  <c r="W69"/>
  <c r="W70"/>
  <c r="W71"/>
  <c r="W72"/>
  <c r="W73"/>
  <c r="W74"/>
  <c r="W75"/>
  <c r="W76"/>
  <c r="W77"/>
  <c r="W78"/>
  <c r="W79"/>
  <c r="W80"/>
  <c r="W82"/>
  <c r="W83"/>
  <c r="W84"/>
  <c r="W115"/>
  <c r="W116"/>
  <c r="W138"/>
  <c r="W139"/>
  <c r="W140"/>
  <c r="W141"/>
  <c r="W142"/>
  <c r="W143"/>
  <c r="W147"/>
  <c r="W151"/>
  <c r="W152"/>
  <c r="W153"/>
  <c r="W154"/>
  <c r="W155"/>
  <c r="W158"/>
  <c r="W160"/>
  <c r="W162"/>
  <c r="W163"/>
  <c r="W168"/>
  <c r="W204"/>
  <c r="W205"/>
  <c r="W206"/>
  <c r="W207"/>
  <c r="W208"/>
  <c r="W209"/>
  <c r="W210"/>
  <c r="W211"/>
  <c r="W212"/>
  <c r="W213"/>
  <c r="W214"/>
  <c r="W216"/>
  <c r="W217"/>
  <c r="W218"/>
  <c r="W219"/>
  <c r="W220"/>
  <c r="W221"/>
  <c r="W222"/>
  <c r="W223"/>
  <c r="X11"/>
  <c r="X12" s="1"/>
  <c r="W32"/>
  <c r="W34"/>
  <c r="W35"/>
  <c r="W36"/>
  <c r="U252"/>
  <c r="W252" s="1"/>
  <c r="U251"/>
  <c r="W251" s="1"/>
  <c r="U250"/>
  <c r="W250" s="1"/>
  <c r="W249"/>
  <c r="U248"/>
  <c r="W248"/>
  <c r="U247"/>
  <c r="W247"/>
  <c r="U246"/>
  <c r="W246"/>
  <c r="W245"/>
  <c r="U236"/>
  <c r="U230"/>
  <c r="U229"/>
  <c r="U225"/>
  <c r="U226"/>
  <c r="X223"/>
  <c r="X222"/>
  <c r="X221"/>
  <c r="X220"/>
  <c r="X219"/>
  <c r="X218"/>
  <c r="X217"/>
  <c r="U170"/>
  <c r="X169"/>
  <c r="U169"/>
  <c r="W169" s="1"/>
  <c r="X168"/>
  <c r="U167"/>
  <c r="U165"/>
  <c r="U166" s="1"/>
  <c r="X163"/>
  <c r="X162"/>
  <c r="U161"/>
  <c r="X160"/>
  <c r="X158"/>
  <c r="U156"/>
  <c r="U157"/>
  <c r="X155"/>
  <c r="X154"/>
  <c r="X153"/>
  <c r="X152"/>
  <c r="X151"/>
  <c r="U148"/>
  <c r="U149" s="1"/>
  <c r="X147"/>
  <c r="U144"/>
  <c r="U145" s="1"/>
  <c r="X143"/>
  <c r="X142"/>
  <c r="X141"/>
  <c r="X140"/>
  <c r="X139"/>
  <c r="X138"/>
  <c r="X116"/>
  <c r="X115"/>
  <c r="X84"/>
  <c r="X83"/>
  <c r="X82"/>
  <c r="U81"/>
  <c r="X80"/>
  <c r="X79"/>
  <c r="X78"/>
  <c r="X77"/>
  <c r="X76"/>
  <c r="X75"/>
  <c r="X74"/>
  <c r="X73"/>
  <c r="X72"/>
  <c r="X71"/>
  <c r="X70"/>
  <c r="X69"/>
  <c r="X68"/>
  <c r="X50"/>
  <c r="U46"/>
  <c r="X36"/>
  <c r="X35"/>
  <c r="X34"/>
  <c r="X33"/>
  <c r="X32"/>
  <c r="P242"/>
  <c r="P239"/>
  <c r="S206"/>
  <c r="S207"/>
  <c r="S208"/>
  <c r="S209"/>
  <c r="S210"/>
  <c r="S211"/>
  <c r="S212"/>
  <c r="S213"/>
  <c r="S214"/>
  <c r="S216"/>
  <c r="S205"/>
  <c r="S204"/>
  <c r="P132"/>
  <c r="P131"/>
  <c r="P101"/>
  <c r="P102"/>
  <c r="S115"/>
  <c r="S116"/>
  <c r="P33"/>
  <c r="R33"/>
  <c r="R50"/>
  <c r="R68"/>
  <c r="R69"/>
  <c r="R70"/>
  <c r="R71"/>
  <c r="R72"/>
  <c r="R73"/>
  <c r="R74"/>
  <c r="R75"/>
  <c r="R76"/>
  <c r="R77"/>
  <c r="R78"/>
  <c r="R79"/>
  <c r="R80"/>
  <c r="R82"/>
  <c r="R83"/>
  <c r="R84"/>
  <c r="R115"/>
  <c r="R116"/>
  <c r="R138"/>
  <c r="R139"/>
  <c r="R140"/>
  <c r="R141"/>
  <c r="R142"/>
  <c r="R143"/>
  <c r="R147"/>
  <c r="R151"/>
  <c r="R152"/>
  <c r="R153"/>
  <c r="R154"/>
  <c r="R155"/>
  <c r="R158"/>
  <c r="R160"/>
  <c r="R162"/>
  <c r="R163"/>
  <c r="R168"/>
  <c r="R204"/>
  <c r="R205"/>
  <c r="R206"/>
  <c r="R207"/>
  <c r="R208"/>
  <c r="R209"/>
  <c r="R210"/>
  <c r="R211"/>
  <c r="R212"/>
  <c r="R213"/>
  <c r="R214"/>
  <c r="R216"/>
  <c r="R217"/>
  <c r="R218"/>
  <c r="R219"/>
  <c r="R220"/>
  <c r="R221"/>
  <c r="R222"/>
  <c r="R223"/>
  <c r="R32"/>
  <c r="R34"/>
  <c r="R35"/>
  <c r="R36"/>
  <c r="R11"/>
  <c r="S11"/>
  <c r="AF11"/>
  <c r="P252"/>
  <c r="P251"/>
  <c r="P250"/>
  <c r="P248"/>
  <c r="P247"/>
  <c r="P246"/>
  <c r="P236"/>
  <c r="P230"/>
  <c r="P229"/>
  <c r="P225"/>
  <c r="P226" s="1"/>
  <c r="S223"/>
  <c r="S222"/>
  <c r="S221"/>
  <c r="S220"/>
  <c r="S219"/>
  <c r="S218"/>
  <c r="S217"/>
  <c r="P170"/>
  <c r="S169"/>
  <c r="P169"/>
  <c r="R169" s="1"/>
  <c r="S168"/>
  <c r="P167"/>
  <c r="P165"/>
  <c r="P166" s="1"/>
  <c r="S163"/>
  <c r="S162"/>
  <c r="P161"/>
  <c r="S160"/>
  <c r="S158"/>
  <c r="P156"/>
  <c r="P157"/>
  <c r="S155"/>
  <c r="S154"/>
  <c r="S153"/>
  <c r="S152"/>
  <c r="S151"/>
  <c r="P148"/>
  <c r="P149" s="1"/>
  <c r="S147"/>
  <c r="P144"/>
  <c r="P145" s="1"/>
  <c r="S143"/>
  <c r="S142"/>
  <c r="S141"/>
  <c r="S140"/>
  <c r="S139"/>
  <c r="S138"/>
  <c r="P123"/>
  <c r="P121"/>
  <c r="P112"/>
  <c r="P111"/>
  <c r="P110"/>
  <c r="P105"/>
  <c r="S84"/>
  <c r="S83"/>
  <c r="S82"/>
  <c r="P81"/>
  <c r="S80"/>
  <c r="S79"/>
  <c r="S78"/>
  <c r="S77"/>
  <c r="S76"/>
  <c r="S75"/>
  <c r="S74"/>
  <c r="S73"/>
  <c r="S72"/>
  <c r="S71"/>
  <c r="S70"/>
  <c r="S69"/>
  <c r="S68"/>
  <c r="S50"/>
  <c r="P46"/>
  <c r="S36"/>
  <c r="S35"/>
  <c r="S34"/>
  <c r="S33"/>
  <c r="S32"/>
  <c r="M32"/>
  <c r="M33"/>
  <c r="M34"/>
  <c r="M35"/>
  <c r="M36"/>
  <c r="M11"/>
  <c r="G37"/>
  <c r="K252"/>
  <c r="K251"/>
  <c r="K250"/>
  <c r="K248"/>
  <c r="K247"/>
  <c r="K246"/>
  <c r="N205"/>
  <c r="N206"/>
  <c r="N207"/>
  <c r="N208"/>
  <c r="N209"/>
  <c r="N210"/>
  <c r="N211"/>
  <c r="N212"/>
  <c r="N213"/>
  <c r="N214"/>
  <c r="N216"/>
  <c r="N204"/>
  <c r="M115"/>
  <c r="G120"/>
  <c r="G122"/>
  <c r="AC122"/>
  <c r="G114"/>
  <c r="AC114"/>
  <c r="G113"/>
  <c r="AB113"/>
  <c r="G109"/>
  <c r="AB109"/>
  <c r="G104"/>
  <c r="G107"/>
  <c r="G103"/>
  <c r="AB103"/>
  <c r="G100"/>
  <c r="G127"/>
  <c r="AC127" s="1"/>
  <c r="G126"/>
  <c r="G124"/>
  <c r="M124" s="1"/>
  <c r="G125"/>
  <c r="G117"/>
  <c r="AB117" s="1"/>
  <c r="N68"/>
  <c r="N69"/>
  <c r="N70"/>
  <c r="N71"/>
  <c r="N72"/>
  <c r="N73"/>
  <c r="N74"/>
  <c r="N75"/>
  <c r="N76"/>
  <c r="N77"/>
  <c r="N78"/>
  <c r="N79"/>
  <c r="N82"/>
  <c r="N83"/>
  <c r="N84"/>
  <c r="N80"/>
  <c r="M68"/>
  <c r="M69"/>
  <c r="M70"/>
  <c r="M71"/>
  <c r="M72"/>
  <c r="M73"/>
  <c r="M74"/>
  <c r="M75"/>
  <c r="M76"/>
  <c r="M77"/>
  <c r="M78"/>
  <c r="M79"/>
  <c r="M80"/>
  <c r="M82"/>
  <c r="M83"/>
  <c r="M84"/>
  <c r="G252"/>
  <c r="N252" s="1"/>
  <c r="G251"/>
  <c r="AC251" s="1"/>
  <c r="G250"/>
  <c r="G249"/>
  <c r="AC249"/>
  <c r="G248"/>
  <c r="AC248"/>
  <c r="G247"/>
  <c r="X247"/>
  <c r="G246"/>
  <c r="AC246"/>
  <c r="G245"/>
  <c r="G190"/>
  <c r="AC190" s="1"/>
  <c r="G189"/>
  <c r="G188"/>
  <c r="I188" s="1"/>
  <c r="G187"/>
  <c r="G186"/>
  <c r="AC186" s="1"/>
  <c r="G185"/>
  <c r="G202"/>
  <c r="AC202"/>
  <c r="G203"/>
  <c r="I203"/>
  <c r="G201"/>
  <c r="G200"/>
  <c r="G199"/>
  <c r="M199"/>
  <c r="G198"/>
  <c r="AC198"/>
  <c r="G197"/>
  <c r="G196"/>
  <c r="I196" s="1"/>
  <c r="G195"/>
  <c r="AC195" s="1"/>
  <c r="G194"/>
  <c r="AC194" s="1"/>
  <c r="G193"/>
  <c r="I193" s="1"/>
  <c r="G192"/>
  <c r="G191"/>
  <c r="AB191"/>
  <c r="G184"/>
  <c r="G183"/>
  <c r="G180"/>
  <c r="I180"/>
  <c r="G182"/>
  <c r="AC182"/>
  <c r="G181"/>
  <c r="G179"/>
  <c r="AB179" s="1"/>
  <c r="G178"/>
  <c r="AC178" s="1"/>
  <c r="G177"/>
  <c r="I177" s="1"/>
  <c r="G176"/>
  <c r="G175"/>
  <c r="G174"/>
  <c r="AC174" s="1"/>
  <c r="G173"/>
  <c r="G172"/>
  <c r="N172"/>
  <c r="G171"/>
  <c r="I171"/>
  <c r="G133"/>
  <c r="AB133"/>
  <c r="G130"/>
  <c r="K111"/>
  <c r="K112"/>
  <c r="G241"/>
  <c r="G238"/>
  <c r="W238"/>
  <c r="G242"/>
  <c r="G243"/>
  <c r="X243" s="1"/>
  <c r="G240"/>
  <c r="N240" s="1"/>
  <c r="G239"/>
  <c r="AB239" s="1"/>
  <c r="G228"/>
  <c r="AC228" s="1"/>
  <c r="G224"/>
  <c r="N221"/>
  <c r="M221"/>
  <c r="I221"/>
  <c r="G47"/>
  <c r="N47" s="1"/>
  <c r="G244"/>
  <c r="R244" s="1"/>
  <c r="K230"/>
  <c r="K236"/>
  <c r="K229"/>
  <c r="K225"/>
  <c r="K226"/>
  <c r="G132"/>
  <c r="AC132"/>
  <c r="G129"/>
  <c r="AB129"/>
  <c r="G128"/>
  <c r="G137"/>
  <c r="G136"/>
  <c r="N136"/>
  <c r="G135"/>
  <c r="M135"/>
  <c r="G134"/>
  <c r="G87"/>
  <c r="X87" s="1"/>
  <c r="G99"/>
  <c r="M99" s="1"/>
  <c r="G98"/>
  <c r="AC98" s="1"/>
  <c r="G97"/>
  <c r="G96"/>
  <c r="AB96" s="1"/>
  <c r="G95"/>
  <c r="I95" s="1"/>
  <c r="G94"/>
  <c r="AC94" s="1"/>
  <c r="G93"/>
  <c r="G92"/>
  <c r="AB92" s="1"/>
  <c r="G91"/>
  <c r="N91" s="1"/>
  <c r="G90"/>
  <c r="N90" s="1"/>
  <c r="G89"/>
  <c r="G88"/>
  <c r="AB88"/>
  <c r="G86"/>
  <c r="AC86"/>
  <c r="M86"/>
  <c r="G159"/>
  <c r="AC159" s="1"/>
  <c r="N223"/>
  <c r="M223"/>
  <c r="M222"/>
  <c r="N222"/>
  <c r="N217"/>
  <c r="N220"/>
  <c r="N219"/>
  <c r="N218"/>
  <c r="M220"/>
  <c r="M219"/>
  <c r="M218"/>
  <c r="M217"/>
  <c r="I223"/>
  <c r="I222"/>
  <c r="I220"/>
  <c r="I219"/>
  <c r="I218"/>
  <c r="I217"/>
  <c r="G65"/>
  <c r="G64"/>
  <c r="G63"/>
  <c r="G62"/>
  <c r="AC62" s="1"/>
  <c r="G40"/>
  <c r="G67"/>
  <c r="G66"/>
  <c r="AC66" s="1"/>
  <c r="G39"/>
  <c r="AB39" s="1"/>
  <c r="G41"/>
  <c r="X41" s="1"/>
  <c r="I160"/>
  <c r="I162"/>
  <c r="I163"/>
  <c r="I168"/>
  <c r="I214"/>
  <c r="G61"/>
  <c r="I61" s="1"/>
  <c r="G60"/>
  <c r="G59"/>
  <c r="G58"/>
  <c r="AC58" s="1"/>
  <c r="G56"/>
  <c r="G55"/>
  <c r="G54"/>
  <c r="AC54" s="1"/>
  <c r="G52"/>
  <c r="G51"/>
  <c r="I51"/>
  <c r="G49"/>
  <c r="AC49"/>
  <c r="G48"/>
  <c r="G45"/>
  <c r="X45" s="1"/>
  <c r="G44"/>
  <c r="G43"/>
  <c r="G42"/>
  <c r="K148"/>
  <c r="K149"/>
  <c r="I32"/>
  <c r="I33"/>
  <c r="I34"/>
  <c r="I35"/>
  <c r="I36"/>
  <c r="I68"/>
  <c r="I69"/>
  <c r="I70"/>
  <c r="I71"/>
  <c r="I72"/>
  <c r="I73"/>
  <c r="I74"/>
  <c r="I75"/>
  <c r="I76"/>
  <c r="I77"/>
  <c r="I78"/>
  <c r="I79"/>
  <c r="I80"/>
  <c r="I82"/>
  <c r="I83"/>
  <c r="I84"/>
  <c r="I115"/>
  <c r="I116"/>
  <c r="I142"/>
  <c r="I143"/>
  <c r="I147"/>
  <c r="I152"/>
  <c r="I153"/>
  <c r="I155"/>
  <c r="I158"/>
  <c r="K161"/>
  <c r="N33"/>
  <c r="N34"/>
  <c r="N35"/>
  <c r="N36"/>
  <c r="N115"/>
  <c r="N116"/>
  <c r="N142"/>
  <c r="N143"/>
  <c r="N147"/>
  <c r="N152"/>
  <c r="N153"/>
  <c r="N155"/>
  <c r="N158"/>
  <c r="N160"/>
  <c r="N162"/>
  <c r="N163"/>
  <c r="N168"/>
  <c r="N32"/>
  <c r="N11"/>
  <c r="N12" s="1"/>
  <c r="M116"/>
  <c r="M142"/>
  <c r="M143"/>
  <c r="M147"/>
  <c r="M152"/>
  <c r="M153"/>
  <c r="M155"/>
  <c r="M158"/>
  <c r="M160"/>
  <c r="M162"/>
  <c r="M163"/>
  <c r="M168"/>
  <c r="M214"/>
  <c r="H9"/>
  <c r="I11"/>
  <c r="G12"/>
  <c r="AB12" s="1"/>
  <c r="K12"/>
  <c r="K13" s="1"/>
  <c r="K46"/>
  <c r="N50"/>
  <c r="G57"/>
  <c r="AB57" s="1"/>
  <c r="G81"/>
  <c r="N81" s="1"/>
  <c r="K81"/>
  <c r="G85"/>
  <c r="AB85" s="1"/>
  <c r="K102"/>
  <c r="K105"/>
  <c r="K106"/>
  <c r="K107" s="1"/>
  <c r="M107" s="1"/>
  <c r="K110"/>
  <c r="G118"/>
  <c r="AC118" s="1"/>
  <c r="G119"/>
  <c r="M119" s="1"/>
  <c r="K121"/>
  <c r="K123"/>
  <c r="M138"/>
  <c r="I139"/>
  <c r="I140"/>
  <c r="N141"/>
  <c r="G144"/>
  <c r="K144"/>
  <c r="M144" s="1"/>
  <c r="G148"/>
  <c r="M148" s="1"/>
  <c r="N151"/>
  <c r="N154"/>
  <c r="G156"/>
  <c r="G157" s="1"/>
  <c r="K156"/>
  <c r="G161"/>
  <c r="AC161"/>
  <c r="G164"/>
  <c r="K165"/>
  <c r="K166" s="1"/>
  <c r="G167"/>
  <c r="K167"/>
  <c r="I169"/>
  <c r="K169"/>
  <c r="M169" s="1"/>
  <c r="G170"/>
  <c r="AC170" s="1"/>
  <c r="K170"/>
  <c r="M170" s="1"/>
  <c r="M206"/>
  <c r="M209"/>
  <c r="I211"/>
  <c r="M213"/>
  <c r="G215"/>
  <c r="G257"/>
  <c r="I138"/>
  <c r="I141"/>
  <c r="I50"/>
  <c r="M50"/>
  <c r="N138"/>
  <c r="M141"/>
  <c r="N139"/>
  <c r="M139"/>
  <c r="M140"/>
  <c r="N140"/>
  <c r="M159"/>
  <c r="N124"/>
  <c r="I210"/>
  <c r="M210"/>
  <c r="M151"/>
  <c r="I135"/>
  <c r="N159"/>
  <c r="I207"/>
  <c r="N40"/>
  <c r="M154"/>
  <c r="I208"/>
  <c r="I151"/>
  <c r="I154"/>
  <c r="I209"/>
  <c r="M208"/>
  <c r="M212"/>
  <c r="I204"/>
  <c r="I206"/>
  <c r="I213"/>
  <c r="I205"/>
  <c r="M205"/>
  <c r="M58"/>
  <c r="N58"/>
  <c r="M204"/>
  <c r="I212"/>
  <c r="M211"/>
  <c r="I216"/>
  <c r="M216"/>
  <c r="I245"/>
  <c r="M207"/>
  <c r="N127"/>
  <c r="I252"/>
  <c r="I156"/>
  <c r="G236"/>
  <c r="N174"/>
  <c r="I130"/>
  <c r="M127"/>
  <c r="N195"/>
  <c r="N109"/>
  <c r="N245"/>
  <c r="N249"/>
  <c r="M238"/>
  <c r="G131"/>
  <c r="AC131" s="1"/>
  <c r="I52"/>
  <c r="M128"/>
  <c r="N228"/>
  <c r="N104"/>
  <c r="G53"/>
  <c r="M53" s="1"/>
  <c r="M192"/>
  <c r="N52"/>
  <c r="I238"/>
  <c r="I128"/>
  <c r="G229"/>
  <c r="AC229" s="1"/>
  <c r="M172"/>
  <c r="I98"/>
  <c r="I122"/>
  <c r="I172"/>
  <c r="M228"/>
  <c r="N192"/>
  <c r="I192"/>
  <c r="N194"/>
  <c r="N64"/>
  <c r="M114"/>
  <c r="I91"/>
  <c r="M171"/>
  <c r="I42"/>
  <c r="M95"/>
  <c r="M42"/>
  <c r="G110"/>
  <c r="AC110" s="1"/>
  <c r="I109"/>
  <c r="M64"/>
  <c r="G111"/>
  <c r="N51"/>
  <c r="M203"/>
  <c r="N119"/>
  <c r="N203"/>
  <c r="G123"/>
  <c r="W123" s="1"/>
  <c r="N89"/>
  <c r="M89"/>
  <c r="I249"/>
  <c r="M92"/>
  <c r="N99"/>
  <c r="N92"/>
  <c r="N88"/>
  <c r="N180"/>
  <c r="I129"/>
  <c r="M196"/>
  <c r="I186"/>
  <c r="N130"/>
  <c r="M180"/>
  <c r="N190"/>
  <c r="M56"/>
  <c r="N169"/>
  <c r="M187"/>
  <c r="M109"/>
  <c r="I136"/>
  <c r="N196"/>
  <c r="M117"/>
  <c r="I117"/>
  <c r="M197"/>
  <c r="N117"/>
  <c r="I45"/>
  <c r="N45"/>
  <c r="M45"/>
  <c r="M67"/>
  <c r="N67"/>
  <c r="I67"/>
  <c r="M120"/>
  <c r="I202"/>
  <c r="N126"/>
  <c r="I126"/>
  <c r="M94"/>
  <c r="N94"/>
  <c r="M178"/>
  <c r="I81"/>
  <c r="I199"/>
  <c r="I178"/>
  <c r="G165"/>
  <c r="AC165"/>
  <c r="I164"/>
  <c r="M164"/>
  <c r="M49"/>
  <c r="I96"/>
  <c r="N96"/>
  <c r="M110"/>
  <c r="I110"/>
  <c r="N229"/>
  <c r="I148"/>
  <c r="N53"/>
  <c r="N243"/>
  <c r="N199"/>
  <c r="N178"/>
  <c r="N132"/>
  <c r="I62"/>
  <c r="I251"/>
  <c r="K231"/>
  <c r="N62"/>
  <c r="I39"/>
  <c r="I240"/>
  <c r="N98"/>
  <c r="I86"/>
  <c r="M243"/>
  <c r="N86"/>
  <c r="I94"/>
  <c r="N39"/>
  <c r="M129"/>
  <c r="N177"/>
  <c r="N114"/>
  <c r="I174"/>
  <c r="AB190"/>
  <c r="AC96"/>
  <c r="W45"/>
  <c r="AB174"/>
  <c r="AB98"/>
  <c r="W81"/>
  <c r="AC191"/>
  <c r="AB66"/>
  <c r="AC133"/>
  <c r="AC109"/>
  <c r="M167"/>
  <c r="I243"/>
  <c r="AC117"/>
  <c r="AC61"/>
  <c r="X107"/>
  <c r="AC107"/>
  <c r="AC123"/>
  <c r="X144"/>
  <c r="AC144"/>
  <c r="AC43"/>
  <c r="AB43"/>
  <c r="AB48"/>
  <c r="AC48"/>
  <c r="W59"/>
  <c r="AB59"/>
  <c r="AC59"/>
  <c r="X40"/>
  <c r="AC40"/>
  <c r="AB40"/>
  <c r="M90"/>
  <c r="AC90"/>
  <c r="AC97"/>
  <c r="AB97"/>
  <c r="AB128"/>
  <c r="AC128"/>
  <c r="AC242"/>
  <c r="AB242"/>
  <c r="W175"/>
  <c r="AB175"/>
  <c r="W183"/>
  <c r="AB183"/>
  <c r="AC197"/>
  <c r="AB197"/>
  <c r="N125"/>
  <c r="AB125"/>
  <c r="X131"/>
  <c r="W85"/>
  <c r="I175"/>
  <c r="M183"/>
  <c r="X148"/>
  <c r="AB148"/>
  <c r="AC148"/>
  <c r="AB56"/>
  <c r="AC56"/>
  <c r="AC63"/>
  <c r="AB63"/>
  <c r="W91"/>
  <c r="AB91"/>
  <c r="AC91"/>
  <c r="W224"/>
  <c r="AB224"/>
  <c r="N148"/>
  <c r="N170"/>
  <c r="I190"/>
  <c r="N56"/>
  <c r="I246"/>
  <c r="M122"/>
  <c r="N242"/>
  <c r="N59"/>
  <c r="N186"/>
  <c r="M104"/>
  <c r="I104"/>
  <c r="M61"/>
  <c r="N167"/>
  <c r="X164"/>
  <c r="AC164"/>
  <c r="X156"/>
  <c r="AC156"/>
  <c r="W119"/>
  <c r="AB119"/>
  <c r="AC119"/>
  <c r="X81"/>
  <c r="AC81"/>
  <c r="AB81"/>
  <c r="W42"/>
  <c r="AC42"/>
  <c r="AB42"/>
  <c r="AB52"/>
  <c r="AC52"/>
  <c r="AC67"/>
  <c r="AB67"/>
  <c r="AC64"/>
  <c r="AB64"/>
  <c r="AC89"/>
  <c r="AB89"/>
  <c r="W87"/>
  <c r="AB87"/>
  <c r="AC87"/>
  <c r="M137"/>
  <c r="AB137"/>
  <c r="M236"/>
  <c r="X228"/>
  <c r="AB228"/>
  <c r="W171"/>
  <c r="AB171"/>
  <c r="X180"/>
  <c r="AB180"/>
  <c r="AC180"/>
  <c r="X192"/>
  <c r="AB192"/>
  <c r="AC192"/>
  <c r="X196"/>
  <c r="AB196"/>
  <c r="AC196"/>
  <c r="W199"/>
  <c r="AB199"/>
  <c r="W203"/>
  <c r="AB203"/>
  <c r="X187"/>
  <c r="AB187"/>
  <c r="X245"/>
  <c r="AC245"/>
  <c r="AB245"/>
  <c r="X120"/>
  <c r="AB120"/>
  <c r="AC120"/>
  <c r="M248"/>
  <c r="R37"/>
  <c r="AC37"/>
  <c r="S182"/>
  <c r="W156"/>
  <c r="AB111"/>
  <c r="AC171"/>
  <c r="AC187"/>
  <c r="AC203"/>
  <c r="AB236"/>
  <c r="AB250"/>
  <c r="AB37"/>
  <c r="AB194"/>
  <c r="AB178"/>
  <c r="AB136"/>
  <c r="AB118"/>
  <c r="AB86"/>
  <c r="AB54"/>
  <c r="AB249"/>
  <c r="AC137"/>
  <c r="AC113"/>
  <c r="AC239"/>
  <c r="AC85"/>
  <c r="W65"/>
  <c r="AC65"/>
  <c r="AB65"/>
  <c r="AC93"/>
  <c r="AB93"/>
  <c r="N134"/>
  <c r="AC134"/>
  <c r="AB134"/>
  <c r="AC193"/>
  <c r="AB193"/>
  <c r="X200"/>
  <c r="AB200"/>
  <c r="AC200"/>
  <c r="X188"/>
  <c r="AB188"/>
  <c r="AC188"/>
  <c r="X250"/>
  <c r="AC250"/>
  <c r="AB100"/>
  <c r="AC100"/>
  <c r="X183"/>
  <c r="AC175"/>
  <c r="AB131"/>
  <c r="AC167"/>
  <c r="M175"/>
  <c r="G149"/>
  <c r="AC149"/>
  <c r="N85"/>
  <c r="G105"/>
  <c r="M182"/>
  <c r="G108"/>
  <c r="I111"/>
  <c r="AC111"/>
  <c r="X53"/>
  <c r="AB53"/>
  <c r="M186"/>
  <c r="W236"/>
  <c r="X215"/>
  <c r="AB215"/>
  <c r="AC215"/>
  <c r="M156"/>
  <c r="X44"/>
  <c r="AC44"/>
  <c r="AB44"/>
  <c r="X49"/>
  <c r="AB49"/>
  <c r="W55"/>
  <c r="AB55"/>
  <c r="AC55"/>
  <c r="AB60"/>
  <c r="AC60"/>
  <c r="M91"/>
  <c r="AC135"/>
  <c r="AB135"/>
  <c r="AC244"/>
  <c r="X244"/>
  <c r="N244"/>
  <c r="W244"/>
  <c r="M244"/>
  <c r="S244"/>
  <c r="I244"/>
  <c r="AC240"/>
  <c r="AB240"/>
  <c r="N238"/>
  <c r="AC238"/>
  <c r="AB238"/>
  <c r="AC130"/>
  <c r="AB130"/>
  <c r="X172"/>
  <c r="AB172"/>
  <c r="AC172"/>
  <c r="X176"/>
  <c r="AB176"/>
  <c r="AC176"/>
  <c r="N181"/>
  <c r="AC181"/>
  <c r="AB181"/>
  <c r="X184"/>
  <c r="AB184"/>
  <c r="AC184"/>
  <c r="AC201"/>
  <c r="AB201"/>
  <c r="M185"/>
  <c r="AC185"/>
  <c r="AB185"/>
  <c r="AC189"/>
  <c r="AB189"/>
  <c r="X124"/>
  <c r="AB124"/>
  <c r="AC124"/>
  <c r="W103"/>
  <c r="AC103"/>
  <c r="X103"/>
  <c r="X199"/>
  <c r="X236"/>
  <c r="W192"/>
  <c r="W132"/>
  <c r="AC179"/>
  <c r="AB243"/>
  <c r="AB202"/>
  <c r="AB186"/>
  <c r="AB159"/>
  <c r="AB127"/>
  <c r="AB94"/>
  <c r="AB62"/>
  <c r="AB45"/>
  <c r="AB244"/>
  <c r="AC39"/>
  <c r="AC129"/>
  <c r="AC57"/>
  <c r="AC45"/>
  <c r="AC247"/>
  <c r="AC224"/>
  <c r="AC92"/>
  <c r="N41"/>
  <c r="N246"/>
  <c r="AB51"/>
  <c r="AC51"/>
  <c r="X61"/>
  <c r="AB61"/>
  <c r="AB95"/>
  <c r="AC95"/>
  <c r="X99"/>
  <c r="AB99"/>
  <c r="AC99"/>
  <c r="X136"/>
  <c r="AC136"/>
  <c r="W47"/>
  <c r="AB47"/>
  <c r="AC47"/>
  <c r="M241"/>
  <c r="AC241"/>
  <c r="AB241"/>
  <c r="AC173"/>
  <c r="AB173"/>
  <c r="AC177"/>
  <c r="AB177"/>
  <c r="W195"/>
  <c r="AB195"/>
  <c r="AC252"/>
  <c r="AB252"/>
  <c r="AC126"/>
  <c r="AB126"/>
  <c r="AB104"/>
  <c r="AC104"/>
  <c r="X51"/>
  <c r="W144"/>
  <c r="W57"/>
  <c r="U12"/>
  <c r="U13"/>
  <c r="X238"/>
  <c r="AC183"/>
  <c r="AC199"/>
  <c r="AB198"/>
  <c r="AB182"/>
  <c r="AB122"/>
  <c r="AB114"/>
  <c r="AB90"/>
  <c r="AB58"/>
  <c r="AB41"/>
  <c r="AC125"/>
  <c r="AC53"/>
  <c r="AC41"/>
  <c r="AC243"/>
  <c r="AC236"/>
  <c r="AC88"/>
  <c r="AB156"/>
  <c r="AB167"/>
  <c r="AB246"/>
  <c r="AB251"/>
  <c r="AB164"/>
  <c r="AB105"/>
  <c r="AB123"/>
  <c r="AB229"/>
  <c r="AB247"/>
  <c r="AB132"/>
  <c r="AB110"/>
  <c r="AB144"/>
  <c r="AB161"/>
  <c r="AB170"/>
  <c r="AB248"/>
  <c r="Z226"/>
  <c r="AB165"/>
  <c r="Z145"/>
  <c r="Z150"/>
  <c r="Z14"/>
  <c r="Z106"/>
  <c r="Z232"/>
  <c r="I97"/>
  <c r="X97"/>
  <c r="M133"/>
  <c r="X133"/>
  <c r="W133"/>
  <c r="X201"/>
  <c r="W201"/>
  <c r="X189"/>
  <c r="W189"/>
  <c r="R120"/>
  <c r="W176"/>
  <c r="N105"/>
  <c r="K157"/>
  <c r="M181"/>
  <c r="I107"/>
  <c r="I184"/>
  <c r="I250"/>
  <c r="N133"/>
  <c r="M176"/>
  <c r="N176"/>
  <c r="I247"/>
  <c r="N131"/>
  <c r="W131"/>
  <c r="N247"/>
  <c r="N120"/>
  <c r="I41"/>
  <c r="N224"/>
  <c r="I241"/>
  <c r="N65"/>
  <c r="S170"/>
  <c r="W170"/>
  <c r="X170"/>
  <c r="X167"/>
  <c r="W167"/>
  <c r="X161"/>
  <c r="W161"/>
  <c r="M118"/>
  <c r="W118"/>
  <c r="X118"/>
  <c r="S85"/>
  <c r="X85"/>
  <c r="N57"/>
  <c r="X57"/>
  <c r="M12"/>
  <c r="W12"/>
  <c r="I43"/>
  <c r="W43"/>
  <c r="X43"/>
  <c r="M48"/>
  <c r="W48"/>
  <c r="X48"/>
  <c r="N54"/>
  <c r="W54"/>
  <c r="X54"/>
  <c r="M41"/>
  <c r="S67"/>
  <c r="X67"/>
  <c r="W67"/>
  <c r="X64"/>
  <c r="W64"/>
  <c r="X159"/>
  <c r="W159"/>
  <c r="S89"/>
  <c r="X89"/>
  <c r="I92"/>
  <c r="W92"/>
  <c r="X92"/>
  <c r="W96"/>
  <c r="X96"/>
  <c r="M132"/>
  <c r="X132"/>
  <c r="M229"/>
  <c r="G225"/>
  <c r="AC225" s="1"/>
  <c r="R240"/>
  <c r="W240"/>
  <c r="R130"/>
  <c r="W130"/>
  <c r="X130"/>
  <c r="I176"/>
  <c r="M179"/>
  <c r="W179"/>
  <c r="X193"/>
  <c r="W193"/>
  <c r="X197"/>
  <c r="W197"/>
  <c r="W202"/>
  <c r="X202"/>
  <c r="S246"/>
  <c r="X246"/>
  <c r="M250"/>
  <c r="R117"/>
  <c r="X117"/>
  <c r="W117"/>
  <c r="S127"/>
  <c r="W127"/>
  <c r="R109"/>
  <c r="X109"/>
  <c r="W109"/>
  <c r="G121"/>
  <c r="X127"/>
  <c r="X179"/>
  <c r="X195"/>
  <c r="W243"/>
  <c r="W196"/>
  <c r="W180"/>
  <c r="W164"/>
  <c r="W136"/>
  <c r="W120"/>
  <c r="W105"/>
  <c r="W89"/>
  <c r="W61"/>
  <c r="W49"/>
  <c r="I90"/>
  <c r="W90"/>
  <c r="X90"/>
  <c r="I137"/>
  <c r="X137"/>
  <c r="W137"/>
  <c r="X173"/>
  <c r="W173"/>
  <c r="R194"/>
  <c r="W194"/>
  <c r="X194"/>
  <c r="I100"/>
  <c r="W100"/>
  <c r="X100"/>
  <c r="M173"/>
  <c r="N49"/>
  <c r="X165"/>
  <c r="W165"/>
  <c r="I120"/>
  <c r="M55"/>
  <c r="N184"/>
  <c r="W110"/>
  <c r="X110"/>
  <c r="I224"/>
  <c r="W229"/>
  <c r="X229"/>
  <c r="I65"/>
  <c r="N137"/>
  <c r="M40"/>
  <c r="S51"/>
  <c r="W51"/>
  <c r="W56"/>
  <c r="X56"/>
  <c r="R39"/>
  <c r="W39"/>
  <c r="X39"/>
  <c r="W62"/>
  <c r="X62"/>
  <c r="W86"/>
  <c r="X86"/>
  <c r="S94"/>
  <c r="W94"/>
  <c r="X94"/>
  <c r="S98"/>
  <c r="W98"/>
  <c r="X98"/>
  <c r="R135"/>
  <c r="W135"/>
  <c r="R128"/>
  <c r="X128"/>
  <c r="W174"/>
  <c r="X174"/>
  <c r="X177"/>
  <c r="W177"/>
  <c r="W182"/>
  <c r="X182"/>
  <c r="R191"/>
  <c r="W191"/>
  <c r="W186"/>
  <c r="X186"/>
  <c r="W190"/>
  <c r="X190"/>
  <c r="N248"/>
  <c r="X248"/>
  <c r="S251"/>
  <c r="X251"/>
  <c r="I114"/>
  <c r="W114"/>
  <c r="X114"/>
  <c r="X47"/>
  <c r="X55"/>
  <c r="X91"/>
  <c r="X119"/>
  <c r="X135"/>
  <c r="X171"/>
  <c r="X203"/>
  <c r="X224"/>
  <c r="W37"/>
  <c r="W228"/>
  <c r="W188"/>
  <c r="W172"/>
  <c r="W128"/>
  <c r="W97"/>
  <c r="W53"/>
  <c r="W41"/>
  <c r="X65"/>
  <c r="X240"/>
  <c r="X149"/>
  <c r="N111"/>
  <c r="W111"/>
  <c r="N215"/>
  <c r="W215"/>
  <c r="I44"/>
  <c r="W44"/>
  <c r="W60"/>
  <c r="X60"/>
  <c r="S40"/>
  <c r="W40"/>
  <c r="I93"/>
  <c r="X93"/>
  <c r="M134"/>
  <c r="W134"/>
  <c r="X134"/>
  <c r="N241"/>
  <c r="W241"/>
  <c r="X241"/>
  <c r="X181"/>
  <c r="W181"/>
  <c r="W198"/>
  <c r="X198"/>
  <c r="X185"/>
  <c r="W185"/>
  <c r="R125"/>
  <c r="X125"/>
  <c r="W125"/>
  <c r="R113"/>
  <c r="X113"/>
  <c r="W113"/>
  <c r="X37"/>
  <c r="G166"/>
  <c r="AC166" s="1"/>
  <c r="N123"/>
  <c r="I49"/>
  <c r="I113"/>
  <c r="I181"/>
  <c r="M184"/>
  <c r="I194"/>
  <c r="M60"/>
  <c r="M97"/>
  <c r="I60"/>
  <c r="I185"/>
  <c r="N250"/>
  <c r="N55"/>
  <c r="M224"/>
  <c r="S52"/>
  <c r="W52"/>
  <c r="X52"/>
  <c r="S58"/>
  <c r="W58"/>
  <c r="X58"/>
  <c r="S66"/>
  <c r="X66"/>
  <c r="W66"/>
  <c r="N63"/>
  <c r="W63"/>
  <c r="X63"/>
  <c r="M88"/>
  <c r="W88"/>
  <c r="X88"/>
  <c r="S95"/>
  <c r="W95"/>
  <c r="S99"/>
  <c r="W99"/>
  <c r="M136"/>
  <c r="N129"/>
  <c r="X129"/>
  <c r="W129"/>
  <c r="M239"/>
  <c r="X239"/>
  <c r="W239"/>
  <c r="I242"/>
  <c r="X242"/>
  <c r="W178"/>
  <c r="X178"/>
  <c r="N187"/>
  <c r="W187"/>
  <c r="S249"/>
  <c r="X249"/>
  <c r="S252"/>
  <c r="X252"/>
  <c r="S126"/>
  <c r="W126"/>
  <c r="X126"/>
  <c r="W104"/>
  <c r="X104"/>
  <c r="N122"/>
  <c r="W122"/>
  <c r="X122"/>
  <c r="S250"/>
  <c r="R203"/>
  <c r="X42"/>
  <c r="X59"/>
  <c r="X95"/>
  <c r="X111"/>
  <c r="X123"/>
  <c r="X175"/>
  <c r="X191"/>
  <c r="W200"/>
  <c r="W184"/>
  <c r="W148"/>
  <c r="W124"/>
  <c r="W93"/>
  <c r="W242"/>
  <c r="U107"/>
  <c r="W107"/>
  <c r="U108"/>
  <c r="W108"/>
  <c r="U14"/>
  <c r="U227"/>
  <c r="U232"/>
  <c r="U231"/>
  <c r="S93"/>
  <c r="P231"/>
  <c r="R97"/>
  <c r="G150"/>
  <c r="AC150" s="1"/>
  <c r="I165"/>
  <c r="I54"/>
  <c r="N121"/>
  <c r="N113"/>
  <c r="I132"/>
  <c r="I197"/>
  <c r="G101"/>
  <c r="N100"/>
  <c r="M200"/>
  <c r="N200"/>
  <c r="I215"/>
  <c r="N93"/>
  <c r="N183"/>
  <c r="M57"/>
  <c r="I133"/>
  <c r="N66"/>
  <c r="I63"/>
  <c r="M81"/>
  <c r="I89"/>
  <c r="N128"/>
  <c r="M174"/>
  <c r="M188"/>
  <c r="N188"/>
  <c r="M252"/>
  <c r="S43"/>
  <c r="S54"/>
  <c r="S97"/>
  <c r="S156"/>
  <c r="S186"/>
  <c r="R242"/>
  <c r="R199"/>
  <c r="R175"/>
  <c r="R137"/>
  <c r="R215"/>
  <c r="R179"/>
  <c r="K108"/>
  <c r="M108" s="1"/>
  <c r="N108"/>
  <c r="G145"/>
  <c r="AC145"/>
  <c r="I134"/>
  <c r="M131"/>
  <c r="G226"/>
  <c r="AC226"/>
  <c r="M202"/>
  <c r="M121"/>
  <c r="M113"/>
  <c r="I118"/>
  <c r="M85"/>
  <c r="M161"/>
  <c r="M193"/>
  <c r="N118"/>
  <c r="N144"/>
  <c r="N43"/>
  <c r="I88"/>
  <c r="N239"/>
  <c r="I179"/>
  <c r="M93"/>
  <c r="N251"/>
  <c r="M66"/>
  <c r="I248"/>
  <c r="I125"/>
  <c r="S81"/>
  <c r="S190"/>
  <c r="R171"/>
  <c r="R161"/>
  <c r="R133"/>
  <c r="S202"/>
  <c r="I144"/>
  <c r="N202"/>
  <c r="N197"/>
  <c r="N193"/>
  <c r="M190"/>
  <c r="I200"/>
  <c r="M242"/>
  <c r="N161"/>
  <c r="I239"/>
  <c r="I183"/>
  <c r="M215"/>
  <c r="N173"/>
  <c r="G13"/>
  <c r="I161"/>
  <c r="I66"/>
  <c r="S159"/>
  <c r="S174"/>
  <c r="S194"/>
  <c r="R183"/>
  <c r="I166"/>
  <c r="I150"/>
  <c r="I149"/>
  <c r="M165"/>
  <c r="S108"/>
  <c r="I108"/>
  <c r="N236"/>
  <c r="R236"/>
  <c r="S236"/>
  <c r="I236"/>
  <c r="N164"/>
  <c r="S164"/>
  <c r="R164"/>
  <c r="S148"/>
  <c r="R148"/>
  <c r="N182"/>
  <c r="I182"/>
  <c r="R182"/>
  <c r="N191"/>
  <c r="S191"/>
  <c r="M191"/>
  <c r="I191"/>
  <c r="I195"/>
  <c r="M195"/>
  <c r="S195"/>
  <c r="R195"/>
  <c r="R165"/>
  <c r="S145"/>
  <c r="M62"/>
  <c r="R62"/>
  <c r="M96"/>
  <c r="S96"/>
  <c r="R96"/>
  <c r="M87"/>
  <c r="R87"/>
  <c r="I87"/>
  <c r="S87"/>
  <c r="R178"/>
  <c r="S189"/>
  <c r="M189"/>
  <c r="R189"/>
  <c r="N189"/>
  <c r="I189"/>
  <c r="M247"/>
  <c r="R247"/>
  <c r="S247"/>
  <c r="S62"/>
  <c r="S150"/>
  <c r="N149"/>
  <c r="N165"/>
  <c r="G146"/>
  <c r="AC146"/>
  <c r="M105"/>
  <c r="S105"/>
  <c r="N110"/>
  <c r="S110"/>
  <c r="N87"/>
  <c r="R48"/>
  <c r="I48"/>
  <c r="S48"/>
  <c r="N48"/>
  <c r="M54"/>
  <c r="R54"/>
  <c r="M59"/>
  <c r="R59"/>
  <c r="S59"/>
  <c r="I59"/>
  <c r="S132"/>
  <c r="R132"/>
  <c r="M47"/>
  <c r="R47"/>
  <c r="I47"/>
  <c r="S47"/>
  <c r="S225"/>
  <c r="M225"/>
  <c r="R225"/>
  <c r="I187"/>
  <c r="S187"/>
  <c r="S121"/>
  <c r="R105"/>
  <c r="R121"/>
  <c r="S165"/>
  <c r="S178"/>
  <c r="R187"/>
  <c r="S166"/>
  <c r="M111"/>
  <c r="S111"/>
  <c r="I13"/>
  <c r="N44"/>
  <c r="R44"/>
  <c r="M44"/>
  <c r="S44"/>
  <c r="N198"/>
  <c r="M198"/>
  <c r="R198"/>
  <c r="I198"/>
  <c r="S201"/>
  <c r="M201"/>
  <c r="R201"/>
  <c r="N201"/>
  <c r="I201"/>
  <c r="I124"/>
  <c r="R124"/>
  <c r="S124"/>
  <c r="M103"/>
  <c r="S103"/>
  <c r="R103"/>
  <c r="I103"/>
  <c r="N103"/>
  <c r="S149"/>
  <c r="S198"/>
  <c r="R13"/>
  <c r="R53"/>
  <c r="I131"/>
  <c r="S131"/>
  <c r="S215"/>
  <c r="I170"/>
  <c r="I167"/>
  <c r="I119"/>
  <c r="S119"/>
  <c r="R119"/>
  <c r="R49"/>
  <c r="I55"/>
  <c r="R55"/>
  <c r="N60"/>
  <c r="R60"/>
  <c r="R41"/>
  <c r="R66"/>
  <c r="M63"/>
  <c r="R63"/>
  <c r="R86"/>
  <c r="R89"/>
  <c r="R91"/>
  <c r="R93"/>
  <c r="N97"/>
  <c r="S134"/>
  <c r="S136"/>
  <c r="S128"/>
  <c r="S239"/>
  <c r="S243"/>
  <c r="S238"/>
  <c r="S133"/>
  <c r="N179"/>
  <c r="N185"/>
  <c r="R248"/>
  <c r="R250"/>
  <c r="R252"/>
  <c r="M126"/>
  <c r="G106"/>
  <c r="N106" s="1"/>
  <c r="S104"/>
  <c r="R104"/>
  <c r="S114"/>
  <c r="R114"/>
  <c r="S120"/>
  <c r="M37"/>
  <c r="S55"/>
  <c r="S63"/>
  <c r="S86"/>
  <c r="S90"/>
  <c r="R110"/>
  <c r="S144"/>
  <c r="S171"/>
  <c r="S175"/>
  <c r="S179"/>
  <c r="S183"/>
  <c r="S199"/>
  <c r="S203"/>
  <c r="S224"/>
  <c r="S229"/>
  <c r="S248"/>
  <c r="R12"/>
  <c r="R241"/>
  <c r="R202"/>
  <c r="R190"/>
  <c r="R186"/>
  <c r="R174"/>
  <c r="R156"/>
  <c r="R144"/>
  <c r="R136"/>
  <c r="R126"/>
  <c r="M123"/>
  <c r="S123"/>
  <c r="R123"/>
  <c r="N42"/>
  <c r="R42"/>
  <c r="R45"/>
  <c r="M51"/>
  <c r="R51"/>
  <c r="I56"/>
  <c r="R56"/>
  <c r="N61"/>
  <c r="R61"/>
  <c r="M39"/>
  <c r="R67"/>
  <c r="I64"/>
  <c r="R64"/>
  <c r="I159"/>
  <c r="R94"/>
  <c r="M98"/>
  <c r="R98"/>
  <c r="N135"/>
  <c r="I228"/>
  <c r="M240"/>
  <c r="M130"/>
  <c r="N171"/>
  <c r="I173"/>
  <c r="N175"/>
  <c r="M177"/>
  <c r="M245"/>
  <c r="R245"/>
  <c r="M249"/>
  <c r="M251"/>
  <c r="S117"/>
  <c r="I127"/>
  <c r="R127"/>
  <c r="G112"/>
  <c r="AC112" s="1"/>
  <c r="S109"/>
  <c r="S41"/>
  <c r="S45"/>
  <c r="S56"/>
  <c r="S60"/>
  <c r="S64"/>
  <c r="S91"/>
  <c r="R111"/>
  <c r="S172"/>
  <c r="S176"/>
  <c r="S180"/>
  <c r="S184"/>
  <c r="S188"/>
  <c r="S192"/>
  <c r="S196"/>
  <c r="S200"/>
  <c r="R229"/>
  <c r="R197"/>
  <c r="R193"/>
  <c r="R185"/>
  <c r="R181"/>
  <c r="R177"/>
  <c r="R173"/>
  <c r="R167"/>
  <c r="R159"/>
  <c r="N107"/>
  <c r="S107"/>
  <c r="N156"/>
  <c r="S118"/>
  <c r="R118"/>
  <c r="I85"/>
  <c r="R85"/>
  <c r="I57"/>
  <c r="R57"/>
  <c r="M43"/>
  <c r="R43"/>
  <c r="M52"/>
  <c r="R52"/>
  <c r="I58"/>
  <c r="R58"/>
  <c r="S39"/>
  <c r="I40"/>
  <c r="R40"/>
  <c r="M65"/>
  <c r="R65"/>
  <c r="R88"/>
  <c r="R90"/>
  <c r="R92"/>
  <c r="N95"/>
  <c r="R95"/>
  <c r="I99"/>
  <c r="R99"/>
  <c r="S135"/>
  <c r="S137"/>
  <c r="S129"/>
  <c r="S240"/>
  <c r="S242"/>
  <c r="S241"/>
  <c r="S130"/>
  <c r="M194"/>
  <c r="M246"/>
  <c r="R246"/>
  <c r="R249"/>
  <c r="R251"/>
  <c r="M125"/>
  <c r="M100"/>
  <c r="S100"/>
  <c r="S113"/>
  <c r="S122"/>
  <c r="S42"/>
  <c r="S49"/>
  <c r="S53"/>
  <c r="S57"/>
  <c r="S61"/>
  <c r="S65"/>
  <c r="R81"/>
  <c r="S88"/>
  <c r="S92"/>
  <c r="S125"/>
  <c r="S161"/>
  <c r="S167"/>
  <c r="R170"/>
  <c r="S173"/>
  <c r="S177"/>
  <c r="S181"/>
  <c r="S185"/>
  <c r="S193"/>
  <c r="S197"/>
  <c r="S228"/>
  <c r="S245"/>
  <c r="R243"/>
  <c r="R238"/>
  <c r="R228"/>
  <c r="R224"/>
  <c r="R200"/>
  <c r="R196"/>
  <c r="R192"/>
  <c r="R188"/>
  <c r="R184"/>
  <c r="R180"/>
  <c r="R176"/>
  <c r="R172"/>
  <c r="R134"/>
  <c r="R129"/>
  <c r="R122"/>
  <c r="R100"/>
  <c r="R131"/>
  <c r="R239"/>
  <c r="S12"/>
  <c r="S13"/>
  <c r="I12"/>
  <c r="I37"/>
  <c r="S37"/>
  <c r="P106"/>
  <c r="P107" s="1"/>
  <c r="R107" s="1"/>
  <c r="K227"/>
  <c r="K232"/>
  <c r="M226"/>
  <c r="K150"/>
  <c r="M150" s="1"/>
  <c r="M149"/>
  <c r="N37"/>
  <c r="R112"/>
  <c r="S226"/>
  <c r="AB101"/>
  <c r="AC101"/>
  <c r="I106"/>
  <c r="X13"/>
  <c r="AC13"/>
  <c r="AB121"/>
  <c r="AC121"/>
  <c r="X108"/>
  <c r="AC108"/>
  <c r="AB13"/>
  <c r="I101"/>
  <c r="R101"/>
  <c r="AB225"/>
  <c r="AB149"/>
  <c r="AC106"/>
  <c r="AB150"/>
  <c r="X105"/>
  <c r="I105"/>
  <c r="AC105"/>
  <c r="Z227"/>
  <c r="Z233" s="1"/>
  <c r="Z234" s="1"/>
  <c r="Z235" s="1"/>
  <c r="Z237" s="1"/>
  <c r="AB226"/>
  <c r="Z146"/>
  <c r="AB146" s="1"/>
  <c r="AB145"/>
  <c r="Z15"/>
  <c r="Z16" s="1"/>
  <c r="Z17" s="1"/>
  <c r="Z18" s="1"/>
  <c r="Z19" s="1"/>
  <c r="Z107"/>
  <c r="AB107" s="1"/>
  <c r="Z108"/>
  <c r="AB108" s="1"/>
  <c r="W226"/>
  <c r="X226"/>
  <c r="X146"/>
  <c r="N150"/>
  <c r="X150"/>
  <c r="W13"/>
  <c r="I121"/>
  <c r="X121"/>
  <c r="W121"/>
  <c r="X112"/>
  <c r="X101"/>
  <c r="W101"/>
  <c r="X145"/>
  <c r="W106"/>
  <c r="N166"/>
  <c r="X166"/>
  <c r="N225"/>
  <c r="X225"/>
  <c r="W225"/>
  <c r="I225"/>
  <c r="U15"/>
  <c r="U233"/>
  <c r="U234" s="1"/>
  <c r="U235" s="1"/>
  <c r="U237" s="1"/>
  <c r="G102"/>
  <c r="R102" s="1"/>
  <c r="N101"/>
  <c r="M101"/>
  <c r="S101"/>
  <c r="N13"/>
  <c r="G14"/>
  <c r="X14" s="1"/>
  <c r="N145"/>
  <c r="I145"/>
  <c r="N226"/>
  <c r="G227"/>
  <c r="AC227" s="1"/>
  <c r="I226"/>
  <c r="S106"/>
  <c r="N146"/>
  <c r="S146"/>
  <c r="I146"/>
  <c r="P108"/>
  <c r="R108" s="1"/>
  <c r="K233"/>
  <c r="K234" s="1"/>
  <c r="K235" s="1"/>
  <c r="K237" s="1"/>
  <c r="M227"/>
  <c r="AC14"/>
  <c r="AB14"/>
  <c r="W227"/>
  <c r="W102"/>
  <c r="U16"/>
  <c r="U17" s="1"/>
  <c r="U18" s="1"/>
  <c r="U19" s="1"/>
  <c r="U20" s="1"/>
  <c r="U21" s="1"/>
  <c r="U22" s="1"/>
  <c r="U23" s="1"/>
  <c r="U24" s="1"/>
  <c r="U25" s="1"/>
  <c r="U26" s="1"/>
  <c r="U27" s="1"/>
  <c r="U28" s="1"/>
  <c r="U29" s="1"/>
  <c r="U30" s="1"/>
  <c r="U31" s="1"/>
  <c r="G230"/>
  <c r="AB230" s="1"/>
  <c r="S227"/>
  <c r="N14"/>
  <c r="R14"/>
  <c r="S102"/>
  <c r="AC230"/>
  <c r="W230"/>
  <c r="G231"/>
  <c r="AC231" s="1"/>
  <c r="R230"/>
  <c r="M230"/>
  <c r="X231"/>
  <c r="R231"/>
  <c r="S231"/>
  <c r="M231"/>
  <c r="Z20"/>
  <c r="Z21" s="1"/>
  <c r="Z22" s="1"/>
  <c r="Z23" s="1"/>
  <c r="Z24" s="1"/>
  <c r="Z25" s="1"/>
  <c r="Z26" s="1"/>
  <c r="Z27" s="1"/>
  <c r="Z28" s="1"/>
  <c r="Z29" s="1"/>
  <c r="Z30" s="1"/>
  <c r="Z31" s="1"/>
  <c r="K14" l="1"/>
  <c r="K15" s="1"/>
  <c r="K16" s="1"/>
  <c r="K17" s="1"/>
  <c r="K18" s="1"/>
  <c r="K19" s="1"/>
  <c r="K20" s="1"/>
  <c r="K21" s="1"/>
  <c r="K22" s="1"/>
  <c r="K23" s="1"/>
  <c r="K24" s="1"/>
  <c r="K25" s="1"/>
  <c r="K26" s="1"/>
  <c r="K27" s="1"/>
  <c r="K28" s="1"/>
  <c r="K29" s="1"/>
  <c r="K30" s="1"/>
  <c r="K31" s="1"/>
  <c r="M13"/>
  <c r="AC157"/>
  <c r="X157"/>
  <c r="S157"/>
  <c r="R157"/>
  <c r="N157"/>
  <c r="AB157"/>
  <c r="I157"/>
  <c r="W157"/>
  <c r="P146"/>
  <c r="R146" s="1"/>
  <c r="R145"/>
  <c r="M166"/>
  <c r="M102"/>
  <c r="X102"/>
  <c r="AC102"/>
  <c r="K145"/>
  <c r="W166"/>
  <c r="N102"/>
  <c r="M157"/>
  <c r="AB231"/>
  <c r="I102"/>
  <c r="G46"/>
  <c r="R166"/>
  <c r="AB166"/>
  <c r="AB102"/>
  <c r="P150"/>
  <c r="R150" s="1"/>
  <c r="R149"/>
  <c r="P227"/>
  <c r="R226"/>
  <c r="P232"/>
  <c r="W145"/>
  <c r="U146"/>
  <c r="W146" s="1"/>
  <c r="U150"/>
  <c r="W150" s="1"/>
  <c r="W149"/>
  <c r="N231"/>
  <c r="G232"/>
  <c r="I231"/>
  <c r="W231"/>
  <c r="S230"/>
  <c r="I230"/>
  <c r="N230"/>
  <c r="X230"/>
  <c r="I14"/>
  <c r="S14"/>
  <c r="M14"/>
  <c r="G15"/>
  <c r="N227"/>
  <c r="I227"/>
  <c r="X227"/>
  <c r="AB227"/>
  <c r="W14"/>
  <c r="S112"/>
  <c r="W112"/>
  <c r="X106"/>
  <c r="AB112"/>
  <c r="AB106"/>
  <c r="I112"/>
  <c r="N112"/>
  <c r="M112"/>
  <c r="M106"/>
  <c r="R106"/>
  <c r="I123"/>
  <c r="I229"/>
  <c r="I53"/>
  <c r="M145" l="1"/>
  <c r="K146"/>
  <c r="M146" s="1"/>
  <c r="AC46"/>
  <c r="M46"/>
  <c r="X46"/>
  <c r="R46"/>
  <c r="W46"/>
  <c r="I46"/>
  <c r="AB46"/>
  <c r="S46"/>
  <c r="N46"/>
  <c r="AC15"/>
  <c r="N15"/>
  <c r="G16"/>
  <c r="R15"/>
  <c r="AB15"/>
  <c r="I15"/>
  <c r="X15"/>
  <c r="W15"/>
  <c r="M15"/>
  <c r="S15"/>
  <c r="AB232"/>
  <c r="W232"/>
  <c r="R232"/>
  <c r="M232"/>
  <c r="N232"/>
  <c r="X232"/>
  <c r="I232"/>
  <c r="G233"/>
  <c r="AC232"/>
  <c r="S232"/>
  <c r="P233"/>
  <c r="P234" s="1"/>
  <c r="P235" s="1"/>
  <c r="P237" s="1"/>
  <c r="R227"/>
  <c r="AC16" l="1"/>
  <c r="W16"/>
  <c r="N16"/>
  <c r="I16"/>
  <c r="G17"/>
  <c r="X16"/>
  <c r="M16"/>
  <c r="S16"/>
  <c r="AB16"/>
  <c r="R16"/>
  <c r="AB233"/>
  <c r="W233"/>
  <c r="N233"/>
  <c r="S233"/>
  <c r="G234"/>
  <c r="X233"/>
  <c r="R233"/>
  <c r="I233"/>
  <c r="AC233"/>
  <c r="M233"/>
  <c r="AC234" l="1"/>
  <c r="X234"/>
  <c r="S234"/>
  <c r="G235"/>
  <c r="R234"/>
  <c r="I234"/>
  <c r="AB234"/>
  <c r="N234"/>
  <c r="W234"/>
  <c r="M234"/>
  <c r="AC17"/>
  <c r="G18"/>
  <c r="I17"/>
  <c r="S17"/>
  <c r="X17"/>
  <c r="R17"/>
  <c r="M17"/>
  <c r="AB17"/>
  <c r="W17"/>
  <c r="N17"/>
  <c r="AB18" l="1"/>
  <c r="AC18"/>
  <c r="W18"/>
  <c r="M18"/>
  <c r="R18"/>
  <c r="G19"/>
  <c r="X18"/>
  <c r="I18"/>
  <c r="N18"/>
  <c r="S18"/>
  <c r="AC235"/>
  <c r="W235"/>
  <c r="G237"/>
  <c r="S235"/>
  <c r="I235"/>
  <c r="X235"/>
  <c r="N235"/>
  <c r="AB235"/>
  <c r="R235"/>
  <c r="M235"/>
  <c r="AB237" l="1"/>
  <c r="W237"/>
  <c r="M237"/>
  <c r="I237"/>
  <c r="N237"/>
  <c r="X237"/>
  <c r="AC237"/>
  <c r="R237"/>
  <c r="S237"/>
  <c r="X19"/>
  <c r="AB19"/>
  <c r="W19"/>
  <c r="G20"/>
  <c r="S19"/>
  <c r="R19"/>
  <c r="I19"/>
  <c r="N19"/>
  <c r="AC19"/>
  <c r="M19"/>
  <c r="X20" l="1"/>
  <c r="I20"/>
  <c r="S20"/>
  <c r="G21"/>
  <c r="AB20"/>
  <c r="AC20"/>
  <c r="N20"/>
  <c r="M20"/>
  <c r="W20"/>
  <c r="R20"/>
  <c r="AC21" l="1"/>
  <c r="W21"/>
  <c r="S21"/>
  <c r="G22"/>
  <c r="N21"/>
  <c r="R21"/>
  <c r="AB21"/>
  <c r="X21"/>
  <c r="I21"/>
  <c r="M21"/>
  <c r="AC22" l="1"/>
  <c r="AB22"/>
  <c r="W22"/>
  <c r="N22"/>
  <c r="R22"/>
  <c r="G23"/>
  <c r="X22"/>
  <c r="S22"/>
  <c r="I22"/>
  <c r="M22"/>
  <c r="AC23" l="1"/>
  <c r="I23"/>
  <c r="G24"/>
  <c r="N23"/>
  <c r="S23"/>
  <c r="R23"/>
  <c r="AB23"/>
  <c r="W23"/>
  <c r="X23"/>
  <c r="M23"/>
  <c r="AC24" l="1"/>
  <c r="R24"/>
  <c r="N24"/>
  <c r="X24"/>
  <c r="W24"/>
  <c r="G25"/>
  <c r="M24"/>
  <c r="AB24"/>
  <c r="I24"/>
  <c r="S24"/>
  <c r="AB25" l="1"/>
  <c r="AC25"/>
  <c r="W25"/>
  <c r="S25"/>
  <c r="I25"/>
  <c r="N25"/>
  <c r="R25"/>
  <c r="G26"/>
  <c r="X25"/>
  <c r="M25"/>
  <c r="AB26" l="1"/>
  <c r="AC26"/>
  <c r="M26"/>
  <c r="N26"/>
  <c r="G27"/>
  <c r="W26"/>
  <c r="I26"/>
  <c r="X26"/>
  <c r="S26"/>
  <c r="R26"/>
  <c r="X27" l="1"/>
  <c r="S27"/>
  <c r="M27"/>
  <c r="N27"/>
  <c r="AB27"/>
  <c r="W27"/>
  <c r="G28"/>
  <c r="AC27"/>
  <c r="I27"/>
  <c r="R27"/>
  <c r="AC28" l="1"/>
  <c r="S28"/>
  <c r="R28"/>
  <c r="G29"/>
  <c r="AB28"/>
  <c r="X28"/>
  <c r="W28"/>
  <c r="N28"/>
  <c r="M28"/>
  <c r="I28"/>
  <c r="AC29" l="1"/>
  <c r="AB29"/>
  <c r="W29"/>
  <c r="R29"/>
  <c r="N29"/>
  <c r="G30"/>
  <c r="M29"/>
  <c r="X29"/>
  <c r="S29"/>
  <c r="I29"/>
  <c r="X30" l="1"/>
  <c r="W30"/>
  <c r="S30"/>
  <c r="I30"/>
  <c r="G31"/>
  <c r="R30"/>
  <c r="M30"/>
  <c r="AB30"/>
  <c r="AC30"/>
  <c r="N30"/>
  <c r="X31" l="1"/>
  <c r="W31"/>
  <c r="N31"/>
  <c r="M31"/>
  <c r="I31"/>
  <c r="I261" s="1"/>
  <c r="AC31"/>
  <c r="S31"/>
  <c r="AB31"/>
  <c r="R31"/>
  <c r="I262" l="1"/>
  <c r="I263" s="1"/>
</calcChain>
</file>

<file path=xl/comments1.xml><?xml version="1.0" encoding="utf-8"?>
<comments xmlns="http://schemas.openxmlformats.org/spreadsheetml/2006/main">
  <authors>
    <author>user</author>
    <author>Ale Domenech</author>
  </authors>
  <commentList>
    <comment ref="G159" authorId="0">
      <text>
        <r>
          <rPr>
            <b/>
            <sz val="9"/>
            <color indexed="81"/>
            <rFont val="Tahoma"/>
            <family val="2"/>
          </rPr>
          <t>user:</t>
        </r>
        <r>
          <rPr>
            <sz val="9"/>
            <color indexed="81"/>
            <rFont val="Tahoma"/>
            <family val="2"/>
          </rPr>
          <t xml:space="preserve">
esto le carga por el estuche de carton al costo de las chocolatinas
</t>
        </r>
      </text>
    </comment>
    <comment ref="K217" authorId="1">
      <text>
        <r>
          <rPr>
            <b/>
            <sz val="9"/>
            <color indexed="81"/>
            <rFont val="Tahoma"/>
            <family val="2"/>
          </rPr>
          <t>La competencia está a $10,65</t>
        </r>
        <r>
          <rPr>
            <sz val="9"/>
            <color indexed="81"/>
            <rFont val="Tahoma"/>
            <family val="2"/>
          </rPr>
          <t xml:space="preserve">
</t>
        </r>
      </text>
    </comment>
    <comment ref="P217" authorId="1">
      <text>
        <r>
          <rPr>
            <b/>
            <sz val="9"/>
            <color indexed="81"/>
            <rFont val="Tahoma"/>
            <family val="2"/>
          </rPr>
          <t>La competencia está a $10,65</t>
        </r>
        <r>
          <rPr>
            <sz val="9"/>
            <color indexed="81"/>
            <rFont val="Tahoma"/>
            <family val="2"/>
          </rPr>
          <t xml:space="preserve">
</t>
        </r>
      </text>
    </comment>
    <comment ref="U217" authorId="1">
      <text>
        <r>
          <rPr>
            <b/>
            <sz val="9"/>
            <color indexed="81"/>
            <rFont val="Tahoma"/>
            <family val="2"/>
          </rPr>
          <t>La competencia está a $10,65</t>
        </r>
        <r>
          <rPr>
            <sz val="9"/>
            <color indexed="81"/>
            <rFont val="Tahoma"/>
            <family val="2"/>
          </rPr>
          <t xml:space="preserve">
</t>
        </r>
      </text>
    </comment>
    <comment ref="Z217" authorId="1">
      <text>
        <r>
          <rPr>
            <b/>
            <sz val="9"/>
            <color indexed="81"/>
            <rFont val="Tahoma"/>
            <family val="2"/>
          </rPr>
          <t>La competencia está a $10,65</t>
        </r>
        <r>
          <rPr>
            <sz val="9"/>
            <color indexed="81"/>
            <rFont val="Tahoma"/>
            <family val="2"/>
          </rPr>
          <t xml:space="preserve">
</t>
        </r>
      </text>
    </comment>
    <comment ref="K218" authorId="1">
      <text>
        <r>
          <rPr>
            <b/>
            <sz val="9"/>
            <color indexed="81"/>
            <rFont val="Tahoma"/>
            <family val="2"/>
          </rPr>
          <t>La competencia está a $10,65</t>
        </r>
        <r>
          <rPr>
            <sz val="9"/>
            <color indexed="81"/>
            <rFont val="Tahoma"/>
            <family val="2"/>
          </rPr>
          <t xml:space="preserve">
</t>
        </r>
      </text>
    </comment>
    <comment ref="P218" authorId="1">
      <text>
        <r>
          <rPr>
            <b/>
            <sz val="9"/>
            <color indexed="81"/>
            <rFont val="Tahoma"/>
            <family val="2"/>
          </rPr>
          <t>La competencia está a $10,65</t>
        </r>
        <r>
          <rPr>
            <sz val="9"/>
            <color indexed="81"/>
            <rFont val="Tahoma"/>
            <family val="2"/>
          </rPr>
          <t xml:space="preserve">
</t>
        </r>
      </text>
    </comment>
    <comment ref="U218" authorId="1">
      <text>
        <r>
          <rPr>
            <b/>
            <sz val="9"/>
            <color indexed="81"/>
            <rFont val="Tahoma"/>
            <family val="2"/>
          </rPr>
          <t>La competencia está a $10,65</t>
        </r>
        <r>
          <rPr>
            <sz val="9"/>
            <color indexed="81"/>
            <rFont val="Tahoma"/>
            <family val="2"/>
          </rPr>
          <t xml:space="preserve">
</t>
        </r>
      </text>
    </comment>
    <comment ref="Z218" authorId="1">
      <text>
        <r>
          <rPr>
            <b/>
            <sz val="9"/>
            <color indexed="81"/>
            <rFont val="Tahoma"/>
            <family val="2"/>
          </rPr>
          <t>La competencia está a $10,65</t>
        </r>
        <r>
          <rPr>
            <sz val="9"/>
            <color indexed="81"/>
            <rFont val="Tahoma"/>
            <family val="2"/>
          </rPr>
          <t xml:space="preserve">
</t>
        </r>
      </text>
    </comment>
    <comment ref="K219" authorId="1">
      <text>
        <r>
          <rPr>
            <b/>
            <sz val="9"/>
            <color indexed="81"/>
            <rFont val="Tahoma"/>
            <family val="2"/>
          </rPr>
          <t>La competencia está a $10,65</t>
        </r>
        <r>
          <rPr>
            <sz val="9"/>
            <color indexed="81"/>
            <rFont val="Tahoma"/>
            <family val="2"/>
          </rPr>
          <t xml:space="preserve">
</t>
        </r>
      </text>
    </comment>
    <comment ref="P219" authorId="1">
      <text>
        <r>
          <rPr>
            <b/>
            <sz val="9"/>
            <color indexed="81"/>
            <rFont val="Tahoma"/>
            <family val="2"/>
          </rPr>
          <t>La competencia está a $10,65</t>
        </r>
        <r>
          <rPr>
            <sz val="9"/>
            <color indexed="81"/>
            <rFont val="Tahoma"/>
            <family val="2"/>
          </rPr>
          <t xml:space="preserve">
</t>
        </r>
      </text>
    </comment>
    <comment ref="U219" authorId="1">
      <text>
        <r>
          <rPr>
            <b/>
            <sz val="9"/>
            <color indexed="81"/>
            <rFont val="Tahoma"/>
            <family val="2"/>
          </rPr>
          <t>La competencia está a $10,65</t>
        </r>
        <r>
          <rPr>
            <sz val="9"/>
            <color indexed="81"/>
            <rFont val="Tahoma"/>
            <family val="2"/>
          </rPr>
          <t xml:space="preserve">
</t>
        </r>
      </text>
    </comment>
    <comment ref="Z219" authorId="1">
      <text>
        <r>
          <rPr>
            <b/>
            <sz val="9"/>
            <color indexed="81"/>
            <rFont val="Tahoma"/>
            <family val="2"/>
          </rPr>
          <t>La competencia está a $10,65</t>
        </r>
        <r>
          <rPr>
            <sz val="9"/>
            <color indexed="81"/>
            <rFont val="Tahoma"/>
            <family val="2"/>
          </rPr>
          <t xml:space="preserve">
</t>
        </r>
      </text>
    </comment>
    <comment ref="K220" authorId="1">
      <text>
        <r>
          <rPr>
            <b/>
            <sz val="9"/>
            <color indexed="81"/>
            <rFont val="Tahoma"/>
            <family val="2"/>
          </rPr>
          <t>La competencia está a $10,65</t>
        </r>
        <r>
          <rPr>
            <sz val="9"/>
            <color indexed="81"/>
            <rFont val="Tahoma"/>
            <family val="2"/>
          </rPr>
          <t xml:space="preserve">
</t>
        </r>
      </text>
    </comment>
    <comment ref="P220" authorId="1">
      <text>
        <r>
          <rPr>
            <b/>
            <sz val="9"/>
            <color indexed="81"/>
            <rFont val="Tahoma"/>
            <family val="2"/>
          </rPr>
          <t>La competencia está a $10,65</t>
        </r>
        <r>
          <rPr>
            <sz val="9"/>
            <color indexed="81"/>
            <rFont val="Tahoma"/>
            <family val="2"/>
          </rPr>
          <t xml:space="preserve">
</t>
        </r>
      </text>
    </comment>
    <comment ref="U220" authorId="1">
      <text>
        <r>
          <rPr>
            <b/>
            <sz val="9"/>
            <color indexed="81"/>
            <rFont val="Tahoma"/>
            <family val="2"/>
          </rPr>
          <t>La competencia está a $10,65</t>
        </r>
        <r>
          <rPr>
            <sz val="9"/>
            <color indexed="81"/>
            <rFont val="Tahoma"/>
            <family val="2"/>
          </rPr>
          <t xml:space="preserve">
</t>
        </r>
      </text>
    </comment>
    <comment ref="Z220" authorId="1">
      <text>
        <r>
          <rPr>
            <b/>
            <sz val="9"/>
            <color indexed="81"/>
            <rFont val="Tahoma"/>
            <family val="2"/>
          </rPr>
          <t>La competencia está a $10,65</t>
        </r>
        <r>
          <rPr>
            <sz val="9"/>
            <color indexed="81"/>
            <rFont val="Tahoma"/>
            <family val="2"/>
          </rPr>
          <t xml:space="preserve">
</t>
        </r>
      </text>
    </comment>
    <comment ref="K222" authorId="1">
      <text>
        <r>
          <rPr>
            <b/>
            <sz val="9"/>
            <color indexed="81"/>
            <rFont val="Tahoma"/>
            <family val="2"/>
          </rPr>
          <t>La competencia está a $14,85</t>
        </r>
        <r>
          <rPr>
            <sz val="9"/>
            <color indexed="81"/>
            <rFont val="Tahoma"/>
            <family val="2"/>
          </rPr>
          <t xml:space="preserve">
</t>
        </r>
      </text>
    </comment>
    <comment ref="P222" authorId="1">
      <text>
        <r>
          <rPr>
            <b/>
            <sz val="9"/>
            <color indexed="81"/>
            <rFont val="Tahoma"/>
            <family val="2"/>
          </rPr>
          <t>La competencia está a $14,85</t>
        </r>
        <r>
          <rPr>
            <sz val="9"/>
            <color indexed="81"/>
            <rFont val="Tahoma"/>
            <family val="2"/>
          </rPr>
          <t xml:space="preserve">
</t>
        </r>
      </text>
    </comment>
    <comment ref="U222" authorId="1">
      <text>
        <r>
          <rPr>
            <b/>
            <sz val="9"/>
            <color indexed="81"/>
            <rFont val="Tahoma"/>
            <family val="2"/>
          </rPr>
          <t>La competencia está a $14,85</t>
        </r>
        <r>
          <rPr>
            <sz val="9"/>
            <color indexed="81"/>
            <rFont val="Tahoma"/>
            <family val="2"/>
          </rPr>
          <t xml:space="preserve">
</t>
        </r>
      </text>
    </comment>
    <comment ref="Z222" authorId="1">
      <text>
        <r>
          <rPr>
            <b/>
            <sz val="9"/>
            <color indexed="81"/>
            <rFont val="Tahoma"/>
            <family val="2"/>
          </rPr>
          <t>La competencia está a $14,85</t>
        </r>
        <r>
          <rPr>
            <sz val="9"/>
            <color indexed="81"/>
            <rFont val="Tahoma"/>
            <family val="2"/>
          </rPr>
          <t xml:space="preserve">
</t>
        </r>
      </text>
    </comment>
    <comment ref="K223" authorId="1">
      <text>
        <r>
          <rPr>
            <b/>
            <sz val="9"/>
            <color indexed="81"/>
            <rFont val="Tahoma"/>
            <family val="2"/>
          </rPr>
          <t>La competencia está a $14,85</t>
        </r>
        <r>
          <rPr>
            <sz val="9"/>
            <color indexed="81"/>
            <rFont val="Tahoma"/>
            <family val="2"/>
          </rPr>
          <t xml:space="preserve">
</t>
        </r>
      </text>
    </comment>
    <comment ref="P223" authorId="1">
      <text>
        <r>
          <rPr>
            <b/>
            <sz val="9"/>
            <color indexed="81"/>
            <rFont val="Tahoma"/>
            <family val="2"/>
          </rPr>
          <t>La competencia está a $14,85</t>
        </r>
        <r>
          <rPr>
            <sz val="9"/>
            <color indexed="81"/>
            <rFont val="Tahoma"/>
            <family val="2"/>
          </rPr>
          <t xml:space="preserve">
</t>
        </r>
      </text>
    </comment>
    <comment ref="U223" authorId="1">
      <text>
        <r>
          <rPr>
            <b/>
            <sz val="9"/>
            <color indexed="81"/>
            <rFont val="Tahoma"/>
            <family val="2"/>
          </rPr>
          <t>La competencia está a $14,85</t>
        </r>
        <r>
          <rPr>
            <sz val="9"/>
            <color indexed="81"/>
            <rFont val="Tahoma"/>
            <family val="2"/>
          </rPr>
          <t xml:space="preserve">
</t>
        </r>
      </text>
    </comment>
    <comment ref="Z223" authorId="1">
      <text>
        <r>
          <rPr>
            <b/>
            <sz val="9"/>
            <color indexed="81"/>
            <rFont val="Tahoma"/>
            <family val="2"/>
          </rPr>
          <t>La competencia está a $14,85</t>
        </r>
        <r>
          <rPr>
            <sz val="9"/>
            <color indexed="81"/>
            <rFont val="Tahoma"/>
            <family val="2"/>
          </rPr>
          <t xml:space="preserve">
</t>
        </r>
      </text>
    </comment>
  </commentList>
</comments>
</file>

<file path=xl/sharedStrings.xml><?xml version="1.0" encoding="utf-8"?>
<sst xmlns="http://schemas.openxmlformats.org/spreadsheetml/2006/main" count="652" uniqueCount="382">
  <si>
    <t>Producto</t>
  </si>
  <si>
    <t>Arvejas Muy Finas Cocinadas</t>
  </si>
  <si>
    <t>Chauchas Muy Finas</t>
  </si>
  <si>
    <t>Espinacas en Hojas</t>
  </si>
  <si>
    <t>Macedonia de Legumbres</t>
  </si>
  <si>
    <t>Porotos Rojos</t>
  </si>
  <si>
    <t>Codigo</t>
  </si>
  <si>
    <t>Conservas Vegetales Clásicas</t>
  </si>
  <si>
    <t>Nuestras Especialidades</t>
  </si>
  <si>
    <t>Arvejas M.F. y Zanahorias</t>
  </si>
  <si>
    <t>Zanahorias Extra Finas</t>
  </si>
  <si>
    <t>Remolacha en dados</t>
  </si>
  <si>
    <t>Lentejas Cocinadas</t>
  </si>
  <si>
    <t>Repollitos de Bruselas</t>
  </si>
  <si>
    <t>Cant. x caja</t>
  </si>
  <si>
    <t>Aceto Domenico Ranieri Botella</t>
  </si>
  <si>
    <t>Aceto Domenico Ranieri Bidón</t>
  </si>
  <si>
    <t>Infusiones Chamana (15 saq. x estuche)</t>
  </si>
  <si>
    <t>Mix de 8 variedades en cada estuche</t>
  </si>
  <si>
    <t>Caramelos</t>
  </si>
  <si>
    <t>Miel y derivados</t>
  </si>
  <si>
    <t>Licores</t>
  </si>
  <si>
    <t>Tés Intizen (15 saq. x estuche)</t>
  </si>
  <si>
    <t>Caramelos de Miel y Limon Bolsas de 750 grs.</t>
  </si>
  <si>
    <t>Caramelo de Miel y Menta Bolsas de 750 grs.</t>
  </si>
  <si>
    <t>Caramelos de Miel Bolsas de 750 grs.</t>
  </si>
  <si>
    <t>Caramelos de Propóleo Bolsas de 750 grs.</t>
  </si>
  <si>
    <t>Dulce de Leche Frasco de 800 grs.</t>
  </si>
  <si>
    <t>Dulce de Leche Frasco de 450 grs.</t>
  </si>
  <si>
    <t>Miel en Frasco de vidrio Frasco de 1/2 Kg.</t>
  </si>
  <si>
    <t>Jalea Real de 10 gramos Pote de 100 grs.</t>
  </si>
  <si>
    <t>Jalea Real con polen Pote de 100 grs.</t>
  </si>
  <si>
    <t>Polen de Flores Pote de 125 grs.</t>
  </si>
  <si>
    <t>Propóleo Bebible Frasco de 125 cc</t>
  </si>
  <si>
    <t>Licor Dulce Botella de 700 cc.</t>
  </si>
  <si>
    <t>Licor Seco Botella de 700 cc.</t>
  </si>
  <si>
    <t>Licor ¨Naranja¨ Botella de 750 cc.</t>
  </si>
  <si>
    <t>Licor “Lemonchello” Botella de 750 cc.</t>
  </si>
  <si>
    <t>Licor de Arándano Botella de 750 cc.</t>
  </si>
  <si>
    <t>Jugo de Tomate</t>
  </si>
  <si>
    <t>V8 x PET 1,36 lts</t>
  </si>
  <si>
    <t>Campbells lata x 340ml</t>
  </si>
  <si>
    <t>Campbells x PET 1,36 lts</t>
  </si>
  <si>
    <t>V8 lata x 354ml</t>
  </si>
  <si>
    <t>Sopas</t>
  </si>
  <si>
    <t>Sopa Condensada Tomate x 305g</t>
  </si>
  <si>
    <t>Brownies x 170g (6 meses)</t>
  </si>
  <si>
    <t>Cookies Chocolate Chip x 180g</t>
  </si>
  <si>
    <t>Cookies Passion for Chocolat x 180g</t>
  </si>
  <si>
    <t>Biscotti Almendras x 180g</t>
  </si>
  <si>
    <t>Copetín Bastones de Fugazza x 160g</t>
  </si>
  <si>
    <t>Copetín Queso y Nuez x 160g</t>
  </si>
  <si>
    <t>Budín Superchocolate x 250g</t>
  </si>
  <si>
    <t>Adm. y Vtas: 4865-3250</t>
  </si>
  <si>
    <t>Rojo</t>
  </si>
  <si>
    <t>Subtotal</t>
  </si>
  <si>
    <t>Fecha</t>
  </si>
  <si>
    <t>Cant. (unid.)</t>
  </si>
  <si>
    <t>Descrpición</t>
  </si>
  <si>
    <t>Precio x unid. sin IVA</t>
  </si>
  <si>
    <t>Aceto</t>
  </si>
  <si>
    <t>DDL</t>
  </si>
  <si>
    <t>Bonduelle</t>
  </si>
  <si>
    <t>Sugar &amp; Spice</t>
  </si>
  <si>
    <t>Chamana</t>
  </si>
  <si>
    <t>Domenico Ranieri</t>
  </si>
  <si>
    <t>Intizen</t>
  </si>
  <si>
    <t>Monacal</t>
  </si>
  <si>
    <t>Campbells</t>
  </si>
  <si>
    <t>Linea</t>
  </si>
  <si>
    <t>Budín Banana y Nuez x 250g</t>
  </si>
  <si>
    <t>Garbanzos</t>
  </si>
  <si>
    <t>Cliente</t>
  </si>
  <si>
    <t>V8 lata x 163ml</t>
  </si>
  <si>
    <t>________________</t>
  </si>
  <si>
    <t>Línea a Granel</t>
  </si>
  <si>
    <t>Brownies Plancha (30cm x 30cm)</t>
  </si>
  <si>
    <t>Budín Ingles x 250g</t>
  </si>
  <si>
    <t>Budín Limon con Amapolas x 250g</t>
  </si>
  <si>
    <t>Stollen x 250g</t>
  </si>
  <si>
    <t>Copetín Rueditas al Pesto</t>
  </si>
  <si>
    <t>Copetín Oregano y Queso</t>
  </si>
  <si>
    <t>Pan Dulce 500g</t>
  </si>
  <si>
    <t>Pan Dulce Inovlidable 700g con Estuche</t>
  </si>
  <si>
    <t>Pack Variedad Chamana</t>
  </si>
  <si>
    <t>Pack Variedad Intizen</t>
  </si>
  <si>
    <t>Azafran El Ruedo</t>
  </si>
  <si>
    <t>Azafrán</t>
  </si>
  <si>
    <t>Molido: Blister x 2 capsulas</t>
  </si>
  <si>
    <t>Molido: Blister Caja Cristal x 15 Caps. (Triangular)</t>
  </si>
  <si>
    <t>Hebra: Blister Caja Cristal</t>
  </si>
  <si>
    <t>Hebra: Fco Vidrio Gourmet c/ Corcho 1g</t>
  </si>
  <si>
    <t>Choclo en granos (s/ adic azucar)</t>
  </si>
  <si>
    <t>Paretto! - Quality Foods</t>
  </si>
  <si>
    <t>oliva</t>
  </si>
  <si>
    <t>Yancanello</t>
  </si>
  <si>
    <t>Mini Brownies (6 meses)</t>
  </si>
  <si>
    <t>Mini Passion x Chocolate x 50g</t>
  </si>
  <si>
    <t>Mini Biscotti Mandorle x 50g</t>
  </si>
  <si>
    <t>Mini</t>
  </si>
  <si>
    <t>Iluminé</t>
  </si>
  <si>
    <t>Patagonia Bee</t>
  </si>
  <si>
    <t>Silencio Andino</t>
  </si>
  <si>
    <t>Chaman Chai</t>
  </si>
  <si>
    <t xml:space="preserve">Inca Rose </t>
  </si>
  <si>
    <t>Amazonia 12</t>
  </si>
  <si>
    <t>Don Juan</t>
  </si>
  <si>
    <t>Gaturro Alcancía</t>
  </si>
  <si>
    <t>Aceite Yancanello 500 lata</t>
  </si>
  <si>
    <t>Aceite Yancanello lt lata</t>
  </si>
  <si>
    <t>Aceite Yancanello bidon</t>
  </si>
  <si>
    <t>Margen</t>
  </si>
  <si>
    <t>Entre 23% y 27%</t>
  </si>
  <si>
    <t>Rojo Negrita</t>
  </si>
  <si>
    <t>Menor que 23%</t>
  </si>
  <si>
    <t>choclo en grano BRASIL</t>
  </si>
  <si>
    <t>paellero el ruedo</t>
  </si>
  <si>
    <t>energy Chamana</t>
  </si>
  <si>
    <t>Detox Chamana</t>
  </si>
  <si>
    <t>Lovely Chamana</t>
  </si>
  <si>
    <t>Relax Chamana</t>
  </si>
  <si>
    <t>Dulce de Leche Frasco de 250 grs.</t>
  </si>
  <si>
    <t>total</t>
  </si>
  <si>
    <t>Copetín tomate y romero</t>
  </si>
  <si>
    <t>margen
sugerido
con 35%</t>
  </si>
  <si>
    <t>Tomate seco en ac de oliva</t>
  </si>
  <si>
    <t>Pasta aceituna verde</t>
  </si>
  <si>
    <t>Pasta aceituna negra</t>
  </si>
  <si>
    <t>Arveja Bonduelle Brasil</t>
  </si>
  <si>
    <t>Konfitt</t>
  </si>
  <si>
    <t>Konfitt Almendra</t>
  </si>
  <si>
    <t>Konfitt Avellana</t>
  </si>
  <si>
    <t>Konfitt Café</t>
  </si>
  <si>
    <t>pepino mediano 800</t>
  </si>
  <si>
    <t>Konfitt Mix x 8 unidades</t>
  </si>
  <si>
    <t>pepino condimentado 330</t>
  </si>
  <si>
    <t>Campbells lata x 163mld</t>
  </si>
  <si>
    <t>Pimiento morron 330</t>
  </si>
  <si>
    <t>corazon alcaucil 330 x 12</t>
  </si>
  <si>
    <t>Hojas de Parra</t>
  </si>
  <si>
    <t>Konfitt Dulce de Leche</t>
  </si>
  <si>
    <t>Moldatte negro semiamargo especial 1 KG</t>
  </si>
  <si>
    <t>Moldatte blanco especial 1 KG</t>
  </si>
  <si>
    <t>Moldatte con leche especial 1 KG</t>
  </si>
  <si>
    <t>Cantuchini Almendra Koo !180 gr</t>
  </si>
  <si>
    <t>Cantuchini Chocolate Koo!180 gr</t>
  </si>
  <si>
    <t>Lemon &amp; Ginger Koo! 180 gr</t>
  </si>
  <si>
    <t>Coco &amp; Coco Koo! 180 gr</t>
  </si>
  <si>
    <t>Sweet &amp; Salty Koo! 180 gr</t>
  </si>
  <si>
    <t>Chai Cookie Koo! 180 gr</t>
  </si>
  <si>
    <t>casa piperno</t>
  </si>
  <si>
    <t>cantu</t>
  </si>
  <si>
    <t>manteca</t>
  </si>
  <si>
    <t>Aceituna negra S/C meridiano 330</t>
  </si>
  <si>
    <t>Aceituna Griega meridiano 330</t>
  </si>
  <si>
    <t>Aceituna negra C/C meridiano 330</t>
  </si>
  <si>
    <t>Pan Dulce Inovlidable 700g con Bolsa</t>
  </si>
  <si>
    <t>Aceite Yancanello 500 vidrio</t>
  </si>
  <si>
    <t>Aceite Yancanello 500 lata Arbequina</t>
  </si>
  <si>
    <t>Aceite Yancanello 250 vidrio</t>
  </si>
  <si>
    <t>chocolatina leche</t>
  </si>
  <si>
    <t>chocolatina semiamargo</t>
  </si>
  <si>
    <t>chocolatina infantil</t>
  </si>
  <si>
    <t>chocolatina sin azucar agregada</t>
  </si>
  <si>
    <t>Esparrago Verdes Meridiano 800 gr</t>
  </si>
  <si>
    <t>Aceituna verde S/C meridiano 330</t>
  </si>
  <si>
    <t>Aceituna verde C/C meridiano 330</t>
  </si>
  <si>
    <t>Aceituna verde C/C meridiano 1000</t>
  </si>
  <si>
    <t>Aceituna negra C/C meridiano 1000</t>
  </si>
  <si>
    <t>ajies Meridiano 330</t>
  </si>
  <si>
    <t>Aceituna verde rodajas  meridiano 330</t>
  </si>
  <si>
    <t>Aceituna negras rodajas  meridiano 330</t>
  </si>
  <si>
    <t>Estuche chocolatina  x 40 leche</t>
  </si>
  <si>
    <t>Te verde Chai</t>
  </si>
  <si>
    <t xml:space="preserve">Te Blanco Lychee </t>
  </si>
  <si>
    <t xml:space="preserve">Te Earl Grey Classic Inti </t>
  </si>
  <si>
    <t>accesorios</t>
  </si>
  <si>
    <t>regaleria</t>
  </si>
  <si>
    <t>taza + 14 saquitos surtidos</t>
  </si>
  <si>
    <t>caja calada 30 saquitos</t>
  </si>
  <si>
    <t>tetera + 2 cuencos</t>
  </si>
  <si>
    <t>caja paraiso natural 60 saquitos</t>
  </si>
  <si>
    <t>estuche transparente 30 saquietos</t>
  </si>
  <si>
    <t>Masseube</t>
  </si>
  <si>
    <t>Light 260g</t>
  </si>
  <si>
    <t>Arándano Light 260g</t>
  </si>
  <si>
    <t>Frutos del Bosque Light 260g</t>
  </si>
  <si>
    <t>Frambuesa Light 260g</t>
  </si>
  <si>
    <t>Frutilla Light 260g</t>
  </si>
  <si>
    <t>Mosqueta Light 260g</t>
  </si>
  <si>
    <t>Zarzamora Light 260g</t>
  </si>
  <si>
    <t>Arándano 212g</t>
  </si>
  <si>
    <t>Cereza Negra 212g</t>
  </si>
  <si>
    <t>Frutos del Bosque 212g</t>
  </si>
  <si>
    <t>Frambuesa 212g</t>
  </si>
  <si>
    <t>Frutilla 212g</t>
  </si>
  <si>
    <t>Mosqueta 212g</t>
  </si>
  <si>
    <t>Sauco 212g</t>
  </si>
  <si>
    <t>Tradicional 450g</t>
  </si>
  <si>
    <t>Arándano 450g</t>
  </si>
  <si>
    <t>Cereza Negra 450g</t>
  </si>
  <si>
    <t>Frutos del Bosque 450g</t>
  </si>
  <si>
    <t>Frambuesa 450g</t>
  </si>
  <si>
    <t>Frutilla 450g</t>
  </si>
  <si>
    <t>Mosqueta 450g</t>
  </si>
  <si>
    <t>Sauco 450g</t>
  </si>
  <si>
    <t>Zarzamora 450g</t>
  </si>
  <si>
    <t>Al Natural 700g</t>
  </si>
  <si>
    <t>Arándano en almíbar 700g</t>
  </si>
  <si>
    <t>Frambuesa en almíbar 700g</t>
  </si>
  <si>
    <t>Cereza Negra en almíbar 700g</t>
  </si>
  <si>
    <t>BEE PURE</t>
  </si>
  <si>
    <t>Miel &amp; Azúcar Mascabo</t>
  </si>
  <si>
    <t>Miel Bee Pure Cremosa 900g</t>
  </si>
  <si>
    <t>Miel Bee Pure Liquida 900g</t>
  </si>
  <si>
    <t>Miel Bee Pure Cremosa 500g</t>
  </si>
  <si>
    <t>Miel Bee Pure Liquida 500g</t>
  </si>
  <si>
    <t>Ser de Sol</t>
  </si>
  <si>
    <t>Frasco Vidrio Etiqueta 900 grs liquida</t>
  </si>
  <si>
    <t>Frasco Vidrio Etiqueta 270 grs Cremosa (sin stock)</t>
  </si>
  <si>
    <t>Meloso 480g - Syrup a base de miel pura</t>
  </si>
  <si>
    <t>Meridiano</t>
  </si>
  <si>
    <t>Moldatte</t>
  </si>
  <si>
    <t>Chocolatinas</t>
  </si>
  <si>
    <t>Konfitt Almendras x 8 unidades</t>
  </si>
  <si>
    <t>Konfitt Avellanas x 8 unidades</t>
  </si>
  <si>
    <t>Konfitt Cafe x 8 unidades</t>
  </si>
  <si>
    <t>Miel Ser Sol 900 gr cremosa</t>
  </si>
  <si>
    <t>Miel Ser Sol 500 gr cremosa</t>
  </si>
  <si>
    <t>Miel Ser Sol 500 gr liquida</t>
  </si>
  <si>
    <t>Miel Ser Sol 270 gr liquida</t>
  </si>
  <si>
    <t>costo del estuche de carton</t>
  </si>
  <si>
    <t>Latas</t>
  </si>
  <si>
    <t>Coco &amp; Coco Koo! 210 gr</t>
  </si>
  <si>
    <t>Lemon &amp; Ginger Koo! 210 gr</t>
  </si>
  <si>
    <t>French Vainilla Koo! 210 gr</t>
  </si>
  <si>
    <t>estuche x 3 surtido</t>
  </si>
  <si>
    <t>Guinda 450g</t>
  </si>
  <si>
    <t>Frutos del Bosque en almìbar 700g</t>
  </si>
  <si>
    <t>Tradicional 212g</t>
  </si>
  <si>
    <t>Berengenas condimenntadas 330</t>
  </si>
  <si>
    <t>Pan Dulce mini 120 inolvidable</t>
  </si>
  <si>
    <t>Pan Dulce mini 100 tradicional</t>
  </si>
  <si>
    <t>Esparrago Verdes Meridiano 330 gr</t>
  </si>
  <si>
    <t>Piraña</t>
  </si>
  <si>
    <t>Mani Tostado - Thai Sweet Chilli (65g)</t>
  </si>
  <si>
    <t>Mani Tostado - Wasabi Salsa de Soja (65g)</t>
  </si>
  <si>
    <t>Mani Tostado - Texas Barbecue (65g)</t>
  </si>
  <si>
    <t>Mani Tostado - Sal Marina Ahumada (65g)</t>
  </si>
  <si>
    <t>Papas Fritas Kettle Sal Marina Ahumada (65g)</t>
  </si>
  <si>
    <t>Papas Fritas Kettle Wasabi Salsa de Soja (65g)</t>
  </si>
  <si>
    <t>Sopa Conds Mushroom (setas) x 305g</t>
  </si>
  <si>
    <t>Sopa Crema de Vegetales</t>
  </si>
  <si>
    <t>Sopa minestron</t>
  </si>
  <si>
    <t>indo</t>
  </si>
  <si>
    <t>Las Brisas</t>
  </si>
  <si>
    <t>Jugos</t>
  </si>
  <si>
    <t>Las Brisas Limonada c/Menta 250 cc</t>
  </si>
  <si>
    <t>Molinillo</t>
  </si>
  <si>
    <t>Azúcar int Mascabo Bolss eco 500 grs</t>
  </si>
  <si>
    <t>Azúcar Mascabo gourmet 215g</t>
  </si>
  <si>
    <t>Miel Ser de Sol</t>
  </si>
  <si>
    <t>Snaks Piraña</t>
  </si>
  <si>
    <t>Molinillo Indo Ajillo 45 gr</t>
  </si>
  <si>
    <t>Molinillo Indo Asador 65 gr</t>
  </si>
  <si>
    <t>Molinillo Indo Caprese 55 gr</t>
  </si>
  <si>
    <t>Molinillo Indo Finas Hierbas 30 gr</t>
  </si>
  <si>
    <t>Molinillo Indo Mix Ptas 45 gr</t>
  </si>
  <si>
    <t>Molinillo Indo Ptas Negra 50 gr</t>
  </si>
  <si>
    <t>Molinillo Indo Pescado Sin Sal 30 gr</t>
  </si>
  <si>
    <t>Molinillo Indo  Pizza Party 50 gr</t>
  </si>
  <si>
    <t>Molinillo Indo Pollito  Sin Sal 30 gr</t>
  </si>
  <si>
    <t>Molinillo Indo  Al Romero 50 gr</t>
  </si>
  <si>
    <t>Molinillo Indo  Sal Marina 100 gr</t>
  </si>
  <si>
    <t>Molinillo Indo Salad Bar 45 gr</t>
  </si>
  <si>
    <t>Molinillo Indo Pta Vede 35 gr</t>
  </si>
  <si>
    <t>Molinillo Indo  Al Wok 50 gr</t>
  </si>
  <si>
    <t>Las Brisas  Pera Manzana 1000 cc</t>
  </si>
  <si>
    <t>Estuche chocolatina  x 40 Semi Amargo</t>
  </si>
  <si>
    <t>Las Brisas Manzana 250 cc</t>
  </si>
  <si>
    <t>Las Brisas Arandanos 250 cc</t>
  </si>
  <si>
    <t>pasta Mani</t>
  </si>
  <si>
    <t>Las Brisas Smoothie Arándano 250 cc</t>
  </si>
  <si>
    <t>Las Brisas Smoothie Multifruta  250 cc</t>
  </si>
  <si>
    <t>Las Brisas Smoothie Pera, Manzana 250 cc</t>
  </si>
  <si>
    <t>Mini Fugazza x 50g</t>
  </si>
  <si>
    <t>Chocolate para submarino 16 gr</t>
  </si>
  <si>
    <t>Narda Lepes 280g</t>
  </si>
  <si>
    <t>Arándano y Membrillo</t>
  </si>
  <si>
    <t>Durazno y Corinto</t>
  </si>
  <si>
    <t>Durazno y Naranja</t>
  </si>
  <si>
    <t>Frambuesa y Tomate</t>
  </si>
  <si>
    <t>Frutilla y Aceto</t>
  </si>
  <si>
    <t>Manzana y Canela</t>
  </si>
  <si>
    <t>Zafran</t>
  </si>
  <si>
    <t>Galletitas 100% Integrales</t>
  </si>
  <si>
    <r>
      <rPr>
        <sz val="12"/>
        <rFont val="Arial"/>
        <family val="2"/>
      </rPr>
      <t>Aminopiñada</t>
    </r>
    <r>
      <rPr>
        <sz val="9"/>
        <rFont val="Arial"/>
        <family val="2"/>
      </rPr>
      <t xml:space="preserve"> - Almendras, pasas uva, chía y miel.</t>
    </r>
  </si>
  <si>
    <r>
      <t>KariCajú</t>
    </r>
    <r>
      <rPr>
        <sz val="9"/>
        <rFont val="Arial"/>
        <family val="2"/>
      </rPr>
      <t xml:space="preserve"> - Cajú, arándanos, azúcar rubia, sésamo, curry</t>
    </r>
  </si>
  <si>
    <r>
      <t>Dadou</t>
    </r>
    <r>
      <rPr>
        <sz val="9"/>
        <rFont val="Arial"/>
        <family val="2"/>
      </rPr>
      <t xml:space="preserve"> - Cajú, almendras, maní, girasol, pistacho, salsa de soja y pimienta.</t>
    </r>
  </si>
  <si>
    <r>
      <t>Wazan</t>
    </r>
    <r>
      <rPr>
        <sz val="9"/>
        <rFont val="Arial"/>
        <family val="2"/>
      </rPr>
      <t xml:space="preserve"> - Cajú, maní, semillas de girasol, wasabi y sal marina.</t>
    </r>
  </si>
  <si>
    <r>
      <t>Chiapaz</t>
    </r>
    <r>
      <rPr>
        <sz val="9"/>
        <rFont val="Arial"/>
        <family val="2"/>
      </rPr>
      <t xml:space="preserve"> - Avena, pasas de uva y semillas de chía.</t>
    </r>
  </si>
  <si>
    <r>
      <t>Linocco</t>
    </r>
    <r>
      <rPr>
        <sz val="9"/>
        <rFont val="Arial"/>
        <family val="2"/>
      </rPr>
      <t xml:space="preserve"> - Avena, coco rallado y semillas de lino. </t>
    </r>
  </si>
  <si>
    <r>
      <t>Takku</t>
    </r>
    <r>
      <rPr>
        <sz val="9"/>
        <rFont val="Arial"/>
        <family val="2"/>
      </rPr>
      <t xml:space="preserve"> - Harina de algarroba, pasas de uva y girasol.</t>
    </r>
  </si>
  <si>
    <r>
      <t>Tanlatam</t>
    </r>
    <r>
      <rPr>
        <sz val="9"/>
        <rFont val="Arial"/>
        <family val="2"/>
      </rPr>
      <t xml:space="preserve"> - Cacao amargo, maní y un toque de café.</t>
    </r>
  </si>
  <si>
    <t>Pampa Dulce</t>
  </si>
  <si>
    <t>Yogha</t>
  </si>
  <si>
    <r>
      <rPr>
        <b/>
        <sz val="11"/>
        <rFont val="Arial"/>
        <family val="2"/>
      </rPr>
      <t>Lista 1</t>
    </r>
    <r>
      <rPr>
        <sz val="11"/>
        <rFont val="Arial"/>
        <family val="2"/>
      </rPr>
      <t xml:space="preserve">
precio
de 
venta</t>
    </r>
  </si>
  <si>
    <t>Cookies Chocolate Chip Chicas x 2 Kg</t>
  </si>
  <si>
    <t>Cookies Passion for Chocolat Chic x 2 Kg</t>
  </si>
  <si>
    <t>Cookies Avena x 2 Kg</t>
  </si>
  <si>
    <t>Tes</t>
  </si>
  <si>
    <t>infusiones</t>
  </si>
  <si>
    <t>Regaleria</t>
  </si>
  <si>
    <t>caja exhibidora inti zen chaman</t>
  </si>
  <si>
    <t>Acetos</t>
  </si>
  <si>
    <t>encurtidos</t>
  </si>
  <si>
    <t>Aceites</t>
  </si>
  <si>
    <t>caramelos</t>
  </si>
  <si>
    <t>dulce de leche</t>
  </si>
  <si>
    <t>miel</t>
  </si>
  <si>
    <t>bebidas alcoholica</t>
  </si>
  <si>
    <t>conservas</t>
  </si>
  <si>
    <t>cookies</t>
  </si>
  <si>
    <t>copetin</t>
  </si>
  <si>
    <t>budin</t>
  </si>
  <si>
    <t>Pan Dulcce</t>
  </si>
  <si>
    <t>Bebidas</t>
  </si>
  <si>
    <t>Chocolate</t>
  </si>
  <si>
    <t>mermeladas</t>
  </si>
  <si>
    <t>Azucar</t>
  </si>
  <si>
    <t>Snack</t>
  </si>
  <si>
    <t>Especies</t>
  </si>
  <si>
    <t>bebidas sin alcohol</t>
  </si>
  <si>
    <t>fruta seca</t>
  </si>
  <si>
    <t>Fruta Seca</t>
  </si>
  <si>
    <r>
      <rPr>
        <b/>
        <sz val="11"/>
        <rFont val="Arial"/>
        <family val="2"/>
      </rPr>
      <t>Lista 2</t>
    </r>
    <r>
      <rPr>
        <sz val="11"/>
        <rFont val="Arial"/>
        <family val="2"/>
      </rPr>
      <t xml:space="preserve">
precio
de 
venta</t>
    </r>
  </si>
  <si>
    <r>
      <rPr>
        <b/>
        <sz val="11"/>
        <rFont val="Arial"/>
        <family val="2"/>
      </rPr>
      <t>Lista 3</t>
    </r>
    <r>
      <rPr>
        <sz val="11"/>
        <rFont val="Arial"/>
        <family val="2"/>
      </rPr>
      <t xml:space="preserve">
precio
de 
venta</t>
    </r>
  </si>
  <si>
    <r>
      <rPr>
        <b/>
        <sz val="11"/>
        <rFont val="Arial"/>
        <family val="2"/>
      </rPr>
      <t>Lista 4</t>
    </r>
    <r>
      <rPr>
        <sz val="11"/>
        <rFont val="Arial"/>
        <family val="2"/>
      </rPr>
      <t xml:space="preserve">
precio
de 
venta</t>
    </r>
  </si>
  <si>
    <t>Default</t>
  </si>
  <si>
    <t>volumen</t>
  </si>
  <si>
    <t>Restó</t>
  </si>
  <si>
    <t>boutique</t>
  </si>
  <si>
    <t>sin codigo</t>
  </si>
  <si>
    <t>Abrazo Chamana</t>
  </si>
  <si>
    <t>Herbal Box (chamana surtidos)</t>
  </si>
  <si>
    <t>7791017000314</t>
  </si>
  <si>
    <t>7792340073655</t>
  </si>
  <si>
    <t>7792340000088</t>
  </si>
  <si>
    <t>7792340000323</t>
  </si>
  <si>
    <t>7792340000316</t>
  </si>
  <si>
    <t>7792340000262</t>
  </si>
  <si>
    <t>7792340000132</t>
  </si>
  <si>
    <t>7792340000286</t>
  </si>
  <si>
    <t>7792340073341</t>
  </si>
  <si>
    <t>Choclo en granos lata individual</t>
  </si>
  <si>
    <t>779809385407</t>
  </si>
  <si>
    <t>7798099385414</t>
  </si>
  <si>
    <t>7798099385469</t>
  </si>
  <si>
    <t>7798099385360</t>
  </si>
  <si>
    <t>7798099385452</t>
  </si>
  <si>
    <t>7798099385421</t>
  </si>
  <si>
    <t>7798099381621</t>
  </si>
  <si>
    <t>7798099385179</t>
  </si>
  <si>
    <t>7798099320228</t>
  </si>
  <si>
    <t>051000153159</t>
  </si>
  <si>
    <t>051000020253</t>
  </si>
  <si>
    <t>05100000007</t>
  </si>
  <si>
    <t>051000012937</t>
  </si>
  <si>
    <t>7797897002929</t>
  </si>
  <si>
    <t>7797897002936</t>
  </si>
  <si>
    <t>7797897002943</t>
  </si>
  <si>
    <t>7797897000048</t>
  </si>
  <si>
    <t>7797897000031</t>
  </si>
  <si>
    <t>7797897000024</t>
  </si>
  <si>
    <t>7797897000055</t>
  </si>
  <si>
    <t>7798101343067</t>
  </si>
  <si>
    <t>7798101343074</t>
  </si>
  <si>
    <t>7798101343081</t>
  </si>
  <si>
    <t>Listas de precios</t>
  </si>
  <si>
    <t>Volumen</t>
  </si>
  <si>
    <t>Resto</t>
  </si>
  <si>
    <t>Boutique</t>
  </si>
</sst>
</file>

<file path=xl/styles.xml><?xml version="1.0" encoding="utf-8"?>
<styleSheet xmlns="http://schemas.openxmlformats.org/spreadsheetml/2006/main">
  <numFmts count="5">
    <numFmt numFmtId="43" formatCode="_-* #,##0.00\ _€_-;\-* #,##0.00\ _€_-;_-* &quot;-&quot;??\ _€_-;_-@_-"/>
    <numFmt numFmtId="164" formatCode="[$$-2C0A]\ #,##0.00"/>
    <numFmt numFmtId="165" formatCode="_-* #,##0.00\ [$€]_-;\-* #,##0.00\ [$€]_-;_-* &quot;-&quot;??\ [$€]_-;_-@_-"/>
    <numFmt numFmtId="166" formatCode="&quot;$&quot;\ #,##0.00"/>
    <numFmt numFmtId="167" formatCode="0_);\(0\)"/>
  </numFmts>
  <fonts count="25">
    <font>
      <sz val="10"/>
      <name val="Arial"/>
    </font>
    <font>
      <sz val="10"/>
      <name val="Arial"/>
    </font>
    <font>
      <sz val="10"/>
      <name val="Times New Roman"/>
      <family val="1"/>
    </font>
    <font>
      <sz val="10"/>
      <name val="Arial"/>
      <family val="2"/>
    </font>
    <font>
      <b/>
      <sz val="12"/>
      <name val="Arial"/>
      <family val="2"/>
    </font>
    <font>
      <sz val="11"/>
      <name val="Arial"/>
      <family val="2"/>
    </font>
    <font>
      <b/>
      <sz val="11"/>
      <name val="Arial"/>
      <family val="2"/>
    </font>
    <font>
      <sz val="12"/>
      <name val="Tahoma"/>
      <family val="2"/>
    </font>
    <font>
      <b/>
      <sz val="10"/>
      <name val="Arial"/>
      <family val="2"/>
    </font>
    <font>
      <b/>
      <sz val="8"/>
      <name val="Arial"/>
      <family val="2"/>
    </font>
    <font>
      <sz val="16"/>
      <name val="Tahoma"/>
      <family val="2"/>
    </font>
    <font>
      <sz val="10"/>
      <name val="Times New Roman"/>
      <family val="1"/>
    </font>
    <font>
      <b/>
      <sz val="10"/>
      <color indexed="10"/>
      <name val="Arial"/>
      <family val="2"/>
    </font>
    <font>
      <sz val="10"/>
      <color indexed="10"/>
      <name val="Arial"/>
      <family val="2"/>
    </font>
    <font>
      <sz val="10"/>
      <name val="Arial"/>
      <family val="2"/>
    </font>
    <font>
      <sz val="12"/>
      <name val="Arial"/>
      <family val="2"/>
    </font>
    <font>
      <sz val="9"/>
      <color indexed="81"/>
      <name val="Tahoma"/>
      <family val="2"/>
    </font>
    <font>
      <b/>
      <sz val="9"/>
      <color indexed="81"/>
      <name val="Tahoma"/>
      <family val="2"/>
    </font>
    <font>
      <sz val="9"/>
      <name val="Arial"/>
      <family val="2"/>
    </font>
    <font>
      <sz val="8"/>
      <name val="Courier New"/>
      <family val="3"/>
    </font>
    <font>
      <sz val="10"/>
      <name val="Tahoma"/>
      <family val="2"/>
    </font>
    <font>
      <sz val="12"/>
      <color rgb="FFFF0000"/>
      <name val="Arial"/>
      <family val="2"/>
    </font>
    <font>
      <sz val="10"/>
      <name val="Arial"/>
    </font>
    <font>
      <sz val="10"/>
      <color rgb="FFFF0000"/>
      <name val="Arial"/>
      <family val="2"/>
    </font>
    <font>
      <sz val="10"/>
      <color theme="1"/>
      <name val="Arial"/>
      <family val="2"/>
    </font>
  </fonts>
  <fills count="7">
    <fill>
      <patternFill patternType="none"/>
    </fill>
    <fill>
      <patternFill patternType="gray125"/>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theme="5" tint="0.39997558519241921"/>
        <bgColor indexed="64"/>
      </patternFill>
    </fill>
    <fill>
      <patternFill patternType="solid">
        <fgColor theme="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ck">
        <color indexed="64"/>
      </top>
      <bottom style="thin">
        <color indexed="64"/>
      </bottom>
      <diagonal/>
    </border>
    <border>
      <left/>
      <right/>
      <top style="thick">
        <color indexed="64"/>
      </top>
      <bottom/>
      <diagonal/>
    </border>
  </borders>
  <cellStyleXfs count="10">
    <xf numFmtId="0" fontId="0"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xf numFmtId="0" fontId="11" fillId="0" borderId="0" applyNumberFormat="0" applyFill="0" applyBorder="0" applyAlignment="0" applyProtection="0"/>
    <xf numFmtId="9" fontId="1" fillId="0" borderId="0" applyFont="0" applyFill="0" applyBorder="0" applyAlignment="0" applyProtection="0"/>
  </cellStyleXfs>
  <cellXfs count="222">
    <xf numFmtId="0" fontId="0" fillId="0" borderId="0" xfId="0"/>
    <xf numFmtId="164" fontId="15" fillId="0" borderId="1" xfId="1" applyNumberFormat="1" applyFont="1" applyFill="1" applyBorder="1" applyAlignment="1">
      <alignment horizontal="center"/>
    </xf>
    <xf numFmtId="0" fontId="15" fillId="0" borderId="2" xfId="1" applyFont="1" applyFill="1" applyBorder="1" applyAlignment="1">
      <alignment vertical="top" wrapText="1"/>
    </xf>
    <xf numFmtId="0" fontId="15" fillId="0" borderId="3" xfId="1" applyFont="1" applyFill="1" applyBorder="1" applyAlignment="1">
      <alignment vertical="top" wrapText="1"/>
    </xf>
    <xf numFmtId="0" fontId="15" fillId="0" borderId="1" xfId="1" applyFont="1" applyFill="1" applyBorder="1" applyAlignment="1">
      <alignment vertical="top" wrapText="1"/>
    </xf>
    <xf numFmtId="166" fontId="15" fillId="0" borderId="1" xfId="1" applyNumberFormat="1" applyFont="1" applyFill="1" applyBorder="1" applyAlignment="1">
      <alignment horizontal="center"/>
    </xf>
    <xf numFmtId="164" fontId="15" fillId="0" borderId="4" xfId="1" applyNumberFormat="1" applyFont="1" applyFill="1" applyBorder="1" applyAlignment="1">
      <alignment horizontal="center"/>
    </xf>
    <xf numFmtId="0" fontId="15" fillId="0" borderId="5" xfId="1" applyFont="1" applyFill="1" applyBorder="1" applyAlignment="1">
      <alignment vertical="top" wrapText="1"/>
    </xf>
    <xf numFmtId="0" fontId="15" fillId="0" borderId="6" xfId="1" applyFont="1" applyFill="1" applyBorder="1" applyAlignment="1">
      <alignment vertical="top" wrapText="1"/>
    </xf>
    <xf numFmtId="0" fontId="21" fillId="0" borderId="1" xfId="1" applyFont="1" applyFill="1" applyBorder="1" applyAlignment="1">
      <alignment vertical="top" wrapText="1"/>
    </xf>
    <xf numFmtId="0" fontId="0" fillId="0" borderId="0" xfId="1" applyFont="1" applyFill="1"/>
    <xf numFmtId="0" fontId="5" fillId="0" borderId="0" xfId="1" applyFont="1" applyFill="1"/>
    <xf numFmtId="0" fontId="0" fillId="0" borderId="0" xfId="1" applyFont="1" applyFill="1" applyAlignment="1">
      <alignment horizontal="center"/>
    </xf>
    <xf numFmtId="0" fontId="7" fillId="0" borderId="0" xfId="1" applyFont="1" applyFill="1"/>
    <xf numFmtId="2" fontId="0" fillId="0" borderId="0" xfId="1" applyNumberFormat="1" applyFont="1" applyFill="1"/>
    <xf numFmtId="0" fontId="13" fillId="0" borderId="0" xfId="1" applyFont="1" applyFill="1"/>
    <xf numFmtId="0" fontId="0" fillId="0" borderId="1" xfId="1" applyFont="1" applyFill="1" applyBorder="1" applyAlignment="1">
      <alignment horizontal="center"/>
    </xf>
    <xf numFmtId="0" fontId="12" fillId="0" borderId="0" xfId="1" applyFont="1" applyFill="1"/>
    <xf numFmtId="0" fontId="6" fillId="0" borderId="6" xfId="1" applyFont="1" applyFill="1" applyBorder="1" applyAlignment="1">
      <alignment horizontal="center" vertical="center" textRotation="90" wrapText="1"/>
    </xf>
    <xf numFmtId="0" fontId="6" fillId="0" borderId="6" xfId="1" applyFont="1" applyFill="1" applyBorder="1" applyAlignment="1">
      <alignment horizontal="center" vertical="center" wrapText="1"/>
    </xf>
    <xf numFmtId="0" fontId="4" fillId="0" borderId="6" xfId="1" applyFont="1" applyFill="1" applyBorder="1" applyAlignment="1">
      <alignment horizontal="center" vertical="center" wrapText="1"/>
    </xf>
    <xf numFmtId="0" fontId="4" fillId="0" borderId="7" xfId="1" applyFont="1" applyFill="1" applyBorder="1" applyAlignment="1">
      <alignment horizontal="center" vertical="center" wrapText="1"/>
    </xf>
    <xf numFmtId="0" fontId="3" fillId="0" borderId="0" xfId="1" applyFont="1" applyFill="1"/>
    <xf numFmtId="166" fontId="5" fillId="0" borderId="1" xfId="1" applyNumberFormat="1" applyFont="1" applyFill="1" applyBorder="1" applyAlignment="1">
      <alignment horizontal="center" vertical="center" wrapText="1"/>
    </xf>
    <xf numFmtId="0" fontId="3" fillId="0" borderId="1" xfId="1" applyFont="1" applyFill="1" applyBorder="1" applyAlignment="1">
      <alignment horizontal="center" wrapText="1"/>
    </xf>
    <xf numFmtId="0" fontId="15" fillId="0" borderId="2" xfId="1" applyFont="1" applyFill="1" applyBorder="1"/>
    <xf numFmtId="3" fontId="15" fillId="0" borderId="2" xfId="6" applyNumberFormat="1" applyFont="1" applyFill="1" applyBorder="1" applyAlignment="1">
      <alignment horizontal="center"/>
    </xf>
    <xf numFmtId="164" fontId="15" fillId="0" borderId="2" xfId="1" applyNumberFormat="1" applyFont="1" applyFill="1" applyBorder="1" applyAlignment="1">
      <alignment horizontal="center"/>
    </xf>
    <xf numFmtId="1" fontId="15" fillId="0" borderId="2" xfId="1" applyNumberFormat="1" applyFont="1" applyFill="1" applyBorder="1" applyAlignment="1">
      <alignment horizontal="center"/>
    </xf>
    <xf numFmtId="164" fontId="15" fillId="0" borderId="8" xfId="1" applyNumberFormat="1" applyFont="1" applyFill="1" applyBorder="1" applyAlignment="1">
      <alignment horizontal="center"/>
    </xf>
    <xf numFmtId="0" fontId="15" fillId="0" borderId="0" xfId="1" applyFont="1" applyFill="1"/>
    <xf numFmtId="10" fontId="15" fillId="0" borderId="1" xfId="9" applyNumberFormat="1" applyFont="1" applyFill="1" applyBorder="1" applyAlignment="1">
      <alignment horizontal="center"/>
    </xf>
    <xf numFmtId="0" fontId="15" fillId="0" borderId="1" xfId="1" applyFont="1" applyFill="1" applyBorder="1"/>
    <xf numFmtId="3" fontId="15" fillId="0" borderId="1" xfId="6" applyNumberFormat="1" applyFont="1" applyFill="1" applyBorder="1" applyAlignment="1">
      <alignment horizontal="center"/>
    </xf>
    <xf numFmtId="1" fontId="15" fillId="0" borderId="1" xfId="1" applyNumberFormat="1" applyFont="1" applyFill="1" applyBorder="1" applyAlignment="1">
      <alignment horizontal="center"/>
    </xf>
    <xf numFmtId="164" fontId="15" fillId="0" borderId="9" xfId="1" applyNumberFormat="1" applyFont="1" applyFill="1" applyBorder="1" applyAlignment="1">
      <alignment horizontal="center"/>
    </xf>
    <xf numFmtId="0" fontId="15" fillId="0" borderId="3" xfId="1" applyFont="1" applyFill="1" applyBorder="1"/>
    <xf numFmtId="3" fontId="15" fillId="0" borderId="3" xfId="6" applyNumberFormat="1" applyFont="1" applyFill="1" applyBorder="1" applyAlignment="1">
      <alignment horizontal="center"/>
    </xf>
    <xf numFmtId="1" fontId="15" fillId="0" borderId="3" xfId="1" applyNumberFormat="1" applyFont="1" applyFill="1" applyBorder="1" applyAlignment="1">
      <alignment horizontal="center"/>
    </xf>
    <xf numFmtId="0" fontId="15" fillId="0" borderId="4" xfId="1" applyFont="1" applyFill="1" applyBorder="1"/>
    <xf numFmtId="3" fontId="15" fillId="0" borderId="4" xfId="6" applyNumberFormat="1" applyFont="1" applyFill="1" applyBorder="1" applyAlignment="1">
      <alignment horizontal="center"/>
    </xf>
    <xf numFmtId="1" fontId="15" fillId="0" borderId="4" xfId="1" applyNumberFormat="1" applyFont="1" applyFill="1" applyBorder="1" applyAlignment="1">
      <alignment horizontal="center"/>
    </xf>
    <xf numFmtId="0" fontId="15" fillId="0" borderId="5" xfId="1" applyFont="1" applyFill="1" applyBorder="1"/>
    <xf numFmtId="3" fontId="15" fillId="0" borderId="5" xfId="6" applyNumberFormat="1" applyFont="1" applyFill="1" applyBorder="1" applyAlignment="1">
      <alignment horizontal="center"/>
    </xf>
    <xf numFmtId="164" fontId="15" fillId="0" borderId="5" xfId="1" applyNumberFormat="1" applyFont="1" applyFill="1" applyBorder="1" applyAlignment="1">
      <alignment horizontal="center"/>
    </xf>
    <xf numFmtId="1" fontId="15" fillId="0" borderId="5" xfId="1" applyNumberFormat="1" applyFont="1" applyFill="1" applyBorder="1" applyAlignment="1">
      <alignment horizontal="center"/>
    </xf>
    <xf numFmtId="0" fontId="15" fillId="0" borderId="4" xfId="1" applyFont="1" applyFill="1" applyBorder="1" applyAlignment="1">
      <alignment vertical="top" wrapText="1"/>
    </xf>
    <xf numFmtId="164" fontId="15" fillId="0" borderId="1" xfId="3" applyNumberFormat="1" applyFont="1" applyFill="1" applyBorder="1" applyAlignment="1">
      <alignment horizontal="center"/>
    </xf>
    <xf numFmtId="164" fontId="15" fillId="0" borderId="3" xfId="1" applyNumberFormat="1" applyFont="1" applyFill="1" applyBorder="1" applyAlignment="1">
      <alignment horizontal="center"/>
    </xf>
    <xf numFmtId="164" fontId="15" fillId="0" borderId="6" xfId="3" applyNumberFormat="1" applyFont="1" applyFill="1" applyBorder="1" applyAlignment="1">
      <alignment horizontal="center"/>
    </xf>
    <xf numFmtId="0" fontId="0" fillId="0" borderId="1" xfId="1" applyFont="1" applyFill="1" applyBorder="1"/>
    <xf numFmtId="166" fontId="15" fillId="0" borderId="4" xfId="1" applyNumberFormat="1" applyFont="1" applyFill="1" applyBorder="1" applyAlignment="1">
      <alignment horizontal="center"/>
    </xf>
    <xf numFmtId="2" fontId="15" fillId="0" borderId="1" xfId="1" applyNumberFormat="1" applyFont="1" applyFill="1" applyBorder="1" applyAlignment="1">
      <alignment horizontal="center"/>
    </xf>
    <xf numFmtId="3" fontId="15" fillId="0" borderId="6" xfId="6" applyNumberFormat="1" applyFont="1" applyFill="1" applyBorder="1" applyAlignment="1">
      <alignment horizontal="center"/>
    </xf>
    <xf numFmtId="164" fontId="15" fillId="0" borderId="6" xfId="1" applyNumberFormat="1" applyFont="1" applyFill="1" applyBorder="1" applyAlignment="1">
      <alignment horizontal="center"/>
    </xf>
    <xf numFmtId="2" fontId="15" fillId="0" borderId="6" xfId="1" applyNumberFormat="1" applyFont="1" applyFill="1" applyBorder="1" applyAlignment="1">
      <alignment horizontal="center"/>
    </xf>
    <xf numFmtId="0" fontId="15" fillId="0" borderId="6" xfId="1" applyFont="1" applyFill="1" applyBorder="1"/>
    <xf numFmtId="1" fontId="15" fillId="0" borderId="6" xfId="1" applyNumberFormat="1" applyFont="1" applyFill="1" applyBorder="1" applyAlignment="1">
      <alignment horizontal="center"/>
    </xf>
    <xf numFmtId="0" fontId="15" fillId="0" borderId="2" xfId="3" applyFont="1" applyFill="1" applyBorder="1" applyAlignment="1">
      <alignment vertical="top" wrapText="1"/>
    </xf>
    <xf numFmtId="164" fontId="15" fillId="0" borderId="0" xfId="1" applyNumberFormat="1" applyFont="1" applyFill="1"/>
    <xf numFmtId="0" fontId="15" fillId="0" borderId="1" xfId="3" applyFont="1" applyFill="1" applyBorder="1" applyAlignment="1">
      <alignment vertical="top" wrapText="1"/>
    </xf>
    <xf numFmtId="0" fontId="15" fillId="0" borderId="5" xfId="3" applyFont="1" applyFill="1" applyBorder="1" applyAlignment="1">
      <alignment vertical="top" wrapText="1"/>
    </xf>
    <xf numFmtId="0" fontId="15" fillId="0" borderId="1" xfId="8" applyFont="1" applyFill="1" applyBorder="1" applyAlignment="1">
      <alignment vertical="center"/>
    </xf>
    <xf numFmtId="0" fontId="15" fillId="0" borderId="4" xfId="8" applyFont="1" applyFill="1" applyBorder="1" applyAlignment="1">
      <alignment vertical="center"/>
    </xf>
    <xf numFmtId="1" fontId="15" fillId="0" borderId="2" xfId="1" applyNumberFormat="1" applyFont="1" applyFill="1" applyBorder="1" applyAlignment="1" applyProtection="1">
      <alignment horizontal="center"/>
      <protection locked="0"/>
    </xf>
    <xf numFmtId="1" fontId="15" fillId="0" borderId="1" xfId="1" applyNumberFormat="1" applyFont="1" applyFill="1" applyBorder="1" applyAlignment="1" applyProtection="1">
      <alignment horizontal="center"/>
      <protection locked="0"/>
    </xf>
    <xf numFmtId="1" fontId="15" fillId="0" borderId="4" xfId="1" applyNumberFormat="1" applyFont="1" applyFill="1" applyBorder="1" applyAlignment="1" applyProtection="1">
      <alignment horizontal="center"/>
      <protection locked="0"/>
    </xf>
    <xf numFmtId="0" fontId="6" fillId="0" borderId="1" xfId="3" applyFont="1" applyFill="1" applyBorder="1" applyAlignment="1">
      <alignment horizontal="center" vertical="center" textRotation="90" wrapText="1"/>
    </xf>
    <xf numFmtId="0" fontId="15" fillId="0" borderId="1" xfId="1" applyFont="1" applyFill="1" applyBorder="1" applyAlignment="1">
      <alignment horizontal="left" vertical="center"/>
    </xf>
    <xf numFmtId="0" fontId="15" fillId="0" borderId="1" xfId="1" applyFont="1" applyFill="1" applyBorder="1" applyAlignment="1">
      <alignment horizontal="center" vertical="center"/>
    </xf>
    <xf numFmtId="1" fontId="15" fillId="0" borderId="5" xfId="1" applyNumberFormat="1" applyFont="1" applyFill="1" applyBorder="1" applyAlignment="1" applyProtection="1">
      <alignment horizontal="center"/>
      <protection locked="0"/>
    </xf>
    <xf numFmtId="1" fontId="15" fillId="0" borderId="6" xfId="1" applyNumberFormat="1" applyFont="1" applyFill="1" applyBorder="1" applyAlignment="1" applyProtection="1">
      <alignment horizontal="center"/>
      <protection locked="0"/>
    </xf>
    <xf numFmtId="3" fontId="21" fillId="0" borderId="1" xfId="6" applyNumberFormat="1" applyFont="1" applyFill="1" applyBorder="1" applyAlignment="1">
      <alignment horizontal="center"/>
    </xf>
    <xf numFmtId="0" fontId="4" fillId="0" borderId="1" xfId="3" applyFont="1" applyFill="1" applyBorder="1" applyAlignment="1">
      <alignment vertical="top" wrapText="1"/>
    </xf>
    <xf numFmtId="0" fontId="4" fillId="0" borderId="0" xfId="1" applyFont="1" applyFill="1" applyBorder="1" applyAlignment="1">
      <alignment horizontal="center" vertical="center" textRotation="90" wrapText="1"/>
    </xf>
    <xf numFmtId="0" fontId="15" fillId="0" borderId="0" xfId="3" applyFont="1" applyFill="1" applyBorder="1" applyAlignment="1">
      <alignment vertical="top" wrapText="1"/>
    </xf>
    <xf numFmtId="3" fontId="15" fillId="0" borderId="0" xfId="6" applyNumberFormat="1" applyFont="1" applyFill="1" applyBorder="1" applyAlignment="1">
      <alignment horizontal="center"/>
    </xf>
    <xf numFmtId="164" fontId="15" fillId="0" borderId="0" xfId="3" applyNumberFormat="1" applyFont="1" applyFill="1" applyBorder="1" applyAlignment="1">
      <alignment horizontal="center"/>
    </xf>
    <xf numFmtId="1" fontId="15" fillId="0" borderId="0" xfId="1" applyNumberFormat="1" applyFont="1" applyFill="1" applyBorder="1" applyAlignment="1">
      <alignment horizontal="center"/>
    </xf>
    <xf numFmtId="164" fontId="15" fillId="0" borderId="0" xfId="1" applyNumberFormat="1" applyFont="1" applyFill="1" applyBorder="1" applyAlignment="1">
      <alignment horizontal="center"/>
    </xf>
    <xf numFmtId="0" fontId="15" fillId="0" borderId="0" xfId="1" applyFont="1" applyFill="1" applyAlignment="1">
      <alignment horizontal="center"/>
    </xf>
    <xf numFmtId="0" fontId="15" fillId="0" borderId="0" xfId="1" applyFont="1" applyFill="1" applyAlignment="1">
      <alignment horizontal="left" indent="3"/>
    </xf>
    <xf numFmtId="2" fontId="15" fillId="0" borderId="0" xfId="1" applyNumberFormat="1" applyFont="1" applyFill="1"/>
    <xf numFmtId="0" fontId="6" fillId="0" borderId="6" xfId="1" applyNumberFormat="1" applyFont="1" applyFill="1" applyBorder="1" applyAlignment="1">
      <alignment horizontal="center" vertical="center" wrapText="1"/>
    </xf>
    <xf numFmtId="0" fontId="15" fillId="0" borderId="1" xfId="1" applyNumberFormat="1" applyFont="1" applyFill="1" applyBorder="1" applyAlignment="1">
      <alignment horizontal="center"/>
    </xf>
    <xf numFmtId="2" fontId="15" fillId="0" borderId="1" xfId="1" applyNumberFormat="1" applyFont="1" applyFill="1" applyBorder="1" applyAlignment="1" applyProtection="1">
      <alignment horizontal="center"/>
      <protection locked="0"/>
    </xf>
    <xf numFmtId="0" fontId="8" fillId="0" borderId="10" xfId="1" applyFont="1" applyFill="1" applyBorder="1" applyAlignment="1">
      <alignment horizontal="center" vertical="center" textRotation="90" wrapText="1"/>
    </xf>
    <xf numFmtId="0" fontId="15" fillId="0" borderId="4" xfId="1" applyFont="1" applyFill="1" applyBorder="1" applyAlignment="1">
      <alignment horizontal="left" vertical="center"/>
    </xf>
    <xf numFmtId="0" fontId="15" fillId="0" borderId="4" xfId="1" applyFont="1" applyFill="1" applyBorder="1" applyAlignment="1">
      <alignment horizontal="center" vertical="center"/>
    </xf>
    <xf numFmtId="0" fontId="0" fillId="0" borderId="4" xfId="1" applyFont="1" applyFill="1" applyBorder="1" applyAlignment="1">
      <alignment horizontal="center"/>
    </xf>
    <xf numFmtId="0" fontId="15" fillId="0" borderId="6" xfId="1" applyFont="1" applyFill="1" applyBorder="1" applyAlignment="1">
      <alignment horizontal="left" vertical="center"/>
    </xf>
    <xf numFmtId="0" fontId="15" fillId="0" borderId="6" xfId="1" applyFont="1" applyFill="1" applyBorder="1" applyAlignment="1">
      <alignment horizontal="center" vertical="center"/>
    </xf>
    <xf numFmtId="166" fontId="15" fillId="0" borderId="6" xfId="1" applyNumberFormat="1" applyFont="1" applyFill="1" applyBorder="1" applyAlignment="1">
      <alignment horizontal="center"/>
    </xf>
    <xf numFmtId="0" fontId="0" fillId="0" borderId="6" xfId="1" applyFont="1" applyFill="1" applyBorder="1" applyAlignment="1">
      <alignment horizontal="center"/>
    </xf>
    <xf numFmtId="0" fontId="15" fillId="0" borderId="5" xfId="1" applyFont="1" applyFill="1" applyBorder="1" applyAlignment="1">
      <alignment horizontal="left" vertical="center"/>
    </xf>
    <xf numFmtId="0" fontId="15" fillId="0" borderId="5" xfId="1" applyFont="1" applyFill="1" applyBorder="1" applyAlignment="1">
      <alignment horizontal="center" vertical="center"/>
    </xf>
    <xf numFmtId="166" fontId="15" fillId="0" borderId="5" xfId="1" applyNumberFormat="1" applyFont="1" applyFill="1" applyBorder="1" applyAlignment="1">
      <alignment horizontal="center"/>
    </xf>
    <xf numFmtId="0" fontId="0" fillId="0" borderId="5" xfId="1" applyFont="1" applyFill="1" applyBorder="1" applyAlignment="1">
      <alignment horizontal="center"/>
    </xf>
    <xf numFmtId="0" fontId="9" fillId="0" borderId="11" xfId="1" applyFont="1" applyFill="1" applyBorder="1" applyAlignment="1">
      <alignment horizontal="center" vertical="center" wrapText="1"/>
    </xf>
    <xf numFmtId="0" fontId="8" fillId="0" borderId="0" xfId="1" applyFont="1" applyFill="1"/>
    <xf numFmtId="164" fontId="15" fillId="0" borderId="12" xfId="1" applyNumberFormat="1" applyFont="1" applyFill="1" applyBorder="1" applyAlignment="1">
      <alignment horizontal="center"/>
    </xf>
    <xf numFmtId="0" fontId="4" fillId="0" borderId="1" xfId="3" applyFont="1" applyFill="1" applyBorder="1" applyAlignment="1">
      <alignment horizontal="center" vertical="center" textRotation="90" wrapText="1"/>
    </xf>
    <xf numFmtId="0" fontId="4" fillId="0" borderId="1" xfId="3" applyFont="1" applyFill="1" applyBorder="1" applyAlignment="1">
      <alignment vertical="center" textRotation="90" wrapText="1"/>
    </xf>
    <xf numFmtId="0" fontId="8" fillId="0" borderId="3" xfId="1" applyFont="1" applyFill="1" applyBorder="1" applyAlignment="1">
      <alignment horizontal="center" vertical="center" textRotation="90" wrapText="1"/>
    </xf>
    <xf numFmtId="0" fontId="15" fillId="0" borderId="0" xfId="1" applyFont="1" applyFill="1" applyAlignment="1">
      <alignment horizontal="center" vertical="center"/>
    </xf>
    <xf numFmtId="0" fontId="7" fillId="0" borderId="0" xfId="1" applyFont="1" applyFill="1" applyAlignment="1">
      <alignment horizontal="center" vertical="center"/>
    </xf>
    <xf numFmtId="0" fontId="0" fillId="0" borderId="0" xfId="1" applyFont="1" applyFill="1" applyAlignment="1">
      <alignment horizontal="center" vertical="center"/>
    </xf>
    <xf numFmtId="0" fontId="8" fillId="0" borderId="4" xfId="1" applyFont="1" applyFill="1" applyBorder="1" applyAlignment="1">
      <alignment horizontal="center" vertical="center" textRotation="90" wrapText="1"/>
    </xf>
    <xf numFmtId="0" fontId="4" fillId="0" borderId="1" xfId="1" applyFont="1" applyFill="1" applyBorder="1" applyAlignment="1">
      <alignment horizontal="center" vertical="center" textRotation="90" wrapText="1"/>
    </xf>
    <xf numFmtId="164" fontId="15" fillId="0" borderId="5" xfId="3" applyNumberFormat="1" applyFont="1" applyFill="1" applyBorder="1" applyAlignment="1">
      <alignment horizontal="center"/>
    </xf>
    <xf numFmtId="0" fontId="18" fillId="0" borderId="1" xfId="2" applyFont="1" applyFill="1" applyBorder="1" applyAlignment="1">
      <alignment vertical="top" wrapText="1"/>
    </xf>
    <xf numFmtId="0" fontId="15" fillId="0" borderId="1" xfId="2" applyFont="1" applyFill="1" applyBorder="1" applyAlignment="1">
      <alignment vertical="top" wrapText="1"/>
    </xf>
    <xf numFmtId="0" fontId="6" fillId="0" borderId="11" xfId="1" applyFont="1" applyFill="1" applyBorder="1" applyAlignment="1">
      <alignment horizontal="center" vertical="center" textRotation="90" wrapText="1"/>
    </xf>
    <xf numFmtId="0" fontId="0" fillId="0" borderId="0" xfId="1" applyNumberFormat="1" applyFont="1" applyFill="1" applyAlignment="1">
      <alignment horizontal="center" vertical="center"/>
    </xf>
    <xf numFmtId="0" fontId="15" fillId="0" borderId="2" xfId="1" applyNumberFormat="1" applyFont="1" applyFill="1" applyBorder="1" applyAlignment="1">
      <alignment horizontal="center" vertical="center"/>
    </xf>
    <xf numFmtId="0" fontId="15" fillId="0" borderId="1" xfId="1" applyNumberFormat="1" applyFont="1" applyFill="1" applyBorder="1" applyAlignment="1">
      <alignment horizontal="center" vertical="center"/>
    </xf>
    <xf numFmtId="0" fontId="15" fillId="0" borderId="3" xfId="1" applyNumberFormat="1" applyFont="1" applyFill="1" applyBorder="1" applyAlignment="1">
      <alignment horizontal="center" vertical="center"/>
    </xf>
    <xf numFmtId="0" fontId="15" fillId="0" borderId="4" xfId="1" applyNumberFormat="1" applyFont="1" applyFill="1" applyBorder="1" applyAlignment="1">
      <alignment horizontal="center" vertical="center"/>
    </xf>
    <xf numFmtId="0" fontId="15" fillId="0" borderId="5" xfId="1" applyNumberFormat="1" applyFont="1" applyFill="1" applyBorder="1" applyAlignment="1">
      <alignment horizontal="center" vertical="center"/>
    </xf>
    <xf numFmtId="0" fontId="15" fillId="0" borderId="6" xfId="1" applyNumberFormat="1" applyFont="1" applyFill="1" applyBorder="1" applyAlignment="1">
      <alignment horizontal="center" vertical="center"/>
    </xf>
    <xf numFmtId="0" fontId="15" fillId="0" borderId="13" xfId="1" applyNumberFormat="1" applyFont="1" applyFill="1" applyBorder="1" applyAlignment="1">
      <alignment horizontal="center" vertical="center"/>
    </xf>
    <xf numFmtId="0" fontId="15" fillId="0" borderId="14" xfId="1" applyNumberFormat="1" applyFont="1" applyFill="1" applyBorder="1" applyAlignment="1">
      <alignment horizontal="center" vertical="center"/>
    </xf>
    <xf numFmtId="0" fontId="15" fillId="0" borderId="15" xfId="1" applyNumberFormat="1" applyFont="1" applyFill="1" applyBorder="1" applyAlignment="1">
      <alignment horizontal="center" vertical="center"/>
    </xf>
    <xf numFmtId="0" fontId="15" fillId="0" borderId="16" xfId="1" applyNumberFormat="1" applyFont="1" applyFill="1" applyBorder="1" applyAlignment="1">
      <alignment horizontal="center" vertical="center"/>
    </xf>
    <xf numFmtId="0" fontId="15" fillId="0" borderId="0" xfId="1" applyNumberFormat="1" applyFont="1" applyFill="1" applyBorder="1" applyAlignment="1">
      <alignment horizontal="center" vertical="center"/>
    </xf>
    <xf numFmtId="0" fontId="15" fillId="0" borderId="0" xfId="1" applyNumberFormat="1" applyFont="1" applyFill="1" applyAlignment="1">
      <alignment horizontal="center" vertical="center"/>
    </xf>
    <xf numFmtId="166" fontId="15" fillId="0" borderId="0" xfId="1" applyNumberFormat="1" applyFont="1" applyFill="1"/>
    <xf numFmtId="10" fontId="15" fillId="0" borderId="6" xfId="9" applyNumberFormat="1" applyFont="1" applyFill="1" applyBorder="1" applyAlignment="1">
      <alignment horizontal="center"/>
    </xf>
    <xf numFmtId="166" fontId="15" fillId="0" borderId="36" xfId="1" applyNumberFormat="1" applyFont="1" applyFill="1" applyBorder="1" applyAlignment="1">
      <alignment horizontal="center"/>
    </xf>
    <xf numFmtId="0" fontId="15" fillId="0" borderId="37" xfId="1" applyFont="1" applyFill="1" applyBorder="1"/>
    <xf numFmtId="10" fontId="15" fillId="0" borderId="36" xfId="9" applyNumberFormat="1" applyFont="1" applyFill="1" applyBorder="1" applyAlignment="1">
      <alignment horizontal="center"/>
    </xf>
    <xf numFmtId="0" fontId="3" fillId="0" borderId="0" xfId="1" applyFont="1" applyFill="1" applyBorder="1" applyAlignment="1">
      <alignment horizontal="center" wrapText="1"/>
    </xf>
    <xf numFmtId="166" fontId="15" fillId="0" borderId="0" xfId="1" applyNumberFormat="1" applyFont="1" applyFill="1" applyBorder="1" applyAlignment="1">
      <alignment horizontal="center"/>
    </xf>
    <xf numFmtId="1" fontId="0" fillId="0" borderId="0" xfId="1" applyNumberFormat="1" applyFont="1" applyFill="1" applyAlignment="1">
      <alignment horizontal="center" vertical="center"/>
    </xf>
    <xf numFmtId="1" fontId="3" fillId="0" borderId="0" xfId="1" applyNumberFormat="1" applyFont="1" applyFill="1" applyBorder="1" applyAlignment="1">
      <alignment horizontal="center" vertical="center" wrapText="1"/>
    </xf>
    <xf numFmtId="1" fontId="15" fillId="0" borderId="0" xfId="1" applyNumberFormat="1" applyFont="1" applyFill="1" applyBorder="1" applyAlignment="1">
      <alignment horizontal="center" vertical="center"/>
    </xf>
    <xf numFmtId="1" fontId="15" fillId="0" borderId="0" xfId="1" applyNumberFormat="1" applyFont="1" applyFill="1" applyAlignment="1">
      <alignment horizontal="center" vertical="center"/>
    </xf>
    <xf numFmtId="166" fontId="5" fillId="2" borderId="1" xfId="1" applyNumberFormat="1" applyFont="1" applyFill="1" applyBorder="1" applyAlignment="1">
      <alignment horizontal="center" vertical="center" wrapText="1"/>
    </xf>
    <xf numFmtId="166" fontId="5" fillId="3" borderId="1" xfId="1" applyNumberFormat="1" applyFont="1" applyFill="1" applyBorder="1" applyAlignment="1">
      <alignment horizontal="center" vertical="center" wrapText="1"/>
    </xf>
    <xf numFmtId="166" fontId="5" fillId="4" borderId="1" xfId="1" applyNumberFormat="1" applyFont="1" applyFill="1" applyBorder="1" applyAlignment="1">
      <alignment horizontal="center" vertical="center" wrapText="1"/>
    </xf>
    <xf numFmtId="166" fontId="5" fillId="5" borderId="1" xfId="1" applyNumberFormat="1" applyFont="1" applyFill="1" applyBorder="1" applyAlignment="1">
      <alignment horizontal="center" vertical="center" wrapText="1"/>
    </xf>
    <xf numFmtId="1" fontId="3" fillId="6" borderId="0" xfId="2" applyNumberFormat="1" applyFont="1" applyFill="1" applyBorder="1" applyAlignment="1">
      <alignment horizontal="center" vertical="center"/>
    </xf>
    <xf numFmtId="49" fontId="20" fillId="6" borderId="0" xfId="7" applyNumberFormat="1" applyFont="1" applyFill="1" applyAlignment="1">
      <alignment horizontal="center" vertical="center"/>
    </xf>
    <xf numFmtId="1" fontId="3" fillId="6" borderId="0" xfId="2" applyNumberFormat="1" applyFont="1" applyFill="1" applyBorder="1" applyAlignment="1">
      <alignment horizontal="center" vertical="center" wrapText="1"/>
    </xf>
    <xf numFmtId="49" fontId="20" fillId="6" borderId="0" xfId="7" applyNumberFormat="1" applyFont="1" applyFill="1" applyBorder="1" applyAlignment="1">
      <alignment horizontal="center" vertical="center"/>
    </xf>
    <xf numFmtId="1" fontId="18" fillId="6" borderId="0" xfId="0" applyNumberFormat="1" applyFont="1" applyFill="1" applyBorder="1" applyAlignment="1">
      <alignment horizontal="center"/>
    </xf>
    <xf numFmtId="49" fontId="3" fillId="6" borderId="0" xfId="2" applyNumberFormat="1" applyFont="1" applyFill="1" applyBorder="1" applyAlignment="1">
      <alignment horizontal="center" vertical="center" wrapText="1"/>
    </xf>
    <xf numFmtId="49" fontId="3" fillId="6" borderId="0" xfId="2" applyNumberFormat="1" applyFont="1" applyFill="1" applyBorder="1" applyAlignment="1">
      <alignment horizontal="center" vertical="center"/>
    </xf>
    <xf numFmtId="1" fontId="23" fillId="6" borderId="0" xfId="2" applyNumberFormat="1" applyFont="1" applyFill="1" applyBorder="1" applyAlignment="1">
      <alignment horizontal="center" vertical="center"/>
    </xf>
    <xf numFmtId="167" fontId="24" fillId="6" borderId="0" xfId="6" applyNumberFormat="1" applyFont="1" applyFill="1" applyBorder="1" applyAlignment="1">
      <alignment horizontal="center" vertical="center" wrapText="1"/>
    </xf>
    <xf numFmtId="1" fontId="3" fillId="6" borderId="0" xfId="3" applyNumberFormat="1" applyFont="1" applyFill="1" applyBorder="1" applyAlignment="1" applyProtection="1">
      <alignment horizontal="center" vertical="center"/>
    </xf>
    <xf numFmtId="0" fontId="9" fillId="0" borderId="17" xfId="1" applyFont="1" applyFill="1" applyBorder="1" applyAlignment="1">
      <alignment horizontal="center" vertical="center" wrapText="1"/>
    </xf>
    <xf numFmtId="0" fontId="9" fillId="0" borderId="18" xfId="1" applyFont="1" applyFill="1" applyBorder="1" applyAlignment="1">
      <alignment horizontal="center" vertical="center" wrapText="1"/>
    </xf>
    <xf numFmtId="0" fontId="8" fillId="0" borderId="19" xfId="1" applyFont="1" applyFill="1" applyBorder="1" applyAlignment="1">
      <alignment horizontal="center" vertical="center" textRotation="90" wrapText="1"/>
    </xf>
    <xf numFmtId="0" fontId="8" fillId="0" borderId="3" xfId="1" applyFont="1" applyFill="1" applyBorder="1" applyAlignment="1">
      <alignment horizontal="center" vertical="center" textRotation="90" wrapText="1"/>
    </xf>
    <xf numFmtId="0" fontId="4" fillId="0" borderId="20" xfId="1" applyFont="1" applyFill="1" applyBorder="1" applyAlignment="1">
      <alignment horizontal="center" vertical="center" textRotation="90" wrapText="1"/>
    </xf>
    <xf numFmtId="0" fontId="4" fillId="0" borderId="11" xfId="1" applyFont="1" applyFill="1" applyBorder="1" applyAlignment="1">
      <alignment horizontal="center" vertical="center" textRotation="90" wrapText="1"/>
    </xf>
    <xf numFmtId="0" fontId="4" fillId="0" borderId="21" xfId="1" applyFont="1" applyFill="1" applyBorder="1" applyAlignment="1">
      <alignment horizontal="center" vertical="center" textRotation="90" wrapText="1"/>
    </xf>
    <xf numFmtId="0" fontId="8" fillId="0" borderId="6" xfId="1" applyFont="1" applyFill="1" applyBorder="1" applyAlignment="1">
      <alignment horizontal="center" vertical="center" textRotation="90" wrapText="1"/>
    </xf>
    <xf numFmtId="0" fontId="8" fillId="0" borderId="4" xfId="1" applyFont="1" applyFill="1" applyBorder="1" applyAlignment="1">
      <alignment horizontal="center" vertical="center" textRotation="90" wrapText="1"/>
    </xf>
    <xf numFmtId="0" fontId="6" fillId="0" borderId="17" xfId="1" applyFont="1" applyFill="1" applyBorder="1" applyAlignment="1">
      <alignment horizontal="center" vertical="center" textRotation="90" wrapText="1"/>
    </xf>
    <xf numFmtId="0" fontId="6" fillId="0" borderId="11" xfId="1" applyFont="1" applyFill="1" applyBorder="1" applyAlignment="1">
      <alignment horizontal="center" vertical="center" textRotation="90" wrapText="1"/>
    </xf>
    <xf numFmtId="0" fontId="4" fillId="0" borderId="22" xfId="3" applyFont="1" applyFill="1" applyBorder="1" applyAlignment="1">
      <alignment horizontal="center" vertical="center" textRotation="90" wrapText="1"/>
    </xf>
    <xf numFmtId="0" fontId="4" fillId="0" borderId="10" xfId="3" applyFont="1" applyFill="1" applyBorder="1" applyAlignment="1">
      <alignment horizontal="center" vertical="center" textRotation="90" wrapText="1"/>
    </xf>
    <xf numFmtId="0" fontId="4" fillId="0" borderId="23" xfId="3" applyFont="1" applyFill="1" applyBorder="1" applyAlignment="1">
      <alignment horizontal="center" vertical="center" textRotation="90" wrapText="1"/>
    </xf>
    <xf numFmtId="0" fontId="4" fillId="0" borderId="24" xfId="1" applyFont="1" applyFill="1" applyBorder="1" applyAlignment="1">
      <alignment horizontal="center" vertical="center" textRotation="90" wrapText="1"/>
    </xf>
    <xf numFmtId="0" fontId="4" fillId="0" borderId="25" xfId="1" applyFont="1" applyFill="1" applyBorder="1" applyAlignment="1">
      <alignment horizontal="center" vertical="center" textRotation="90" wrapText="1"/>
    </xf>
    <xf numFmtId="0" fontId="0" fillId="0" borderId="0" xfId="1" applyFont="1" applyFill="1" applyAlignment="1">
      <alignment horizontal="center"/>
    </xf>
    <xf numFmtId="0" fontId="0" fillId="0" borderId="1" xfId="1" applyFont="1" applyFill="1" applyBorder="1" applyAlignment="1">
      <alignment horizontal="center"/>
    </xf>
    <xf numFmtId="0" fontId="8" fillId="0" borderId="26" xfId="1" applyFont="1" applyFill="1" applyBorder="1" applyAlignment="1">
      <alignment horizontal="center" vertical="center" textRotation="90" wrapText="1"/>
    </xf>
    <xf numFmtId="14" fontId="0" fillId="0" borderId="1" xfId="1" applyNumberFormat="1" applyFont="1" applyFill="1" applyBorder="1" applyAlignment="1">
      <alignment horizontal="center"/>
    </xf>
    <xf numFmtId="0" fontId="6" fillId="0" borderId="18" xfId="1" applyFont="1" applyFill="1" applyBorder="1" applyAlignment="1">
      <alignment horizontal="center" vertical="center" textRotation="90" wrapText="1"/>
    </xf>
    <xf numFmtId="0" fontId="6" fillId="0" borderId="27" xfId="1" applyFont="1" applyFill="1" applyBorder="1" applyAlignment="1">
      <alignment horizontal="center" vertical="center" textRotation="90" wrapText="1"/>
    </xf>
    <xf numFmtId="0" fontId="6" fillId="0" borderId="28" xfId="1" applyFont="1" applyFill="1" applyBorder="1" applyAlignment="1">
      <alignment horizontal="center" vertical="center" textRotation="90" wrapText="1"/>
    </xf>
    <xf numFmtId="0" fontId="6" fillId="0" borderId="29" xfId="1" applyFont="1" applyFill="1" applyBorder="1" applyAlignment="1">
      <alignment horizontal="center" vertical="center" textRotation="90" wrapText="1"/>
    </xf>
    <xf numFmtId="0" fontId="8" fillId="0" borderId="17" xfId="1" applyFont="1" applyFill="1" applyBorder="1" applyAlignment="1">
      <alignment horizontal="center" vertical="center" textRotation="90" wrapText="1"/>
    </xf>
    <xf numFmtId="0" fontId="8" fillId="0" borderId="11" xfId="1" applyFont="1" applyFill="1" applyBorder="1" applyAlignment="1">
      <alignment horizontal="center" vertical="center" textRotation="90" wrapText="1"/>
    </xf>
    <xf numFmtId="0" fontId="8" fillId="0" borderId="18" xfId="1" applyFont="1" applyFill="1" applyBorder="1" applyAlignment="1">
      <alignment horizontal="center" vertical="center" textRotation="90" wrapText="1"/>
    </xf>
    <xf numFmtId="0" fontId="6" fillId="0" borderId="17" xfId="3" applyFont="1" applyFill="1" applyBorder="1" applyAlignment="1">
      <alignment horizontal="center" vertical="center" textRotation="90" wrapText="1"/>
    </xf>
    <xf numFmtId="0" fontId="6" fillId="0" borderId="11" xfId="3" applyFont="1" applyFill="1" applyBorder="1" applyAlignment="1">
      <alignment horizontal="center" vertical="center" textRotation="90" wrapText="1"/>
    </xf>
    <xf numFmtId="0" fontId="6" fillId="0" borderId="18" xfId="3" applyFont="1" applyFill="1" applyBorder="1" applyAlignment="1">
      <alignment horizontal="center" vertical="center" textRotation="90" wrapText="1"/>
    </xf>
    <xf numFmtId="0" fontId="8" fillId="0" borderId="1" xfId="1" applyFont="1" applyFill="1" applyBorder="1" applyAlignment="1">
      <alignment horizontal="center" vertical="center" textRotation="90" wrapText="1"/>
    </xf>
    <xf numFmtId="0" fontId="6" fillId="0" borderId="7" xfId="3" applyFont="1" applyFill="1" applyBorder="1" applyAlignment="1">
      <alignment horizontal="center" vertical="center" textRotation="90" wrapText="1"/>
    </xf>
    <xf numFmtId="0" fontId="6" fillId="0" borderId="30" xfId="3" applyFont="1" applyFill="1" applyBorder="1" applyAlignment="1">
      <alignment horizontal="center" vertical="center" textRotation="90" wrapText="1"/>
    </xf>
    <xf numFmtId="0" fontId="6" fillId="0" borderId="31" xfId="3" applyFont="1" applyFill="1" applyBorder="1" applyAlignment="1">
      <alignment horizontal="center" vertical="center" textRotation="90" wrapText="1"/>
    </xf>
    <xf numFmtId="0" fontId="8" fillId="0" borderId="32" xfId="1" applyFont="1" applyFill="1" applyBorder="1" applyAlignment="1">
      <alignment horizontal="center" vertical="center" textRotation="90" wrapText="1"/>
    </xf>
    <xf numFmtId="0" fontId="8" fillId="0" borderId="10" xfId="1" applyFont="1" applyFill="1" applyBorder="1" applyAlignment="1">
      <alignment horizontal="center" vertical="center" textRotation="90" wrapText="1"/>
    </xf>
    <xf numFmtId="0" fontId="8" fillId="0" borderId="23" xfId="1" applyFont="1" applyFill="1" applyBorder="1" applyAlignment="1">
      <alignment horizontal="center" vertical="center" textRotation="90" wrapText="1"/>
    </xf>
    <xf numFmtId="0" fontId="6" fillId="0" borderId="6" xfId="3" applyFont="1" applyFill="1" applyBorder="1" applyAlignment="1">
      <alignment horizontal="center" vertical="center" textRotation="90" wrapText="1"/>
    </xf>
    <xf numFmtId="0" fontId="6" fillId="0" borderId="3" xfId="3" applyFont="1" applyFill="1" applyBorder="1" applyAlignment="1">
      <alignment horizontal="center" vertical="center" textRotation="90" wrapText="1"/>
    </xf>
    <xf numFmtId="0" fontId="6" fillId="0" borderId="4" xfId="3" applyFont="1" applyFill="1" applyBorder="1" applyAlignment="1">
      <alignment horizontal="center" vertical="center" textRotation="90" wrapText="1"/>
    </xf>
    <xf numFmtId="0" fontId="6" fillId="0" borderId="19" xfId="3" applyFont="1" applyFill="1" applyBorder="1" applyAlignment="1">
      <alignment horizontal="center" vertical="center" textRotation="90" wrapText="1"/>
    </xf>
    <xf numFmtId="0" fontId="6" fillId="0" borderId="26" xfId="3" applyFont="1" applyFill="1" applyBorder="1" applyAlignment="1">
      <alignment horizontal="center" vertical="center" textRotation="90" wrapText="1"/>
    </xf>
    <xf numFmtId="0" fontId="4" fillId="0" borderId="33" xfId="3" applyFont="1" applyFill="1" applyBorder="1" applyAlignment="1">
      <alignment horizontal="center" vertical="center" textRotation="90" wrapText="1"/>
    </xf>
    <xf numFmtId="0" fontId="4" fillId="0" borderId="34" xfId="3" applyFont="1" applyFill="1" applyBorder="1" applyAlignment="1">
      <alignment horizontal="center" vertical="center" textRotation="90" wrapText="1"/>
    </xf>
    <xf numFmtId="0" fontId="4" fillId="0" borderId="35" xfId="3" applyFont="1" applyFill="1" applyBorder="1" applyAlignment="1">
      <alignment horizontal="center" vertical="center" textRotation="90" wrapText="1"/>
    </xf>
    <xf numFmtId="0" fontId="6" fillId="0" borderId="1" xfId="3" applyFont="1" applyFill="1" applyBorder="1" applyAlignment="1">
      <alignment horizontal="center" vertical="center" textRotation="90" wrapText="1"/>
    </xf>
    <xf numFmtId="0" fontId="4" fillId="0" borderId="6" xfId="1" applyFont="1" applyFill="1" applyBorder="1" applyAlignment="1">
      <alignment horizontal="center" vertical="center" textRotation="90" wrapText="1"/>
    </xf>
    <xf numFmtId="0" fontId="4" fillId="0" borderId="3" xfId="1" applyFont="1" applyFill="1" applyBorder="1" applyAlignment="1">
      <alignment horizontal="center" vertical="center" textRotation="90" wrapText="1"/>
    </xf>
    <xf numFmtId="0" fontId="4" fillId="0" borderId="6" xfId="3" applyFont="1" applyFill="1" applyBorder="1" applyAlignment="1">
      <alignment horizontal="center" vertical="center" textRotation="90" wrapText="1"/>
    </xf>
    <xf numFmtId="0" fontId="4" fillId="0" borderId="3" xfId="3" applyFont="1" applyFill="1" applyBorder="1" applyAlignment="1">
      <alignment horizontal="center" vertical="center" textRotation="90" wrapText="1"/>
    </xf>
    <xf numFmtId="0" fontId="4" fillId="0" borderId="4" xfId="3" applyFont="1" applyFill="1" applyBorder="1" applyAlignment="1">
      <alignment horizontal="center" vertical="center" textRotation="90" wrapText="1"/>
    </xf>
    <xf numFmtId="0" fontId="3" fillId="4" borderId="0" xfId="1" applyFont="1" applyFill="1" applyAlignment="1">
      <alignment horizontal="center"/>
    </xf>
    <xf numFmtId="0" fontId="22" fillId="4" borderId="0" xfId="1" applyFont="1" applyFill="1" applyAlignment="1">
      <alignment horizontal="center"/>
    </xf>
    <xf numFmtId="0" fontId="3" fillId="5" borderId="0" xfId="1" applyFont="1" applyFill="1" applyAlignment="1">
      <alignment horizontal="center"/>
    </xf>
    <xf numFmtId="0" fontId="22" fillId="5" borderId="0" xfId="1" applyFont="1" applyFill="1" applyAlignment="1">
      <alignment horizontal="center"/>
    </xf>
    <xf numFmtId="0" fontId="10" fillId="0" borderId="0" xfId="1" applyFont="1" applyFill="1" applyAlignment="1">
      <alignment horizontal="left"/>
    </xf>
    <xf numFmtId="0" fontId="3" fillId="2" borderId="0" xfId="1" applyFont="1" applyFill="1" applyAlignment="1">
      <alignment horizontal="center"/>
    </xf>
    <xf numFmtId="0" fontId="22" fillId="2" borderId="0" xfId="1" applyFont="1" applyFill="1" applyAlignment="1">
      <alignment horizontal="center"/>
    </xf>
    <xf numFmtId="0" fontId="3" fillId="3" borderId="0" xfId="1" applyFont="1" applyFill="1" applyAlignment="1">
      <alignment horizontal="center"/>
    </xf>
    <xf numFmtId="0" fontId="22" fillId="3" borderId="0" xfId="1" applyFont="1" applyFill="1" applyAlignment="1">
      <alignment horizontal="center"/>
    </xf>
    <xf numFmtId="0" fontId="4" fillId="0" borderId="22" xfId="1" applyFont="1" applyFill="1" applyBorder="1" applyAlignment="1">
      <alignment horizontal="center" vertical="center" textRotation="90" wrapText="1"/>
    </xf>
    <xf numFmtId="0" fontId="4" fillId="0" borderId="10" xfId="1" applyFont="1" applyFill="1" applyBorder="1" applyAlignment="1">
      <alignment horizontal="center" vertical="center" textRotation="90" wrapText="1"/>
    </xf>
    <xf numFmtId="0" fontId="4" fillId="0" borderId="23" xfId="1" applyFont="1" applyFill="1" applyBorder="1" applyAlignment="1">
      <alignment horizontal="center" vertical="center" textRotation="90" wrapText="1"/>
    </xf>
    <xf numFmtId="0" fontId="15" fillId="0" borderId="0" xfId="1" applyFont="1" applyFill="1" applyBorder="1"/>
    <xf numFmtId="0" fontId="0" fillId="0" borderId="0" xfId="0" applyBorder="1"/>
    <xf numFmtId="0" fontId="15" fillId="0" borderId="0" xfId="1" applyFont="1" applyFill="1" applyBorder="1" applyAlignment="1">
      <alignment vertical="top" wrapText="1"/>
    </xf>
    <xf numFmtId="0" fontId="15" fillId="0" borderId="0" xfId="8" applyFont="1" applyFill="1" applyBorder="1" applyAlignment="1">
      <alignment vertical="center"/>
    </xf>
    <xf numFmtId="0" fontId="15" fillId="0" borderId="0" xfId="1" applyFont="1" applyFill="1" applyBorder="1" applyAlignment="1">
      <alignment horizontal="left" vertical="center"/>
    </xf>
    <xf numFmtId="0" fontId="21" fillId="0" borderId="0" xfId="1" applyFont="1" applyFill="1" applyBorder="1" applyAlignment="1">
      <alignment vertical="top" wrapText="1"/>
    </xf>
    <xf numFmtId="0" fontId="18" fillId="0" borderId="0" xfId="2" applyFont="1" applyFill="1" applyBorder="1" applyAlignment="1">
      <alignment vertical="top" wrapText="1"/>
    </xf>
    <xf numFmtId="0" fontId="15" fillId="0" borderId="0" xfId="2" applyFont="1" applyFill="1" applyBorder="1" applyAlignment="1">
      <alignment vertical="top" wrapText="1"/>
    </xf>
  </cellXfs>
  <cellStyles count="10">
    <cellStyle name="          _x000a__x000a_386grabber=VGA.3GR_x000a__x000a_" xfId="1"/>
    <cellStyle name="          _x000a__x000a_386grabber=VGA.3GR_x000a__x000a_ 2" xfId="2"/>
    <cellStyle name="          _x000a__x000a_386grabber=VGA.3GR_x000a__x000a__Facturaciòn QF" xfId="3"/>
    <cellStyle name="          _x000d__x000a_386grabber=VGA.3GR_x000d__x000a_" xfId="4"/>
    <cellStyle name="Euro" xfId="5"/>
    <cellStyle name="Millares" xfId="6" builtinId="3"/>
    <cellStyle name="Normal" xfId="0" builtinId="0"/>
    <cellStyle name="Normal 2" xfId="7"/>
    <cellStyle name="Normal_Ficha de altas" xfId="8"/>
    <cellStyle name="Porcentual" xfId="9" builtinId="5"/>
  </cellStyles>
  <dxfs count="2">
    <dxf>
      <font>
        <condense val="0"/>
        <extend val="0"/>
        <color indexed="10"/>
      </font>
    </dxf>
    <dxf>
      <font>
        <b/>
        <i val="0"/>
        <condense val="0"/>
        <extend val="0"/>
        <color indexed="1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F275"/>
  <sheetViews>
    <sheetView zoomScale="70" zoomScaleNormal="70" workbookViewId="0">
      <pane xSplit="10" ySplit="10" topLeftCell="K150" activePane="bottomRight" state="frozen"/>
      <selection pane="topRight" activeCell="J1" sqref="J1"/>
      <selection pane="bottomLeft" activeCell="A6" sqref="A6"/>
      <selection pane="bottomRight" activeCell="C11" sqref="C11:E252"/>
    </sheetView>
  </sheetViews>
  <sheetFormatPr baseColWidth="10" defaultColWidth="11.42578125" defaultRowHeight="15"/>
  <cols>
    <col min="1" max="1" width="6.42578125" style="10" customWidth="1"/>
    <col min="2" max="2" width="7.5703125" style="106" customWidth="1"/>
    <col min="3" max="3" width="16.28515625" style="113" bestFit="1" customWidth="1"/>
    <col min="4" max="4" width="16.28515625" style="113" customWidth="1"/>
    <col min="5" max="5" width="45.42578125" style="10" customWidth="1"/>
    <col min="6" max="6" width="7.28515625" style="11" bestFit="1" customWidth="1"/>
    <col min="7" max="7" width="13.28515625" style="10" bestFit="1" customWidth="1"/>
    <col min="8" max="8" width="7.7109375" style="12" customWidth="1"/>
    <col min="9" max="9" width="15.28515625" style="14" bestFit="1" customWidth="1"/>
    <col min="10" max="10" width="2.5703125" style="10" customWidth="1"/>
    <col min="11" max="11" width="12.140625" style="10" bestFit="1" customWidth="1"/>
    <col min="12" max="12" width="2" style="10" customWidth="1"/>
    <col min="13" max="13" width="18.42578125" style="10" bestFit="1" customWidth="1"/>
    <col min="14" max="14" width="12.140625" style="10" bestFit="1" customWidth="1"/>
    <col min="15" max="15" width="8.42578125" style="10" customWidth="1"/>
    <col min="16" max="16" width="12.140625" style="10" bestFit="1" customWidth="1"/>
    <col min="17" max="17" width="2" style="10" customWidth="1"/>
    <col min="18" max="18" width="18.42578125" style="10" bestFit="1" customWidth="1"/>
    <col min="19" max="19" width="12.140625" style="10" bestFit="1" customWidth="1"/>
    <col min="20" max="20" width="12.140625" style="10" customWidth="1"/>
    <col min="21" max="21" width="12.140625" style="10" bestFit="1" customWidth="1"/>
    <col min="22" max="22" width="2" style="10" customWidth="1"/>
    <col min="23" max="23" width="18.42578125" style="10" bestFit="1" customWidth="1"/>
    <col min="24" max="24" width="12.140625" style="10" bestFit="1" customWidth="1"/>
    <col min="25" max="25" width="12.140625" style="10" customWidth="1"/>
    <col min="26" max="26" width="12.140625" style="10" bestFit="1" customWidth="1"/>
    <col min="27" max="27" width="2" style="10" customWidth="1"/>
    <col min="28" max="28" width="18.42578125" style="10" bestFit="1" customWidth="1"/>
    <col min="29" max="29" width="12.140625" style="10" bestFit="1" customWidth="1"/>
    <col min="30" max="30" width="12.140625" style="10" customWidth="1"/>
    <col min="31" max="31" width="14.5703125" style="133" bestFit="1" customWidth="1"/>
    <col min="32" max="32" width="20.5703125" style="30" bestFit="1" customWidth="1"/>
    <col min="33" max="16384" width="11.42578125" style="10"/>
  </cols>
  <sheetData>
    <row r="1" spans="1:32">
      <c r="E1" s="99" t="s">
        <v>378</v>
      </c>
    </row>
    <row r="2" spans="1:32">
      <c r="E2" s="10" t="s">
        <v>338</v>
      </c>
    </row>
    <row r="3" spans="1:32">
      <c r="E3" s="22" t="s">
        <v>379</v>
      </c>
      <c r="K3" s="207" t="s">
        <v>338</v>
      </c>
      <c r="L3" s="208"/>
      <c r="M3" s="208"/>
      <c r="N3" s="208"/>
      <c r="P3" s="209" t="s">
        <v>339</v>
      </c>
      <c r="Q3" s="210"/>
      <c r="R3" s="210"/>
      <c r="S3" s="210"/>
      <c r="U3" s="202" t="s">
        <v>340</v>
      </c>
      <c r="V3" s="203"/>
      <c r="W3" s="203"/>
      <c r="X3" s="203"/>
      <c r="Z3" s="204" t="s">
        <v>341</v>
      </c>
      <c r="AA3" s="205"/>
      <c r="AB3" s="205"/>
      <c r="AC3" s="205"/>
    </row>
    <row r="4" spans="1:32">
      <c r="E4" s="22" t="s">
        <v>380</v>
      </c>
    </row>
    <row r="5" spans="1:32">
      <c r="E5" s="22" t="s">
        <v>381</v>
      </c>
    </row>
    <row r="6" spans="1:32" ht="25.5" customHeight="1">
      <c r="A6" s="206" t="s">
        <v>93</v>
      </c>
      <c r="B6" s="206"/>
      <c r="C6" s="206"/>
      <c r="D6" s="206"/>
      <c r="E6" s="206"/>
      <c r="F6" s="11" t="s">
        <v>72</v>
      </c>
      <c r="G6" s="167" t="s">
        <v>74</v>
      </c>
      <c r="H6" s="167"/>
      <c r="I6" s="167"/>
    </row>
    <row r="7" spans="1:32">
      <c r="A7" s="13" t="s">
        <v>53</v>
      </c>
      <c r="B7" s="105"/>
      <c r="K7" s="15" t="s">
        <v>54</v>
      </c>
      <c r="M7" s="15" t="s">
        <v>112</v>
      </c>
      <c r="P7" s="15" t="s">
        <v>54</v>
      </c>
      <c r="R7" s="15" t="s">
        <v>112</v>
      </c>
      <c r="U7" s="15" t="s">
        <v>54</v>
      </c>
      <c r="W7" s="15" t="s">
        <v>112</v>
      </c>
      <c r="Z7" s="15" t="s">
        <v>54</v>
      </c>
      <c r="AB7" s="15" t="s">
        <v>112</v>
      </c>
    </row>
    <row r="8" spans="1:32">
      <c r="A8" s="13"/>
      <c r="B8" s="105"/>
      <c r="E8" s="99"/>
      <c r="H8" s="168" t="s">
        <v>56</v>
      </c>
      <c r="I8" s="168"/>
      <c r="K8" s="17" t="s">
        <v>113</v>
      </c>
      <c r="M8" s="17" t="s">
        <v>114</v>
      </c>
      <c r="P8" s="17" t="s">
        <v>113</v>
      </c>
      <c r="R8" s="17" t="s">
        <v>114</v>
      </c>
      <c r="U8" s="17" t="s">
        <v>113</v>
      </c>
      <c r="W8" s="17" t="s">
        <v>114</v>
      </c>
      <c r="Z8" s="17" t="s">
        <v>113</v>
      </c>
      <c r="AB8" s="17" t="s">
        <v>114</v>
      </c>
    </row>
    <row r="9" spans="1:32" ht="13.7" customHeight="1">
      <c r="H9" s="170">
        <f ca="1">TODAY()</f>
        <v>42521</v>
      </c>
      <c r="I9" s="168"/>
    </row>
    <row r="10" spans="1:32" s="22" customFormat="1" ht="87.75" customHeight="1" thickBot="1">
      <c r="A10" s="18" t="s">
        <v>69</v>
      </c>
      <c r="B10" s="18" t="s">
        <v>58</v>
      </c>
      <c r="C10" s="83" t="s">
        <v>6</v>
      </c>
      <c r="D10" s="83"/>
      <c r="E10" s="20" t="s">
        <v>0</v>
      </c>
      <c r="F10" s="19" t="s">
        <v>14</v>
      </c>
      <c r="G10" s="21" t="s">
        <v>59</v>
      </c>
      <c r="H10" s="19" t="s">
        <v>57</v>
      </c>
      <c r="I10" s="19" t="s">
        <v>55</v>
      </c>
      <c r="K10" s="137" t="s">
        <v>306</v>
      </c>
      <c r="M10" s="23" t="s">
        <v>111</v>
      </c>
      <c r="N10" s="24" t="s">
        <v>124</v>
      </c>
      <c r="P10" s="138" t="s">
        <v>335</v>
      </c>
      <c r="R10" s="23" t="s">
        <v>111</v>
      </c>
      <c r="S10" s="24" t="s">
        <v>124</v>
      </c>
      <c r="T10" s="131"/>
      <c r="U10" s="139" t="s">
        <v>336</v>
      </c>
      <c r="W10" s="23" t="s">
        <v>111</v>
      </c>
      <c r="X10" s="24" t="s">
        <v>124</v>
      </c>
      <c r="Y10" s="131"/>
      <c r="Z10" s="140" t="s">
        <v>337</v>
      </c>
      <c r="AB10" s="23" t="s">
        <v>111</v>
      </c>
      <c r="AC10" s="24" t="s">
        <v>124</v>
      </c>
      <c r="AD10" s="131"/>
      <c r="AE10" s="134"/>
      <c r="AF10" s="30"/>
    </row>
    <row r="11" spans="1:32" ht="16.5" customHeight="1">
      <c r="A11" s="160" t="s">
        <v>66</v>
      </c>
      <c r="B11" s="153" t="s">
        <v>22</v>
      </c>
      <c r="C11" s="114">
        <v>100001</v>
      </c>
      <c r="D11" s="141">
        <v>7798104307103</v>
      </c>
      <c r="E11" s="25" t="s">
        <v>100</v>
      </c>
      <c r="F11" s="26"/>
      <c r="G11" s="27">
        <v>24.6</v>
      </c>
      <c r="H11" s="28"/>
      <c r="I11" s="29">
        <f>G11*H11</f>
        <v>0</v>
      </c>
      <c r="J11" s="30"/>
      <c r="K11" s="5">
        <v>37.9</v>
      </c>
      <c r="L11" s="30"/>
      <c r="M11" s="31">
        <f t="shared" ref="M11:M37" si="0">1-(G11/K11)</f>
        <v>0.35092348284960417</v>
      </c>
      <c r="N11" s="5">
        <f>G11/0.65</f>
        <v>37.846153846153847</v>
      </c>
      <c r="P11" s="5">
        <v>34.07</v>
      </c>
      <c r="Q11" s="30"/>
      <c r="R11" s="31">
        <f t="shared" ref="R11:R37" si="1">1-(G11/P11)</f>
        <v>0.2779571470501907</v>
      </c>
      <c r="S11" s="5">
        <f>G11/0.722</f>
        <v>34.072022160664822</v>
      </c>
      <c r="T11" s="132"/>
      <c r="U11" s="5">
        <f>K11+2</f>
        <v>39.9</v>
      </c>
      <c r="V11" s="30"/>
      <c r="W11" s="31">
        <f t="shared" ref="W11:W37" si="2">1-(G11/U11)</f>
        <v>0.38345864661654128</v>
      </c>
      <c r="X11" s="5">
        <f>G11/0.65</f>
        <v>37.846153846153847</v>
      </c>
      <c r="Y11" s="132"/>
      <c r="Z11" s="5">
        <v>39.9</v>
      </c>
      <c r="AA11" s="30"/>
      <c r="AB11" s="31">
        <f>1-($G11/Z11)</f>
        <v>0.38345864661654128</v>
      </c>
      <c r="AC11" s="5">
        <f>($G11/0.65)*1.05</f>
        <v>39.738461538461543</v>
      </c>
      <c r="AD11" s="132"/>
      <c r="AE11" s="135"/>
      <c r="AF11" s="126">
        <f>S11*0.9</f>
        <v>30.664819944598342</v>
      </c>
    </row>
    <row r="12" spans="1:32" ht="16.5" customHeight="1">
      <c r="A12" s="161"/>
      <c r="B12" s="154"/>
      <c r="C12" s="115">
        <v>100002</v>
      </c>
      <c r="D12" s="141">
        <v>7798104307301</v>
      </c>
      <c r="E12" s="32" t="s">
        <v>101</v>
      </c>
      <c r="F12" s="33"/>
      <c r="G12" s="1">
        <f>$G$11</f>
        <v>24.6</v>
      </c>
      <c r="H12" s="34"/>
      <c r="I12" s="35">
        <f>G12*H12</f>
        <v>0</v>
      </c>
      <c r="J12" s="30"/>
      <c r="K12" s="5">
        <f>$K$11</f>
        <v>37.9</v>
      </c>
      <c r="L12" s="30"/>
      <c r="M12" s="31">
        <f t="shared" si="0"/>
        <v>0.35092348284960417</v>
      </c>
      <c r="N12" s="5">
        <f>N$11</f>
        <v>37.846153846153847</v>
      </c>
      <c r="P12" s="5">
        <v>34.07</v>
      </c>
      <c r="Q12" s="30"/>
      <c r="R12" s="31">
        <f t="shared" si="1"/>
        <v>0.2779571470501907</v>
      </c>
      <c r="S12" s="5">
        <f>S$11</f>
        <v>34.072022160664822</v>
      </c>
      <c r="T12" s="132"/>
      <c r="U12" s="5">
        <f>U11</f>
        <v>39.9</v>
      </c>
      <c r="V12" s="30"/>
      <c r="W12" s="31">
        <f t="shared" si="2"/>
        <v>0.38345864661654128</v>
      </c>
      <c r="X12" s="5">
        <f>X$11</f>
        <v>37.846153846153847</v>
      </c>
      <c r="Y12" s="132"/>
      <c r="Z12" s="5">
        <f>Z11</f>
        <v>39.9</v>
      </c>
      <c r="AA12" s="30"/>
      <c r="AB12" s="31">
        <f t="shared" ref="AB12:AB37" si="3">1-($G12/Z12)</f>
        <v>0.38345864661654128</v>
      </c>
      <c r="AC12" s="5">
        <f>AC$11</f>
        <v>39.738461538461543</v>
      </c>
      <c r="AD12" s="132"/>
      <c r="AE12" s="135"/>
    </row>
    <row r="13" spans="1:32" ht="16.5" customHeight="1">
      <c r="A13" s="161"/>
      <c r="B13" s="154"/>
      <c r="C13" s="115">
        <v>100003</v>
      </c>
      <c r="D13" s="141">
        <v>7798104307509</v>
      </c>
      <c r="E13" s="32" t="s">
        <v>102</v>
      </c>
      <c r="F13" s="33"/>
      <c r="G13" s="1">
        <f>G12</f>
        <v>24.6</v>
      </c>
      <c r="H13" s="34"/>
      <c r="I13" s="35">
        <f t="shared" ref="I13:I80" si="4">G13*H13</f>
        <v>0</v>
      </c>
      <c r="J13" s="30"/>
      <c r="K13" s="5">
        <f>K12</f>
        <v>37.9</v>
      </c>
      <c r="L13" s="30"/>
      <c r="M13" s="31">
        <f t="shared" si="0"/>
        <v>0.35092348284960417</v>
      </c>
      <c r="N13" s="5">
        <f>$G13/0.65</f>
        <v>37.846153846153847</v>
      </c>
      <c r="P13" s="5">
        <v>34.07</v>
      </c>
      <c r="Q13" s="30"/>
      <c r="R13" s="31">
        <f t="shared" si="1"/>
        <v>0.2779571470501907</v>
      </c>
      <c r="S13" s="5">
        <f>$G13/0.65</f>
        <v>37.846153846153847</v>
      </c>
      <c r="T13" s="132"/>
      <c r="U13" s="5">
        <f>U12</f>
        <v>39.9</v>
      </c>
      <c r="V13" s="30"/>
      <c r="W13" s="31">
        <f t="shared" si="2"/>
        <v>0.38345864661654128</v>
      </c>
      <c r="X13" s="5">
        <f>$G13/0.65</f>
        <v>37.846153846153847</v>
      </c>
      <c r="Y13" s="132"/>
      <c r="Z13" s="5">
        <f>Z12</f>
        <v>39.9</v>
      </c>
      <c r="AA13" s="30"/>
      <c r="AB13" s="31">
        <f t="shared" si="3"/>
        <v>0.38345864661654128</v>
      </c>
      <c r="AC13" s="5">
        <f>$G13/0.65</f>
        <v>37.846153846153847</v>
      </c>
      <c r="AD13" s="132"/>
      <c r="AE13" s="135"/>
    </row>
    <row r="14" spans="1:32" ht="16.5" customHeight="1">
      <c r="A14" s="161"/>
      <c r="B14" s="154"/>
      <c r="C14" s="115">
        <v>100004</v>
      </c>
      <c r="D14" s="141">
        <v>7798104307707</v>
      </c>
      <c r="E14" s="32" t="s">
        <v>103</v>
      </c>
      <c r="F14" s="33"/>
      <c r="G14" s="1">
        <f t="shared" ref="G14:G31" si="5">G13</f>
        <v>24.6</v>
      </c>
      <c r="H14" s="34"/>
      <c r="I14" s="35">
        <f t="shared" si="4"/>
        <v>0</v>
      </c>
      <c r="J14" s="30"/>
      <c r="K14" s="5">
        <f t="shared" ref="K14:K31" si="6">K13</f>
        <v>37.9</v>
      </c>
      <c r="L14" s="30"/>
      <c r="M14" s="31">
        <f t="shared" si="0"/>
        <v>0.35092348284960417</v>
      </c>
      <c r="N14" s="5">
        <f t="shared" ref="N14:N67" si="7">$G14/0.65</f>
        <v>37.846153846153847</v>
      </c>
      <c r="P14" s="5">
        <v>34.07</v>
      </c>
      <c r="Q14" s="30"/>
      <c r="R14" s="31">
        <f t="shared" si="1"/>
        <v>0.2779571470501907</v>
      </c>
      <c r="S14" s="5">
        <f t="shared" ref="S14:S67" si="8">$G14/0.65</f>
        <v>37.846153846153847</v>
      </c>
      <c r="T14" s="132"/>
      <c r="U14" s="5">
        <f t="shared" ref="U14:U31" si="9">U13</f>
        <v>39.9</v>
      </c>
      <c r="V14" s="30"/>
      <c r="W14" s="31">
        <f t="shared" si="2"/>
        <v>0.38345864661654128</v>
      </c>
      <c r="X14" s="5">
        <f t="shared" ref="X14:X62" si="10">$G14/0.65</f>
        <v>37.846153846153847</v>
      </c>
      <c r="Y14" s="132"/>
      <c r="Z14" s="5">
        <f t="shared" ref="Z14:Z31" si="11">Z13</f>
        <v>39.9</v>
      </c>
      <c r="AA14" s="30"/>
      <c r="AB14" s="31">
        <f t="shared" si="3"/>
        <v>0.38345864661654128</v>
      </c>
      <c r="AC14" s="5">
        <f t="shared" ref="AC14:AC38" si="12">$G14/0.65</f>
        <v>37.846153846153847</v>
      </c>
      <c r="AD14" s="132"/>
      <c r="AE14" s="135"/>
    </row>
    <row r="15" spans="1:32" ht="16.5" customHeight="1">
      <c r="A15" s="161"/>
      <c r="B15" s="154"/>
      <c r="C15" s="115">
        <v>100005</v>
      </c>
      <c r="D15" s="141">
        <v>7798104307905</v>
      </c>
      <c r="E15" s="32" t="s">
        <v>104</v>
      </c>
      <c r="F15" s="33"/>
      <c r="G15" s="1">
        <f t="shared" si="5"/>
        <v>24.6</v>
      </c>
      <c r="H15" s="34"/>
      <c r="I15" s="35">
        <f t="shared" si="4"/>
        <v>0</v>
      </c>
      <c r="J15" s="30"/>
      <c r="K15" s="5">
        <f t="shared" si="6"/>
        <v>37.9</v>
      </c>
      <c r="L15" s="30"/>
      <c r="M15" s="31">
        <f t="shared" si="0"/>
        <v>0.35092348284960417</v>
      </c>
      <c r="N15" s="5">
        <f t="shared" si="7"/>
        <v>37.846153846153847</v>
      </c>
      <c r="P15" s="5">
        <v>34.07</v>
      </c>
      <c r="Q15" s="30"/>
      <c r="R15" s="31">
        <f t="shared" si="1"/>
        <v>0.2779571470501907</v>
      </c>
      <c r="S15" s="5">
        <f t="shared" si="8"/>
        <v>37.846153846153847</v>
      </c>
      <c r="T15" s="132"/>
      <c r="U15" s="5">
        <f t="shared" si="9"/>
        <v>39.9</v>
      </c>
      <c r="V15" s="30"/>
      <c r="W15" s="31">
        <f t="shared" si="2"/>
        <v>0.38345864661654128</v>
      </c>
      <c r="X15" s="5">
        <f t="shared" si="10"/>
        <v>37.846153846153847</v>
      </c>
      <c r="Y15" s="132"/>
      <c r="Z15" s="5">
        <f t="shared" si="11"/>
        <v>39.9</v>
      </c>
      <c r="AA15" s="30"/>
      <c r="AB15" s="31">
        <f t="shared" si="3"/>
        <v>0.38345864661654128</v>
      </c>
      <c r="AC15" s="5">
        <f t="shared" si="12"/>
        <v>37.846153846153847</v>
      </c>
      <c r="AD15" s="132"/>
      <c r="AE15" s="135"/>
    </row>
    <row r="16" spans="1:32" ht="16.5" customHeight="1">
      <c r="A16" s="161"/>
      <c r="B16" s="154"/>
      <c r="C16" s="115">
        <v>100006</v>
      </c>
      <c r="D16" s="141">
        <v>7798104300012</v>
      </c>
      <c r="E16" s="32" t="s">
        <v>173</v>
      </c>
      <c r="F16" s="33"/>
      <c r="G16" s="1">
        <f t="shared" si="5"/>
        <v>24.6</v>
      </c>
      <c r="H16" s="34"/>
      <c r="I16" s="35">
        <f t="shared" si="4"/>
        <v>0</v>
      </c>
      <c r="J16" s="30"/>
      <c r="K16" s="5">
        <f t="shared" si="6"/>
        <v>37.9</v>
      </c>
      <c r="L16" s="30"/>
      <c r="M16" s="31">
        <f t="shared" si="0"/>
        <v>0.35092348284960417</v>
      </c>
      <c r="N16" s="5">
        <f t="shared" si="7"/>
        <v>37.846153846153847</v>
      </c>
      <c r="P16" s="5">
        <v>34.07</v>
      </c>
      <c r="Q16" s="30"/>
      <c r="R16" s="31">
        <f t="shared" si="1"/>
        <v>0.2779571470501907</v>
      </c>
      <c r="S16" s="5">
        <f t="shared" si="8"/>
        <v>37.846153846153847</v>
      </c>
      <c r="T16" s="132"/>
      <c r="U16" s="5">
        <f t="shared" si="9"/>
        <v>39.9</v>
      </c>
      <c r="V16" s="30"/>
      <c r="W16" s="31">
        <f t="shared" si="2"/>
        <v>0.38345864661654128</v>
      </c>
      <c r="X16" s="5">
        <f t="shared" si="10"/>
        <v>37.846153846153847</v>
      </c>
      <c r="Y16" s="132"/>
      <c r="Z16" s="5">
        <f t="shared" si="11"/>
        <v>39.9</v>
      </c>
      <c r="AA16" s="30"/>
      <c r="AB16" s="31">
        <f t="shared" si="3"/>
        <v>0.38345864661654128</v>
      </c>
      <c r="AC16" s="5">
        <f t="shared" si="12"/>
        <v>37.846153846153847</v>
      </c>
      <c r="AD16" s="132"/>
      <c r="AE16" s="135"/>
    </row>
    <row r="17" spans="1:32" ht="16.5" customHeight="1">
      <c r="A17" s="161"/>
      <c r="B17" s="154"/>
      <c r="C17" s="115">
        <v>100007</v>
      </c>
      <c r="D17" s="141">
        <v>7798104300029</v>
      </c>
      <c r="E17" s="32" t="s">
        <v>174</v>
      </c>
      <c r="F17" s="33"/>
      <c r="G17" s="1">
        <f t="shared" si="5"/>
        <v>24.6</v>
      </c>
      <c r="H17" s="34"/>
      <c r="I17" s="35">
        <f t="shared" si="4"/>
        <v>0</v>
      </c>
      <c r="J17" s="30"/>
      <c r="K17" s="5">
        <f t="shared" si="6"/>
        <v>37.9</v>
      </c>
      <c r="L17" s="30"/>
      <c r="M17" s="31">
        <f t="shared" si="0"/>
        <v>0.35092348284960417</v>
      </c>
      <c r="N17" s="5">
        <f t="shared" si="7"/>
        <v>37.846153846153847</v>
      </c>
      <c r="P17" s="5">
        <v>34.07</v>
      </c>
      <c r="Q17" s="30"/>
      <c r="R17" s="31">
        <f t="shared" si="1"/>
        <v>0.2779571470501907</v>
      </c>
      <c r="S17" s="5">
        <f t="shared" si="8"/>
        <v>37.846153846153847</v>
      </c>
      <c r="T17" s="132"/>
      <c r="U17" s="5">
        <f t="shared" si="9"/>
        <v>39.9</v>
      </c>
      <c r="V17" s="30"/>
      <c r="W17" s="31">
        <f t="shared" si="2"/>
        <v>0.38345864661654128</v>
      </c>
      <c r="X17" s="5">
        <f t="shared" si="10"/>
        <v>37.846153846153847</v>
      </c>
      <c r="Y17" s="132"/>
      <c r="Z17" s="5">
        <f t="shared" si="11"/>
        <v>39.9</v>
      </c>
      <c r="AA17" s="30"/>
      <c r="AB17" s="31">
        <f t="shared" si="3"/>
        <v>0.38345864661654128</v>
      </c>
      <c r="AC17" s="5">
        <f t="shared" si="12"/>
        <v>37.846153846153847</v>
      </c>
      <c r="AD17" s="132"/>
      <c r="AE17" s="135"/>
    </row>
    <row r="18" spans="1:32" ht="16.5" customHeight="1">
      <c r="A18" s="161"/>
      <c r="B18" s="154"/>
      <c r="C18" s="115">
        <v>100008</v>
      </c>
      <c r="D18" s="141">
        <v>7798104300036</v>
      </c>
      <c r="E18" s="32" t="s">
        <v>175</v>
      </c>
      <c r="F18" s="33"/>
      <c r="G18" s="1">
        <f t="shared" si="5"/>
        <v>24.6</v>
      </c>
      <c r="H18" s="34"/>
      <c r="I18" s="35">
        <f t="shared" si="4"/>
        <v>0</v>
      </c>
      <c r="J18" s="30"/>
      <c r="K18" s="5">
        <f t="shared" si="6"/>
        <v>37.9</v>
      </c>
      <c r="L18" s="30"/>
      <c r="M18" s="31">
        <f t="shared" si="0"/>
        <v>0.35092348284960417</v>
      </c>
      <c r="N18" s="5">
        <f t="shared" si="7"/>
        <v>37.846153846153847</v>
      </c>
      <c r="P18" s="5">
        <v>34.07</v>
      </c>
      <c r="Q18" s="30"/>
      <c r="R18" s="31">
        <f t="shared" si="1"/>
        <v>0.2779571470501907</v>
      </c>
      <c r="S18" s="5">
        <f t="shared" si="8"/>
        <v>37.846153846153847</v>
      </c>
      <c r="T18" s="132"/>
      <c r="U18" s="5">
        <f t="shared" si="9"/>
        <v>39.9</v>
      </c>
      <c r="V18" s="30"/>
      <c r="W18" s="31">
        <f t="shared" si="2"/>
        <v>0.38345864661654128</v>
      </c>
      <c r="X18" s="5">
        <f t="shared" si="10"/>
        <v>37.846153846153847</v>
      </c>
      <c r="Y18" s="132"/>
      <c r="Z18" s="5">
        <f t="shared" si="11"/>
        <v>39.9</v>
      </c>
      <c r="AA18" s="30"/>
      <c r="AB18" s="31">
        <f t="shared" si="3"/>
        <v>0.38345864661654128</v>
      </c>
      <c r="AC18" s="5">
        <f t="shared" si="12"/>
        <v>37.846153846153847</v>
      </c>
      <c r="AD18" s="132"/>
      <c r="AE18" s="135"/>
    </row>
    <row r="19" spans="1:32" ht="16.5" customHeight="1">
      <c r="A19" s="161"/>
      <c r="B19" s="154"/>
      <c r="C19" s="115">
        <v>100009</v>
      </c>
      <c r="D19" s="141">
        <v>7798104307943</v>
      </c>
      <c r="E19" s="32" t="s">
        <v>105</v>
      </c>
      <c r="F19" s="33"/>
      <c r="G19" s="1">
        <f t="shared" si="5"/>
        <v>24.6</v>
      </c>
      <c r="H19" s="34"/>
      <c r="I19" s="35">
        <f t="shared" si="4"/>
        <v>0</v>
      </c>
      <c r="J19" s="30"/>
      <c r="K19" s="5">
        <f t="shared" si="6"/>
        <v>37.9</v>
      </c>
      <c r="L19" s="30"/>
      <c r="M19" s="31">
        <f t="shared" si="0"/>
        <v>0.35092348284960417</v>
      </c>
      <c r="N19" s="5">
        <f t="shared" si="7"/>
        <v>37.846153846153847</v>
      </c>
      <c r="P19" s="5">
        <v>34.07</v>
      </c>
      <c r="Q19" s="30"/>
      <c r="R19" s="31">
        <f t="shared" si="1"/>
        <v>0.2779571470501907</v>
      </c>
      <c r="S19" s="5">
        <f t="shared" si="8"/>
        <v>37.846153846153847</v>
      </c>
      <c r="T19" s="132"/>
      <c r="U19" s="5">
        <f t="shared" si="9"/>
        <v>39.9</v>
      </c>
      <c r="V19" s="30"/>
      <c r="W19" s="31">
        <f t="shared" si="2"/>
        <v>0.38345864661654128</v>
      </c>
      <c r="X19" s="5">
        <f t="shared" si="10"/>
        <v>37.846153846153847</v>
      </c>
      <c r="Y19" s="132"/>
      <c r="Z19" s="5">
        <f t="shared" si="11"/>
        <v>39.9</v>
      </c>
      <c r="AA19" s="30"/>
      <c r="AB19" s="31">
        <f t="shared" si="3"/>
        <v>0.38345864661654128</v>
      </c>
      <c r="AC19" s="5">
        <f t="shared" si="12"/>
        <v>37.846153846153847</v>
      </c>
      <c r="AD19" s="132"/>
      <c r="AE19" s="135"/>
    </row>
    <row r="20" spans="1:32" ht="16.5" customHeight="1">
      <c r="A20" s="161"/>
      <c r="B20" s="154"/>
      <c r="C20" s="115">
        <v>100010</v>
      </c>
      <c r="D20" s="141">
        <v>7798104307950</v>
      </c>
      <c r="E20" s="32" t="s">
        <v>106</v>
      </c>
      <c r="F20" s="33"/>
      <c r="G20" s="1">
        <f t="shared" si="5"/>
        <v>24.6</v>
      </c>
      <c r="H20" s="34"/>
      <c r="I20" s="35">
        <f t="shared" si="4"/>
        <v>0</v>
      </c>
      <c r="J20" s="30"/>
      <c r="K20" s="5">
        <f t="shared" si="6"/>
        <v>37.9</v>
      </c>
      <c r="L20" s="30"/>
      <c r="M20" s="31">
        <f t="shared" si="0"/>
        <v>0.35092348284960417</v>
      </c>
      <c r="N20" s="5">
        <f t="shared" si="7"/>
        <v>37.846153846153847</v>
      </c>
      <c r="P20" s="5">
        <v>34.07</v>
      </c>
      <c r="Q20" s="30"/>
      <c r="R20" s="31">
        <f t="shared" si="1"/>
        <v>0.2779571470501907</v>
      </c>
      <c r="S20" s="5">
        <f t="shared" si="8"/>
        <v>37.846153846153847</v>
      </c>
      <c r="T20" s="132"/>
      <c r="U20" s="5">
        <f t="shared" si="9"/>
        <v>39.9</v>
      </c>
      <c r="V20" s="30"/>
      <c r="W20" s="31">
        <f t="shared" si="2"/>
        <v>0.38345864661654128</v>
      </c>
      <c r="X20" s="5">
        <f t="shared" si="10"/>
        <v>37.846153846153847</v>
      </c>
      <c r="Y20" s="132"/>
      <c r="Z20" s="5">
        <f t="shared" si="11"/>
        <v>39.9</v>
      </c>
      <c r="AA20" s="30"/>
      <c r="AB20" s="31">
        <f t="shared" si="3"/>
        <v>0.38345864661654128</v>
      </c>
      <c r="AC20" s="5">
        <f t="shared" si="12"/>
        <v>37.846153846153847</v>
      </c>
      <c r="AD20" s="132"/>
      <c r="AE20" s="135">
        <v>100000</v>
      </c>
      <c r="AF20" s="30" t="s">
        <v>310</v>
      </c>
    </row>
    <row r="21" spans="1:32" ht="16.5" customHeight="1">
      <c r="A21" s="161"/>
      <c r="B21" s="154"/>
      <c r="C21" s="115">
        <v>100011</v>
      </c>
      <c r="D21" s="115"/>
      <c r="E21" s="32" t="s">
        <v>304</v>
      </c>
      <c r="F21" s="33"/>
      <c r="G21" s="1">
        <f t="shared" si="5"/>
        <v>24.6</v>
      </c>
      <c r="H21" s="34"/>
      <c r="I21" s="35">
        <f>G21*H21</f>
        <v>0</v>
      </c>
      <c r="J21" s="30"/>
      <c r="K21" s="5">
        <f t="shared" si="6"/>
        <v>37.9</v>
      </c>
      <c r="L21" s="30"/>
      <c r="M21" s="31">
        <f t="shared" si="0"/>
        <v>0.35092348284960417</v>
      </c>
      <c r="N21" s="5">
        <f t="shared" si="7"/>
        <v>37.846153846153847</v>
      </c>
      <c r="P21" s="5">
        <v>34.07</v>
      </c>
      <c r="Q21" s="30"/>
      <c r="R21" s="31">
        <f t="shared" si="1"/>
        <v>0.2779571470501907</v>
      </c>
      <c r="S21" s="5">
        <f t="shared" si="8"/>
        <v>37.846153846153847</v>
      </c>
      <c r="T21" s="132"/>
      <c r="U21" s="5">
        <f t="shared" si="9"/>
        <v>39.9</v>
      </c>
      <c r="V21" s="30"/>
      <c r="W21" s="31">
        <f t="shared" si="2"/>
        <v>0.38345864661654128</v>
      </c>
      <c r="X21" s="5">
        <f t="shared" si="10"/>
        <v>37.846153846153847</v>
      </c>
      <c r="Y21" s="132"/>
      <c r="Z21" s="5">
        <f t="shared" si="11"/>
        <v>39.9</v>
      </c>
      <c r="AA21" s="30"/>
      <c r="AB21" s="31">
        <f t="shared" si="3"/>
        <v>0.38345864661654128</v>
      </c>
      <c r="AC21" s="5">
        <f t="shared" si="12"/>
        <v>37.846153846153847</v>
      </c>
      <c r="AD21" s="132"/>
      <c r="AE21" s="135">
        <v>101000</v>
      </c>
      <c r="AF21" s="30" t="s">
        <v>311</v>
      </c>
    </row>
    <row r="22" spans="1:32" ht="16.5" customHeight="1">
      <c r="A22" s="161"/>
      <c r="B22" s="154"/>
      <c r="C22" s="115">
        <v>100012</v>
      </c>
      <c r="D22" s="141">
        <v>7798104307967</v>
      </c>
      <c r="E22" s="32" t="s">
        <v>18</v>
      </c>
      <c r="F22" s="33"/>
      <c r="G22" s="1">
        <f t="shared" si="5"/>
        <v>24.6</v>
      </c>
      <c r="H22" s="34"/>
      <c r="I22" s="35">
        <f t="shared" si="4"/>
        <v>0</v>
      </c>
      <c r="J22" s="30"/>
      <c r="K22" s="5">
        <f t="shared" si="6"/>
        <v>37.9</v>
      </c>
      <c r="L22" s="30"/>
      <c r="M22" s="31">
        <f t="shared" si="0"/>
        <v>0.35092348284960417</v>
      </c>
      <c r="N22" s="5">
        <f t="shared" si="7"/>
        <v>37.846153846153847</v>
      </c>
      <c r="P22" s="5">
        <v>34.07</v>
      </c>
      <c r="Q22" s="30"/>
      <c r="R22" s="31">
        <f t="shared" si="1"/>
        <v>0.2779571470501907</v>
      </c>
      <c r="S22" s="5">
        <f t="shared" si="8"/>
        <v>37.846153846153847</v>
      </c>
      <c r="T22" s="132"/>
      <c r="U22" s="5">
        <f t="shared" si="9"/>
        <v>39.9</v>
      </c>
      <c r="V22" s="30"/>
      <c r="W22" s="31">
        <f t="shared" si="2"/>
        <v>0.38345864661654128</v>
      </c>
      <c r="X22" s="5">
        <f t="shared" si="10"/>
        <v>37.846153846153847</v>
      </c>
      <c r="Y22" s="132"/>
      <c r="Z22" s="5">
        <f t="shared" si="11"/>
        <v>39.9</v>
      </c>
      <c r="AA22" s="30"/>
      <c r="AB22" s="31">
        <f t="shared" si="3"/>
        <v>0.38345864661654128</v>
      </c>
      <c r="AC22" s="5">
        <f t="shared" si="12"/>
        <v>37.846153846153847</v>
      </c>
      <c r="AD22" s="132"/>
      <c r="AE22" s="135">
        <v>102000</v>
      </c>
      <c r="AF22" s="30" t="s">
        <v>312</v>
      </c>
    </row>
    <row r="23" spans="1:32" ht="16.5" customHeight="1" thickBot="1">
      <c r="A23" s="161"/>
      <c r="B23" s="154"/>
      <c r="C23" s="115">
        <v>100013</v>
      </c>
      <c r="D23" s="116" t="s">
        <v>342</v>
      </c>
      <c r="E23" s="36" t="s">
        <v>85</v>
      </c>
      <c r="F23" s="33"/>
      <c r="G23" s="1">
        <f t="shared" si="5"/>
        <v>24.6</v>
      </c>
      <c r="H23" s="34"/>
      <c r="I23" s="35">
        <f t="shared" si="4"/>
        <v>0</v>
      </c>
      <c r="J23" s="30"/>
      <c r="K23" s="5">
        <f t="shared" si="6"/>
        <v>37.9</v>
      </c>
      <c r="L23" s="30"/>
      <c r="M23" s="31">
        <f t="shared" si="0"/>
        <v>0.35092348284960417</v>
      </c>
      <c r="N23" s="5">
        <f t="shared" si="7"/>
        <v>37.846153846153847</v>
      </c>
      <c r="P23" s="5">
        <v>34.07</v>
      </c>
      <c r="Q23" s="30"/>
      <c r="R23" s="31">
        <f t="shared" si="1"/>
        <v>0.2779571470501907</v>
      </c>
      <c r="S23" s="5">
        <f t="shared" si="8"/>
        <v>37.846153846153847</v>
      </c>
      <c r="T23" s="132"/>
      <c r="U23" s="5">
        <f t="shared" si="9"/>
        <v>39.9</v>
      </c>
      <c r="V23" s="30"/>
      <c r="W23" s="31">
        <f t="shared" si="2"/>
        <v>0.38345864661654128</v>
      </c>
      <c r="X23" s="5">
        <f t="shared" si="10"/>
        <v>37.846153846153847</v>
      </c>
      <c r="Y23" s="132"/>
      <c r="Z23" s="5">
        <f t="shared" si="11"/>
        <v>39.9</v>
      </c>
      <c r="AA23" s="30"/>
      <c r="AB23" s="31">
        <f t="shared" si="3"/>
        <v>0.38345864661654128</v>
      </c>
      <c r="AC23" s="5">
        <f t="shared" si="12"/>
        <v>37.846153846153847</v>
      </c>
      <c r="AD23" s="132"/>
      <c r="AE23" s="135">
        <v>103000</v>
      </c>
      <c r="AF23" s="30" t="s">
        <v>314</v>
      </c>
    </row>
    <row r="24" spans="1:32" ht="16.5" customHeight="1">
      <c r="A24" s="160" t="s">
        <v>64</v>
      </c>
      <c r="B24" s="153" t="s">
        <v>17</v>
      </c>
      <c r="C24" s="114">
        <v>101001</v>
      </c>
      <c r="D24" s="141">
        <v>7798138970021</v>
      </c>
      <c r="E24" s="2" t="s">
        <v>117</v>
      </c>
      <c r="F24" s="26"/>
      <c r="G24" s="1">
        <f t="shared" si="5"/>
        <v>24.6</v>
      </c>
      <c r="H24" s="28"/>
      <c r="I24" s="35">
        <f t="shared" si="4"/>
        <v>0</v>
      </c>
      <c r="J24" s="30"/>
      <c r="K24" s="5">
        <f t="shared" si="6"/>
        <v>37.9</v>
      </c>
      <c r="L24" s="30"/>
      <c r="M24" s="31">
        <f t="shared" si="0"/>
        <v>0.35092348284960417</v>
      </c>
      <c r="N24" s="5">
        <f t="shared" si="7"/>
        <v>37.846153846153847</v>
      </c>
      <c r="P24" s="5">
        <v>34.07</v>
      </c>
      <c r="Q24" s="30"/>
      <c r="R24" s="31">
        <f t="shared" si="1"/>
        <v>0.2779571470501907</v>
      </c>
      <c r="S24" s="5">
        <f t="shared" si="8"/>
        <v>37.846153846153847</v>
      </c>
      <c r="T24" s="132"/>
      <c r="U24" s="5">
        <f t="shared" si="9"/>
        <v>39.9</v>
      </c>
      <c r="V24" s="30"/>
      <c r="W24" s="31">
        <f t="shared" si="2"/>
        <v>0.38345864661654128</v>
      </c>
      <c r="X24" s="5">
        <f t="shared" si="10"/>
        <v>37.846153846153847</v>
      </c>
      <c r="Y24" s="132"/>
      <c r="Z24" s="5">
        <f t="shared" si="11"/>
        <v>39.9</v>
      </c>
      <c r="AA24" s="30"/>
      <c r="AB24" s="31">
        <f t="shared" si="3"/>
        <v>0.38345864661654128</v>
      </c>
      <c r="AC24" s="5">
        <f t="shared" si="12"/>
        <v>37.846153846153847</v>
      </c>
      <c r="AD24" s="132"/>
      <c r="AE24" s="135">
        <v>104000</v>
      </c>
      <c r="AF24" s="30" t="s">
        <v>315</v>
      </c>
    </row>
    <row r="25" spans="1:32" ht="16.5" customHeight="1" thickBot="1">
      <c r="A25" s="161"/>
      <c r="B25" s="154"/>
      <c r="C25" s="115">
        <v>101002</v>
      </c>
      <c r="D25" s="141">
        <v>7798138970052</v>
      </c>
      <c r="E25" s="4" t="s">
        <v>118</v>
      </c>
      <c r="F25" s="33"/>
      <c r="G25" s="1">
        <f t="shared" si="5"/>
        <v>24.6</v>
      </c>
      <c r="H25" s="34"/>
      <c r="I25" s="35">
        <f t="shared" si="4"/>
        <v>0</v>
      </c>
      <c r="J25" s="30"/>
      <c r="K25" s="5">
        <f t="shared" si="6"/>
        <v>37.9</v>
      </c>
      <c r="L25" s="30"/>
      <c r="M25" s="31">
        <f t="shared" si="0"/>
        <v>0.35092348284960417</v>
      </c>
      <c r="N25" s="5">
        <f t="shared" si="7"/>
        <v>37.846153846153847</v>
      </c>
      <c r="P25" s="5">
        <v>34.07</v>
      </c>
      <c r="Q25" s="30"/>
      <c r="R25" s="31">
        <f t="shared" si="1"/>
        <v>0.2779571470501907</v>
      </c>
      <c r="S25" s="5">
        <f t="shared" si="8"/>
        <v>37.846153846153847</v>
      </c>
      <c r="T25" s="132"/>
      <c r="U25" s="5">
        <f t="shared" si="9"/>
        <v>39.9</v>
      </c>
      <c r="V25" s="30"/>
      <c r="W25" s="31">
        <f t="shared" si="2"/>
        <v>0.38345864661654128</v>
      </c>
      <c r="X25" s="5">
        <f t="shared" si="10"/>
        <v>37.846153846153847</v>
      </c>
      <c r="Y25" s="132"/>
      <c r="Z25" s="5">
        <f t="shared" si="11"/>
        <v>39.9</v>
      </c>
      <c r="AA25" s="30"/>
      <c r="AB25" s="31">
        <f t="shared" si="3"/>
        <v>0.38345864661654128</v>
      </c>
      <c r="AC25" s="5">
        <f t="shared" si="12"/>
        <v>37.846153846153847</v>
      </c>
      <c r="AD25" s="132"/>
      <c r="AE25" s="135">
        <v>105000</v>
      </c>
      <c r="AF25" s="30" t="s">
        <v>316</v>
      </c>
    </row>
    <row r="26" spans="1:32" ht="16.5" customHeight="1">
      <c r="A26" s="161"/>
      <c r="B26" s="154"/>
      <c r="C26" s="114">
        <v>101003</v>
      </c>
      <c r="D26" s="141">
        <v>7798138970076</v>
      </c>
      <c r="E26" s="4" t="s">
        <v>119</v>
      </c>
      <c r="F26" s="33"/>
      <c r="G26" s="1">
        <f t="shared" si="5"/>
        <v>24.6</v>
      </c>
      <c r="H26" s="34"/>
      <c r="I26" s="35">
        <f t="shared" si="4"/>
        <v>0</v>
      </c>
      <c r="J26" s="30"/>
      <c r="K26" s="5">
        <f t="shared" si="6"/>
        <v>37.9</v>
      </c>
      <c r="L26" s="30"/>
      <c r="M26" s="31">
        <f t="shared" si="0"/>
        <v>0.35092348284960417</v>
      </c>
      <c r="N26" s="5">
        <f t="shared" si="7"/>
        <v>37.846153846153847</v>
      </c>
      <c r="P26" s="5">
        <v>34.07</v>
      </c>
      <c r="Q26" s="30"/>
      <c r="R26" s="31">
        <f t="shared" si="1"/>
        <v>0.2779571470501907</v>
      </c>
      <c r="S26" s="5">
        <f t="shared" si="8"/>
        <v>37.846153846153847</v>
      </c>
      <c r="T26" s="132"/>
      <c r="U26" s="5">
        <f t="shared" si="9"/>
        <v>39.9</v>
      </c>
      <c r="V26" s="30"/>
      <c r="W26" s="31">
        <f t="shared" si="2"/>
        <v>0.38345864661654128</v>
      </c>
      <c r="X26" s="5">
        <f t="shared" si="10"/>
        <v>37.846153846153847</v>
      </c>
      <c r="Y26" s="132"/>
      <c r="Z26" s="5">
        <f t="shared" si="11"/>
        <v>39.9</v>
      </c>
      <c r="AA26" s="30"/>
      <c r="AB26" s="31">
        <f t="shared" si="3"/>
        <v>0.38345864661654128</v>
      </c>
      <c r="AC26" s="5">
        <f t="shared" si="12"/>
        <v>37.846153846153847</v>
      </c>
      <c r="AD26" s="132"/>
      <c r="AE26" s="135">
        <v>106000</v>
      </c>
      <c r="AF26" s="30" t="s">
        <v>317</v>
      </c>
    </row>
    <row r="27" spans="1:32" ht="16.5" customHeight="1" thickBot="1">
      <c r="A27" s="161"/>
      <c r="B27" s="154"/>
      <c r="C27" s="115">
        <v>101004</v>
      </c>
      <c r="D27" s="141">
        <v>7798138970014</v>
      </c>
      <c r="E27" s="4" t="s">
        <v>343</v>
      </c>
      <c r="F27" s="33"/>
      <c r="G27" s="1">
        <f t="shared" si="5"/>
        <v>24.6</v>
      </c>
      <c r="H27" s="34"/>
      <c r="I27" s="35">
        <f t="shared" si="4"/>
        <v>0</v>
      </c>
      <c r="J27" s="30"/>
      <c r="K27" s="5">
        <f t="shared" si="6"/>
        <v>37.9</v>
      </c>
      <c r="L27" s="30"/>
      <c r="M27" s="31">
        <f t="shared" si="0"/>
        <v>0.35092348284960417</v>
      </c>
      <c r="N27" s="5">
        <f t="shared" si="7"/>
        <v>37.846153846153847</v>
      </c>
      <c r="P27" s="5">
        <v>34.07</v>
      </c>
      <c r="Q27" s="30"/>
      <c r="R27" s="31">
        <f t="shared" si="1"/>
        <v>0.2779571470501907</v>
      </c>
      <c r="S27" s="5">
        <f t="shared" si="8"/>
        <v>37.846153846153847</v>
      </c>
      <c r="T27" s="132"/>
      <c r="U27" s="5">
        <f t="shared" si="9"/>
        <v>39.9</v>
      </c>
      <c r="V27" s="30"/>
      <c r="W27" s="31">
        <f t="shared" si="2"/>
        <v>0.38345864661654128</v>
      </c>
      <c r="X27" s="5">
        <f t="shared" si="10"/>
        <v>37.846153846153847</v>
      </c>
      <c r="Y27" s="132"/>
      <c r="Z27" s="5">
        <f t="shared" si="11"/>
        <v>39.9</v>
      </c>
      <c r="AA27" s="30"/>
      <c r="AB27" s="31">
        <f t="shared" si="3"/>
        <v>0.38345864661654128</v>
      </c>
      <c r="AC27" s="5">
        <f t="shared" si="12"/>
        <v>37.846153846153847</v>
      </c>
      <c r="AD27" s="132"/>
      <c r="AE27" s="135">
        <v>107000</v>
      </c>
      <c r="AF27" s="30" t="s">
        <v>318</v>
      </c>
    </row>
    <row r="28" spans="1:32" ht="16.5" customHeight="1">
      <c r="A28" s="161"/>
      <c r="B28" s="154"/>
      <c r="C28" s="114">
        <v>101005</v>
      </c>
      <c r="D28" s="141">
        <v>7798138970069</v>
      </c>
      <c r="E28" s="4" t="s">
        <v>120</v>
      </c>
      <c r="F28" s="33"/>
      <c r="G28" s="1">
        <f t="shared" si="5"/>
        <v>24.6</v>
      </c>
      <c r="H28" s="34"/>
      <c r="I28" s="35">
        <f t="shared" si="4"/>
        <v>0</v>
      </c>
      <c r="J28" s="30"/>
      <c r="K28" s="5">
        <f t="shared" si="6"/>
        <v>37.9</v>
      </c>
      <c r="L28" s="30"/>
      <c r="M28" s="31">
        <f t="shared" si="0"/>
        <v>0.35092348284960417</v>
      </c>
      <c r="N28" s="5">
        <f t="shared" si="7"/>
        <v>37.846153846153847</v>
      </c>
      <c r="P28" s="5">
        <v>34.07</v>
      </c>
      <c r="Q28" s="30"/>
      <c r="R28" s="31">
        <f t="shared" si="1"/>
        <v>0.2779571470501907</v>
      </c>
      <c r="S28" s="5">
        <f t="shared" si="8"/>
        <v>37.846153846153847</v>
      </c>
      <c r="T28" s="132"/>
      <c r="U28" s="5">
        <f t="shared" si="9"/>
        <v>39.9</v>
      </c>
      <c r="V28" s="30"/>
      <c r="W28" s="31">
        <f t="shared" si="2"/>
        <v>0.38345864661654128</v>
      </c>
      <c r="X28" s="5">
        <f t="shared" si="10"/>
        <v>37.846153846153847</v>
      </c>
      <c r="Y28" s="132"/>
      <c r="Z28" s="5">
        <f t="shared" si="11"/>
        <v>39.9</v>
      </c>
      <c r="AA28" s="30"/>
      <c r="AB28" s="31">
        <f t="shared" si="3"/>
        <v>0.38345864661654128</v>
      </c>
      <c r="AC28" s="5">
        <f t="shared" si="12"/>
        <v>37.846153846153847</v>
      </c>
      <c r="AD28" s="132"/>
      <c r="AE28" s="135">
        <v>108000</v>
      </c>
      <c r="AF28" s="30" t="s">
        <v>319</v>
      </c>
    </row>
    <row r="29" spans="1:32" ht="16.5" customHeight="1" thickBot="1">
      <c r="A29" s="161"/>
      <c r="B29" s="154"/>
      <c r="C29" s="115">
        <v>101006</v>
      </c>
      <c r="D29" s="141"/>
      <c r="E29" s="4" t="s">
        <v>305</v>
      </c>
      <c r="F29" s="33"/>
      <c r="G29" s="1">
        <f t="shared" si="5"/>
        <v>24.6</v>
      </c>
      <c r="H29" s="34"/>
      <c r="I29" s="35">
        <f>G29*H29</f>
        <v>0</v>
      </c>
      <c r="J29" s="30"/>
      <c r="K29" s="5">
        <f t="shared" si="6"/>
        <v>37.9</v>
      </c>
      <c r="L29" s="30"/>
      <c r="M29" s="31">
        <f t="shared" si="0"/>
        <v>0.35092348284960417</v>
      </c>
      <c r="N29" s="5">
        <f t="shared" si="7"/>
        <v>37.846153846153847</v>
      </c>
      <c r="P29" s="5">
        <v>34.07</v>
      </c>
      <c r="Q29" s="30"/>
      <c r="R29" s="31">
        <f t="shared" si="1"/>
        <v>0.2779571470501907</v>
      </c>
      <c r="S29" s="5">
        <f t="shared" si="8"/>
        <v>37.846153846153847</v>
      </c>
      <c r="T29" s="132"/>
      <c r="U29" s="5">
        <f t="shared" si="9"/>
        <v>39.9</v>
      </c>
      <c r="V29" s="30"/>
      <c r="W29" s="31">
        <f t="shared" si="2"/>
        <v>0.38345864661654128</v>
      </c>
      <c r="X29" s="5">
        <f t="shared" si="10"/>
        <v>37.846153846153847</v>
      </c>
      <c r="Y29" s="132"/>
      <c r="Z29" s="5">
        <f t="shared" si="11"/>
        <v>39.9</v>
      </c>
      <c r="AA29" s="30"/>
      <c r="AB29" s="31">
        <f t="shared" si="3"/>
        <v>0.38345864661654128</v>
      </c>
      <c r="AC29" s="5">
        <f t="shared" si="12"/>
        <v>37.846153846153847</v>
      </c>
      <c r="AD29" s="132"/>
      <c r="AE29" s="135">
        <v>109000</v>
      </c>
      <c r="AF29" s="30" t="s">
        <v>320</v>
      </c>
    </row>
    <row r="30" spans="1:32" ht="16.5" customHeight="1">
      <c r="A30" s="161"/>
      <c r="B30" s="154"/>
      <c r="C30" s="114">
        <v>101007</v>
      </c>
      <c r="D30" s="141">
        <v>7798138970038</v>
      </c>
      <c r="E30" s="4" t="s">
        <v>344</v>
      </c>
      <c r="F30" s="33"/>
      <c r="G30" s="1">
        <f t="shared" si="5"/>
        <v>24.6</v>
      </c>
      <c r="H30" s="34"/>
      <c r="I30" s="35">
        <f t="shared" si="4"/>
        <v>0</v>
      </c>
      <c r="J30" s="30"/>
      <c r="K30" s="5">
        <f t="shared" si="6"/>
        <v>37.9</v>
      </c>
      <c r="L30" s="30"/>
      <c r="M30" s="31">
        <f t="shared" si="0"/>
        <v>0.35092348284960417</v>
      </c>
      <c r="N30" s="5">
        <f t="shared" si="7"/>
        <v>37.846153846153847</v>
      </c>
      <c r="P30" s="5">
        <v>34.07</v>
      </c>
      <c r="Q30" s="30"/>
      <c r="R30" s="31">
        <f t="shared" si="1"/>
        <v>0.2779571470501907</v>
      </c>
      <c r="S30" s="5">
        <f t="shared" si="8"/>
        <v>37.846153846153847</v>
      </c>
      <c r="T30" s="132"/>
      <c r="U30" s="5">
        <f t="shared" si="9"/>
        <v>39.9</v>
      </c>
      <c r="V30" s="30"/>
      <c r="W30" s="31">
        <f t="shared" si="2"/>
        <v>0.38345864661654128</v>
      </c>
      <c r="X30" s="5">
        <f t="shared" si="10"/>
        <v>37.846153846153847</v>
      </c>
      <c r="Y30" s="132"/>
      <c r="Z30" s="5">
        <f t="shared" si="11"/>
        <v>39.9</v>
      </c>
      <c r="AA30" s="30"/>
      <c r="AB30" s="31">
        <f t="shared" si="3"/>
        <v>0.38345864661654128</v>
      </c>
      <c r="AC30" s="5">
        <f t="shared" si="12"/>
        <v>37.846153846153847</v>
      </c>
      <c r="AD30" s="132"/>
      <c r="AE30" s="135">
        <v>110000</v>
      </c>
      <c r="AF30" s="30" t="s">
        <v>321</v>
      </c>
    </row>
    <row r="31" spans="1:32" ht="16.5" customHeight="1">
      <c r="A31" s="161"/>
      <c r="B31" s="154"/>
      <c r="C31" s="115">
        <v>101008</v>
      </c>
      <c r="D31" s="116" t="s">
        <v>342</v>
      </c>
      <c r="E31" s="3" t="s">
        <v>84</v>
      </c>
      <c r="F31" s="37"/>
      <c r="G31" s="1">
        <f t="shared" si="5"/>
        <v>24.6</v>
      </c>
      <c r="H31" s="38"/>
      <c r="I31" s="35">
        <f t="shared" si="4"/>
        <v>0</v>
      </c>
      <c r="J31" s="30"/>
      <c r="K31" s="5">
        <f t="shared" si="6"/>
        <v>37.9</v>
      </c>
      <c r="L31" s="30"/>
      <c r="M31" s="31">
        <f t="shared" si="0"/>
        <v>0.35092348284960417</v>
      </c>
      <c r="N31" s="5">
        <f t="shared" si="7"/>
        <v>37.846153846153847</v>
      </c>
      <c r="P31" s="5">
        <v>34.07</v>
      </c>
      <c r="Q31" s="30"/>
      <c r="R31" s="31">
        <f t="shared" si="1"/>
        <v>0.2779571470501907</v>
      </c>
      <c r="S31" s="5">
        <f t="shared" si="8"/>
        <v>37.846153846153847</v>
      </c>
      <c r="T31" s="132"/>
      <c r="U31" s="5">
        <f t="shared" si="9"/>
        <v>39.9</v>
      </c>
      <c r="V31" s="30"/>
      <c r="W31" s="31">
        <f t="shared" si="2"/>
        <v>0.38345864661654128</v>
      </c>
      <c r="X31" s="5">
        <f t="shared" si="10"/>
        <v>37.846153846153847</v>
      </c>
      <c r="Y31" s="132"/>
      <c r="Z31" s="5">
        <f t="shared" si="11"/>
        <v>39.9</v>
      </c>
      <c r="AA31" s="30"/>
      <c r="AB31" s="31">
        <f t="shared" si="3"/>
        <v>0.38345864661654128</v>
      </c>
      <c r="AC31" s="5">
        <f t="shared" si="12"/>
        <v>37.846153846153847</v>
      </c>
      <c r="AD31" s="132"/>
      <c r="AE31" s="135">
        <v>111000</v>
      </c>
      <c r="AF31" s="30" t="s">
        <v>322</v>
      </c>
    </row>
    <row r="32" spans="1:32" ht="16.5" customHeight="1">
      <c r="A32" s="161" t="s">
        <v>176</v>
      </c>
      <c r="B32" s="154" t="s">
        <v>177</v>
      </c>
      <c r="C32" s="115">
        <v>102001</v>
      </c>
      <c r="D32" s="116" t="s">
        <v>342</v>
      </c>
      <c r="E32" s="4" t="s">
        <v>178</v>
      </c>
      <c r="F32" s="33"/>
      <c r="G32" s="1">
        <v>82.64</v>
      </c>
      <c r="H32" s="34"/>
      <c r="I32" s="35">
        <f t="shared" si="4"/>
        <v>0</v>
      </c>
      <c r="J32" s="30"/>
      <c r="K32" s="5">
        <v>127</v>
      </c>
      <c r="L32" s="30"/>
      <c r="M32" s="31">
        <f t="shared" si="0"/>
        <v>0.34929133858267714</v>
      </c>
      <c r="N32" s="5">
        <f t="shared" si="7"/>
        <v>127.13846153846154</v>
      </c>
      <c r="P32" s="5">
        <v>99</v>
      </c>
      <c r="Q32" s="30"/>
      <c r="R32" s="31">
        <f t="shared" si="1"/>
        <v>0.16525252525252521</v>
      </c>
      <c r="S32" s="5">
        <f t="shared" si="8"/>
        <v>127.13846153846154</v>
      </c>
      <c r="T32" s="132"/>
      <c r="U32" s="5">
        <v>99</v>
      </c>
      <c r="V32" s="30"/>
      <c r="W32" s="31">
        <f t="shared" si="2"/>
        <v>0.16525252525252521</v>
      </c>
      <c r="X32" s="5">
        <f t="shared" si="10"/>
        <v>127.13846153846154</v>
      </c>
      <c r="Y32" s="132"/>
      <c r="Z32" s="5">
        <v>127</v>
      </c>
      <c r="AA32" s="30"/>
      <c r="AB32" s="31">
        <f t="shared" si="3"/>
        <v>0.34929133858267714</v>
      </c>
      <c r="AC32" s="5">
        <f t="shared" si="12"/>
        <v>127.13846153846154</v>
      </c>
      <c r="AD32" s="132"/>
      <c r="AE32" s="135">
        <v>112000</v>
      </c>
      <c r="AF32" s="30" t="s">
        <v>323</v>
      </c>
    </row>
    <row r="33" spans="1:32" ht="16.5" customHeight="1">
      <c r="A33" s="161"/>
      <c r="B33" s="154"/>
      <c r="C33" s="115">
        <v>102002</v>
      </c>
      <c r="D33" s="116" t="s">
        <v>342</v>
      </c>
      <c r="E33" s="4" t="s">
        <v>182</v>
      </c>
      <c r="F33" s="33"/>
      <c r="G33" s="1">
        <v>82.64</v>
      </c>
      <c r="H33" s="34"/>
      <c r="I33" s="35">
        <f t="shared" si="4"/>
        <v>0</v>
      </c>
      <c r="J33" s="30"/>
      <c r="K33" s="5">
        <v>127</v>
      </c>
      <c r="L33" s="30"/>
      <c r="M33" s="31">
        <f t="shared" si="0"/>
        <v>0.34929133858267714</v>
      </c>
      <c r="N33" s="5">
        <f t="shared" si="7"/>
        <v>127.13846153846154</v>
      </c>
      <c r="P33" s="5">
        <f>P32</f>
        <v>99</v>
      </c>
      <c r="Q33" s="30"/>
      <c r="R33" s="31">
        <f t="shared" si="1"/>
        <v>0.16525252525252521</v>
      </c>
      <c r="S33" s="5">
        <f t="shared" si="8"/>
        <v>127.13846153846154</v>
      </c>
      <c r="T33" s="132"/>
      <c r="U33" s="5">
        <f>U32</f>
        <v>99</v>
      </c>
      <c r="V33" s="30"/>
      <c r="W33" s="31">
        <f t="shared" si="2"/>
        <v>0.16525252525252521</v>
      </c>
      <c r="X33" s="5">
        <f t="shared" si="10"/>
        <v>127.13846153846154</v>
      </c>
      <c r="Y33" s="132"/>
      <c r="Z33" s="5">
        <v>127</v>
      </c>
      <c r="AA33" s="30"/>
      <c r="AB33" s="31">
        <f t="shared" si="3"/>
        <v>0.34929133858267714</v>
      </c>
      <c r="AC33" s="5">
        <f t="shared" si="12"/>
        <v>127.13846153846154</v>
      </c>
      <c r="AD33" s="132"/>
      <c r="AE33" s="135">
        <v>113000</v>
      </c>
      <c r="AF33" s="30" t="s">
        <v>324</v>
      </c>
    </row>
    <row r="34" spans="1:32" ht="16.5" customHeight="1">
      <c r="A34" s="161"/>
      <c r="B34" s="154"/>
      <c r="C34" s="115">
        <v>102003</v>
      </c>
      <c r="D34" s="116" t="s">
        <v>342</v>
      </c>
      <c r="E34" s="4" t="s">
        <v>179</v>
      </c>
      <c r="F34" s="33"/>
      <c r="G34" s="1">
        <v>181.82</v>
      </c>
      <c r="H34" s="34"/>
      <c r="I34" s="35">
        <f t="shared" si="4"/>
        <v>0</v>
      </c>
      <c r="J34" s="30"/>
      <c r="K34" s="5">
        <v>280</v>
      </c>
      <c r="L34" s="30"/>
      <c r="M34" s="31">
        <f t="shared" si="0"/>
        <v>0.35064285714285715</v>
      </c>
      <c r="N34" s="5">
        <f t="shared" si="7"/>
        <v>279.72307692307692</v>
      </c>
      <c r="P34" s="5">
        <v>214</v>
      </c>
      <c r="Q34" s="30"/>
      <c r="R34" s="31">
        <f t="shared" si="1"/>
        <v>0.15037383177570096</v>
      </c>
      <c r="S34" s="5">
        <f t="shared" si="8"/>
        <v>279.72307692307692</v>
      </c>
      <c r="T34" s="132"/>
      <c r="U34" s="5">
        <v>214</v>
      </c>
      <c r="V34" s="30"/>
      <c r="W34" s="31">
        <f t="shared" si="2"/>
        <v>0.15037383177570096</v>
      </c>
      <c r="X34" s="5">
        <f t="shared" si="10"/>
        <v>279.72307692307692</v>
      </c>
      <c r="Y34" s="132"/>
      <c r="Z34" s="5">
        <v>280</v>
      </c>
      <c r="AA34" s="30"/>
      <c r="AB34" s="31">
        <f t="shared" si="3"/>
        <v>0.35064285714285715</v>
      </c>
      <c r="AC34" s="5">
        <f t="shared" si="12"/>
        <v>279.72307692307692</v>
      </c>
      <c r="AD34" s="132"/>
      <c r="AE34" s="135">
        <v>114000</v>
      </c>
      <c r="AF34" s="30" t="s">
        <v>325</v>
      </c>
    </row>
    <row r="35" spans="1:32" ht="16.5" customHeight="1">
      <c r="A35" s="161"/>
      <c r="B35" s="154"/>
      <c r="C35" s="115">
        <v>102004</v>
      </c>
      <c r="D35" s="116" t="s">
        <v>342</v>
      </c>
      <c r="E35" s="4" t="s">
        <v>181</v>
      </c>
      <c r="F35" s="33"/>
      <c r="G35" s="1">
        <v>264.64</v>
      </c>
      <c r="H35" s="34"/>
      <c r="I35" s="35">
        <f t="shared" si="4"/>
        <v>0</v>
      </c>
      <c r="J35" s="30"/>
      <c r="K35" s="5">
        <v>407</v>
      </c>
      <c r="L35" s="30"/>
      <c r="M35" s="31">
        <f t="shared" si="0"/>
        <v>0.34977886977886985</v>
      </c>
      <c r="N35" s="5">
        <f t="shared" si="7"/>
        <v>407.13846153846151</v>
      </c>
      <c r="P35" s="5">
        <v>314.05</v>
      </c>
      <c r="Q35" s="30"/>
      <c r="R35" s="31">
        <f t="shared" si="1"/>
        <v>0.15733163508995396</v>
      </c>
      <c r="S35" s="5">
        <f t="shared" si="8"/>
        <v>407.13846153846151</v>
      </c>
      <c r="T35" s="132"/>
      <c r="U35" s="5">
        <v>314.05</v>
      </c>
      <c r="V35" s="30"/>
      <c r="W35" s="31">
        <f t="shared" si="2"/>
        <v>0.15733163508995396</v>
      </c>
      <c r="X35" s="5">
        <f t="shared" si="10"/>
        <v>407.13846153846151</v>
      </c>
      <c r="Y35" s="132"/>
      <c r="Z35" s="5">
        <v>407</v>
      </c>
      <c r="AA35" s="30"/>
      <c r="AB35" s="31">
        <f t="shared" si="3"/>
        <v>0.34977886977886985</v>
      </c>
      <c r="AC35" s="5">
        <f t="shared" si="12"/>
        <v>407.13846153846151</v>
      </c>
      <c r="AD35" s="132"/>
      <c r="AE35" s="135">
        <v>115000</v>
      </c>
      <c r="AF35" s="30" t="s">
        <v>326</v>
      </c>
    </row>
    <row r="36" spans="1:32" ht="16.5" customHeight="1" thickBot="1">
      <c r="A36" s="171"/>
      <c r="B36" s="169"/>
      <c r="C36" s="115">
        <v>102005</v>
      </c>
      <c r="D36" s="116" t="s">
        <v>342</v>
      </c>
      <c r="E36" s="4" t="s">
        <v>180</v>
      </c>
      <c r="F36" s="33"/>
      <c r="G36" s="1">
        <v>355.37</v>
      </c>
      <c r="H36" s="34"/>
      <c r="I36" s="35">
        <f t="shared" si="4"/>
        <v>0</v>
      </c>
      <c r="J36" s="30"/>
      <c r="K36" s="5">
        <v>547</v>
      </c>
      <c r="L36" s="30"/>
      <c r="M36" s="31">
        <f t="shared" si="0"/>
        <v>0.35032906764168192</v>
      </c>
      <c r="N36" s="5">
        <f t="shared" si="7"/>
        <v>546.72307692307686</v>
      </c>
      <c r="P36" s="5">
        <v>409</v>
      </c>
      <c r="Q36" s="30"/>
      <c r="R36" s="31">
        <f t="shared" si="1"/>
        <v>0.13112469437652807</v>
      </c>
      <c r="S36" s="5">
        <f t="shared" si="8"/>
        <v>546.72307692307686</v>
      </c>
      <c r="T36" s="132"/>
      <c r="U36" s="5">
        <v>409</v>
      </c>
      <c r="V36" s="30"/>
      <c r="W36" s="31">
        <f t="shared" si="2"/>
        <v>0.13112469437652807</v>
      </c>
      <c r="X36" s="5">
        <f t="shared" si="10"/>
        <v>546.72307692307686</v>
      </c>
      <c r="Y36" s="132"/>
      <c r="Z36" s="5">
        <v>547</v>
      </c>
      <c r="AA36" s="30"/>
      <c r="AB36" s="31">
        <f t="shared" si="3"/>
        <v>0.35032906764168192</v>
      </c>
      <c r="AC36" s="5">
        <f t="shared" si="12"/>
        <v>546.72307692307686</v>
      </c>
      <c r="AD36" s="132"/>
      <c r="AE36" s="135">
        <v>116000</v>
      </c>
      <c r="AF36" s="30" t="s">
        <v>331</v>
      </c>
    </row>
    <row r="37" spans="1:32" ht="16.5" customHeight="1">
      <c r="A37" s="112"/>
      <c r="B37" s="103"/>
      <c r="C37" s="117">
        <v>102006</v>
      </c>
      <c r="D37" s="116" t="s">
        <v>342</v>
      </c>
      <c r="E37" s="46" t="s">
        <v>313</v>
      </c>
      <c r="F37" s="40"/>
      <c r="G37" s="6">
        <f>G11*6</f>
        <v>147.60000000000002</v>
      </c>
      <c r="H37" s="41"/>
      <c r="I37" s="35">
        <f>G37*H37</f>
        <v>0</v>
      </c>
      <c r="J37" s="30"/>
      <c r="K37" s="5">
        <v>0.01</v>
      </c>
      <c r="L37" s="30"/>
      <c r="M37" s="31">
        <f t="shared" si="0"/>
        <v>-14759.000000000002</v>
      </c>
      <c r="N37" s="5">
        <f t="shared" si="7"/>
        <v>227.07692307692309</v>
      </c>
      <c r="P37" s="5">
        <v>0.01</v>
      </c>
      <c r="Q37" s="30"/>
      <c r="R37" s="31">
        <f t="shared" si="1"/>
        <v>-14759.000000000002</v>
      </c>
      <c r="S37" s="5">
        <f t="shared" si="8"/>
        <v>227.07692307692309</v>
      </c>
      <c r="T37" s="132"/>
      <c r="U37" s="5">
        <v>0.01</v>
      </c>
      <c r="V37" s="30"/>
      <c r="W37" s="31">
        <f t="shared" si="2"/>
        <v>-14759.000000000002</v>
      </c>
      <c r="X37" s="5">
        <f t="shared" si="10"/>
        <v>227.07692307692309</v>
      </c>
      <c r="Y37" s="132"/>
      <c r="Z37" s="5">
        <v>0.01</v>
      </c>
      <c r="AA37" s="30"/>
      <c r="AB37" s="31">
        <f t="shared" si="3"/>
        <v>-14759.000000000002</v>
      </c>
      <c r="AC37" s="5">
        <f t="shared" si="12"/>
        <v>227.07692307692309</v>
      </c>
      <c r="AD37" s="132"/>
      <c r="AE37" s="135">
        <v>117000</v>
      </c>
      <c r="AF37" s="30" t="s">
        <v>327</v>
      </c>
    </row>
    <row r="38" spans="1:32" ht="16.5" customHeight="1" thickBot="1">
      <c r="A38" s="112"/>
      <c r="B38" s="103"/>
      <c r="C38" s="117"/>
      <c r="D38" s="117"/>
      <c r="E38" s="46"/>
      <c r="F38" s="40"/>
      <c r="G38" s="6"/>
      <c r="H38" s="41"/>
      <c r="I38" s="35"/>
      <c r="J38" s="30"/>
      <c r="K38" s="5"/>
      <c r="L38" s="30"/>
      <c r="M38" s="31"/>
      <c r="N38" s="5"/>
      <c r="P38" s="5"/>
      <c r="Q38" s="30"/>
      <c r="R38" s="31"/>
      <c r="S38" s="5"/>
      <c r="T38" s="132"/>
      <c r="U38" s="5"/>
      <c r="V38" s="30"/>
      <c r="W38" s="31"/>
      <c r="X38" s="5"/>
      <c r="Y38" s="132"/>
      <c r="Z38" s="5"/>
      <c r="AA38" s="30"/>
      <c r="AB38" s="31"/>
      <c r="AC38" s="5">
        <f t="shared" si="12"/>
        <v>0</v>
      </c>
      <c r="AD38" s="132"/>
      <c r="AE38" s="135">
        <v>118000</v>
      </c>
      <c r="AF38" s="30" t="s">
        <v>328</v>
      </c>
    </row>
    <row r="39" spans="1:32" ht="16.5" customHeight="1">
      <c r="A39" s="151" t="s">
        <v>65</v>
      </c>
      <c r="B39" s="153" t="s">
        <v>60</v>
      </c>
      <c r="C39" s="117">
        <v>103001</v>
      </c>
      <c r="D39" s="142" t="s">
        <v>345</v>
      </c>
      <c r="E39" s="39" t="s">
        <v>15</v>
      </c>
      <c r="F39" s="40"/>
      <c r="G39" s="6">
        <f>392.16/12*0.92*0.95</f>
        <v>28.56232</v>
      </c>
      <c r="H39" s="41"/>
      <c r="I39" s="35">
        <f t="shared" si="4"/>
        <v>0</v>
      </c>
      <c r="J39" s="30"/>
      <c r="K39" s="5">
        <v>43.9</v>
      </c>
      <c r="L39" s="30"/>
      <c r="M39" s="31">
        <f t="shared" ref="M39:M102" si="13">1-(G39/K39)</f>
        <v>0.34937767653758545</v>
      </c>
      <c r="N39" s="5">
        <f t="shared" si="7"/>
        <v>43.942030769230769</v>
      </c>
      <c r="P39" s="5">
        <v>43.9</v>
      </c>
      <c r="Q39" s="30"/>
      <c r="R39" s="31">
        <f t="shared" ref="R39:R102" si="14">1-(G39/P39)</f>
        <v>0.34937767653758545</v>
      </c>
      <c r="S39" s="5">
        <f t="shared" si="8"/>
        <v>43.942030769230769</v>
      </c>
      <c r="T39" s="132"/>
      <c r="U39" s="5">
        <v>43.9</v>
      </c>
      <c r="V39" s="30"/>
      <c r="W39" s="31">
        <f t="shared" ref="W39:W102" si="15">1-(G39/U39)</f>
        <v>0.34937767653758545</v>
      </c>
      <c r="X39" s="5">
        <f t="shared" si="10"/>
        <v>43.942030769230769</v>
      </c>
      <c r="Y39" s="132"/>
      <c r="Z39" s="5">
        <v>46.15</v>
      </c>
      <c r="AA39" s="30"/>
      <c r="AB39" s="31">
        <f>1-($G39/Z39)</f>
        <v>0.38109815817984827</v>
      </c>
      <c r="AC39" s="5">
        <f>($G39/0.65)*1.05</f>
        <v>46.139132307692307</v>
      </c>
      <c r="AD39" s="132"/>
      <c r="AE39" s="135">
        <v>119000</v>
      </c>
      <c r="AF39" s="30" t="s">
        <v>329</v>
      </c>
    </row>
    <row r="40" spans="1:32" ht="16.5" customHeight="1" thickBot="1">
      <c r="A40" s="152"/>
      <c r="B40" s="169"/>
      <c r="C40" s="118">
        <v>103002</v>
      </c>
      <c r="D40" s="118"/>
      <c r="E40" s="42" t="s">
        <v>16</v>
      </c>
      <c r="F40" s="43"/>
      <c r="G40" s="44">
        <f>621.08*0.92*0.95/2</f>
        <v>271.41196000000002</v>
      </c>
      <c r="H40" s="45"/>
      <c r="I40" s="35">
        <f t="shared" si="4"/>
        <v>0</v>
      </c>
      <c r="J40" s="30"/>
      <c r="K40" s="5">
        <v>417.6</v>
      </c>
      <c r="L40" s="30"/>
      <c r="M40" s="31">
        <f t="shared" si="13"/>
        <v>0.35006714559386976</v>
      </c>
      <c r="N40" s="5">
        <f t="shared" si="7"/>
        <v>417.55686153846153</v>
      </c>
      <c r="P40" s="5">
        <v>417.6</v>
      </c>
      <c r="Q40" s="30"/>
      <c r="R40" s="31">
        <f t="shared" si="14"/>
        <v>0.35006714559386976</v>
      </c>
      <c r="S40" s="5">
        <f t="shared" si="8"/>
        <v>417.55686153846153</v>
      </c>
      <c r="T40" s="132"/>
      <c r="U40" s="5">
        <v>417.6</v>
      </c>
      <c r="V40" s="30"/>
      <c r="W40" s="31">
        <f t="shared" si="15"/>
        <v>0.35006714559386976</v>
      </c>
      <c r="X40" s="5">
        <f t="shared" si="10"/>
        <v>417.55686153846153</v>
      </c>
      <c r="Y40" s="132"/>
      <c r="Z40" s="5">
        <v>438.4</v>
      </c>
      <c r="AA40" s="30"/>
      <c r="AB40" s="31">
        <f t="shared" ref="AB40:AB103" si="16">1-($G40/Z40)</f>
        <v>0.38090337591240864</v>
      </c>
      <c r="AC40" s="5">
        <f t="shared" ref="AC40:AC103" si="17">($G40/0.65)*1.05</f>
        <v>438.43470461538465</v>
      </c>
      <c r="AD40" s="132"/>
      <c r="AE40" s="135">
        <v>120000</v>
      </c>
      <c r="AF40" s="30" t="s">
        <v>330</v>
      </c>
    </row>
    <row r="41" spans="1:32" ht="16.5" customHeight="1" thickBot="1">
      <c r="A41" s="98"/>
      <c r="B41" s="103"/>
      <c r="C41" s="116">
        <v>104001</v>
      </c>
      <c r="D41" s="143">
        <v>7792340000798</v>
      </c>
      <c r="E41" s="46" t="s">
        <v>243</v>
      </c>
      <c r="F41" s="33"/>
      <c r="G41" s="1">
        <f>480/12*0.92*0.95</f>
        <v>34.96</v>
      </c>
      <c r="H41" s="34"/>
      <c r="I41" s="35">
        <f t="shared" si="4"/>
        <v>0</v>
      </c>
      <c r="J41" s="30"/>
      <c r="K41" s="47">
        <v>57.78</v>
      </c>
      <c r="L41" s="30"/>
      <c r="M41" s="31">
        <f t="shared" si="13"/>
        <v>0.39494634821737629</v>
      </c>
      <c r="N41" s="5">
        <f t="shared" si="7"/>
        <v>53.784615384615385</v>
      </c>
      <c r="P41" s="47">
        <v>57.78</v>
      </c>
      <c r="Q41" s="30"/>
      <c r="R41" s="31">
        <f t="shared" si="14"/>
        <v>0.39494634821737629</v>
      </c>
      <c r="S41" s="5">
        <f t="shared" si="8"/>
        <v>53.784615384615385</v>
      </c>
      <c r="T41" s="132"/>
      <c r="U41" s="47">
        <v>57.78</v>
      </c>
      <c r="V41" s="30"/>
      <c r="W41" s="31">
        <f t="shared" si="15"/>
        <v>0.39494634821737629</v>
      </c>
      <c r="X41" s="5">
        <f t="shared" si="10"/>
        <v>53.784615384615385</v>
      </c>
      <c r="Y41" s="132"/>
      <c r="Z41" s="47">
        <v>60.66</v>
      </c>
      <c r="AA41" s="30"/>
      <c r="AB41" s="31">
        <f t="shared" si="16"/>
        <v>0.42367293109132864</v>
      </c>
      <c r="AC41" s="5">
        <f t="shared" si="17"/>
        <v>56.473846153846154</v>
      </c>
      <c r="AD41" s="132"/>
      <c r="AE41" s="135">
        <v>121000</v>
      </c>
      <c r="AF41" s="30" t="s">
        <v>332</v>
      </c>
    </row>
    <row r="42" spans="1:32" ht="16.5" customHeight="1">
      <c r="A42" s="160" t="s">
        <v>221</v>
      </c>
      <c r="B42" s="103"/>
      <c r="C42" s="116">
        <v>104002</v>
      </c>
      <c r="D42" s="144" t="s">
        <v>346</v>
      </c>
      <c r="E42" s="46" t="s">
        <v>164</v>
      </c>
      <c r="F42" s="33"/>
      <c r="G42" s="1">
        <f>746.4/12*0.92*0.95</f>
        <v>54.362799999999993</v>
      </c>
      <c r="H42" s="34"/>
      <c r="I42" s="35">
        <f t="shared" si="4"/>
        <v>0</v>
      </c>
      <c r="J42" s="30"/>
      <c r="K42" s="47">
        <v>88</v>
      </c>
      <c r="L42" s="30"/>
      <c r="M42" s="31">
        <f t="shared" si="13"/>
        <v>0.38224090909090913</v>
      </c>
      <c r="N42" s="5">
        <f t="shared" si="7"/>
        <v>83.635076923076909</v>
      </c>
      <c r="P42" s="47">
        <v>88</v>
      </c>
      <c r="Q42" s="30"/>
      <c r="R42" s="31">
        <f t="shared" si="14"/>
        <v>0.38224090909090913</v>
      </c>
      <c r="S42" s="5">
        <f t="shared" si="8"/>
        <v>83.635076923076909</v>
      </c>
      <c r="T42" s="132"/>
      <c r="U42" s="47">
        <v>88</v>
      </c>
      <c r="V42" s="30"/>
      <c r="W42" s="31">
        <f t="shared" si="15"/>
        <v>0.38224090909090913</v>
      </c>
      <c r="X42" s="5">
        <f t="shared" si="10"/>
        <v>83.635076923076909</v>
      </c>
      <c r="Y42" s="132"/>
      <c r="Z42" s="47">
        <v>92.4</v>
      </c>
      <c r="AA42" s="30"/>
      <c r="AB42" s="31">
        <f t="shared" si="16"/>
        <v>0.41165800865800872</v>
      </c>
      <c r="AC42" s="5">
        <f t="shared" si="17"/>
        <v>87.816830769230762</v>
      </c>
      <c r="AD42" s="132"/>
      <c r="AE42" s="135">
        <v>122000</v>
      </c>
      <c r="AF42" s="30" t="s">
        <v>333</v>
      </c>
    </row>
    <row r="43" spans="1:32" ht="16.5" customHeight="1">
      <c r="A43" s="161"/>
      <c r="B43" s="103"/>
      <c r="C43" s="116">
        <v>104003</v>
      </c>
      <c r="D43" s="143">
        <v>7792340000828</v>
      </c>
      <c r="E43" s="46" t="s">
        <v>139</v>
      </c>
      <c r="F43" s="33"/>
      <c r="G43" s="1">
        <f>453.6/12*0.92*0.95</f>
        <v>33.037199999999999</v>
      </c>
      <c r="H43" s="34"/>
      <c r="I43" s="35">
        <f t="shared" si="4"/>
        <v>0</v>
      </c>
      <c r="J43" s="30"/>
      <c r="K43" s="47">
        <v>56</v>
      </c>
      <c r="L43" s="30"/>
      <c r="M43" s="31">
        <f t="shared" si="13"/>
        <v>0.41005000000000003</v>
      </c>
      <c r="N43" s="5">
        <f t="shared" si="7"/>
        <v>50.826461538461537</v>
      </c>
      <c r="P43" s="47">
        <v>56</v>
      </c>
      <c r="Q43" s="30"/>
      <c r="R43" s="31">
        <f t="shared" si="14"/>
        <v>0.41005000000000003</v>
      </c>
      <c r="S43" s="5">
        <f t="shared" si="8"/>
        <v>50.826461538461537</v>
      </c>
      <c r="T43" s="132"/>
      <c r="U43" s="47">
        <v>56</v>
      </c>
      <c r="V43" s="30"/>
      <c r="W43" s="31">
        <f t="shared" si="15"/>
        <v>0.41005000000000003</v>
      </c>
      <c r="X43" s="5">
        <f t="shared" si="10"/>
        <v>50.826461538461537</v>
      </c>
      <c r="Y43" s="132"/>
      <c r="Z43" s="47">
        <v>58.8</v>
      </c>
      <c r="AA43" s="30"/>
      <c r="AB43" s="31">
        <f t="shared" si="16"/>
        <v>0.43814285714285717</v>
      </c>
      <c r="AC43" s="5">
        <f t="shared" si="17"/>
        <v>53.367784615384615</v>
      </c>
      <c r="AD43" s="132"/>
      <c r="AE43" s="135"/>
    </row>
    <row r="44" spans="1:32" ht="16.5" customHeight="1">
      <c r="A44" s="161"/>
      <c r="B44" s="103"/>
      <c r="C44" s="116">
        <v>104004</v>
      </c>
      <c r="D44" s="143">
        <v>7792340000156</v>
      </c>
      <c r="E44" s="46" t="s">
        <v>125</v>
      </c>
      <c r="F44" s="40"/>
      <c r="G44" s="1">
        <f>453.6*0.92*0.95/12</f>
        <v>33.037199999999999</v>
      </c>
      <c r="H44" s="41"/>
      <c r="I44" s="35">
        <f t="shared" si="4"/>
        <v>0</v>
      </c>
      <c r="J44" s="30"/>
      <c r="K44" s="47">
        <v>56</v>
      </c>
      <c r="L44" s="30"/>
      <c r="M44" s="31">
        <f t="shared" si="13"/>
        <v>0.41005000000000003</v>
      </c>
      <c r="N44" s="5">
        <f t="shared" si="7"/>
        <v>50.826461538461537</v>
      </c>
      <c r="P44" s="47">
        <v>56</v>
      </c>
      <c r="Q44" s="30"/>
      <c r="R44" s="31">
        <f t="shared" si="14"/>
        <v>0.41005000000000003</v>
      </c>
      <c r="S44" s="5">
        <f t="shared" si="8"/>
        <v>50.826461538461537</v>
      </c>
      <c r="T44" s="132"/>
      <c r="U44" s="47">
        <v>56</v>
      </c>
      <c r="V44" s="30"/>
      <c r="W44" s="31">
        <f t="shared" si="15"/>
        <v>0.41005000000000003</v>
      </c>
      <c r="X44" s="5">
        <f t="shared" si="10"/>
        <v>50.826461538461537</v>
      </c>
      <c r="Y44" s="132"/>
      <c r="Z44" s="47">
        <v>61.75</v>
      </c>
      <c r="AA44" s="30"/>
      <c r="AB44" s="31">
        <f t="shared" si="16"/>
        <v>0.46498461538461544</v>
      </c>
      <c r="AC44" s="5">
        <f t="shared" si="17"/>
        <v>53.367784615384615</v>
      </c>
      <c r="AD44" s="132"/>
      <c r="AE44" s="135"/>
    </row>
    <row r="45" spans="1:32" ht="16.5" customHeight="1">
      <c r="A45" s="161"/>
      <c r="B45" s="103"/>
      <c r="C45" s="116">
        <v>104005</v>
      </c>
      <c r="D45" s="143">
        <v>7792340000088</v>
      </c>
      <c r="E45" s="46" t="s">
        <v>126</v>
      </c>
      <c r="F45" s="40"/>
      <c r="G45" s="6">
        <f>208.8/12*0.92*0.95</f>
        <v>15.207600000000001</v>
      </c>
      <c r="H45" s="41"/>
      <c r="I45" s="35">
        <f t="shared" si="4"/>
        <v>0</v>
      </c>
      <c r="J45" s="30"/>
      <c r="K45" s="47">
        <v>26</v>
      </c>
      <c r="L45" s="30"/>
      <c r="M45" s="31">
        <f t="shared" si="13"/>
        <v>0.41509230769230765</v>
      </c>
      <c r="N45" s="5">
        <f t="shared" si="7"/>
        <v>23.396307692307694</v>
      </c>
      <c r="P45" s="47">
        <v>26</v>
      </c>
      <c r="Q45" s="30"/>
      <c r="R45" s="31">
        <f t="shared" si="14"/>
        <v>0.41509230769230765</v>
      </c>
      <c r="S45" s="5">
        <f t="shared" si="8"/>
        <v>23.396307692307694</v>
      </c>
      <c r="T45" s="132"/>
      <c r="U45" s="47">
        <v>26</v>
      </c>
      <c r="V45" s="30"/>
      <c r="W45" s="31">
        <f t="shared" si="15"/>
        <v>0.41509230769230765</v>
      </c>
      <c r="X45" s="5">
        <f t="shared" si="10"/>
        <v>23.396307692307694</v>
      </c>
      <c r="Y45" s="132"/>
      <c r="Z45" s="47">
        <v>28.66</v>
      </c>
      <c r="AA45" s="30"/>
      <c r="AB45" s="31">
        <f t="shared" si="16"/>
        <v>0.46937892533147241</v>
      </c>
      <c r="AC45" s="5">
        <f t="shared" si="17"/>
        <v>24.566123076923081</v>
      </c>
      <c r="AD45" s="132"/>
      <c r="AE45" s="135"/>
    </row>
    <row r="46" spans="1:32" ht="16.5" customHeight="1">
      <c r="A46" s="161"/>
      <c r="B46" s="103"/>
      <c r="C46" s="116">
        <v>104006</v>
      </c>
      <c r="D46" s="143">
        <v>7792340009005</v>
      </c>
      <c r="E46" s="3" t="s">
        <v>127</v>
      </c>
      <c r="F46" s="37"/>
      <c r="G46" s="48">
        <f>G45</f>
        <v>15.207600000000001</v>
      </c>
      <c r="H46" s="38"/>
      <c r="I46" s="35">
        <f t="shared" si="4"/>
        <v>0</v>
      </c>
      <c r="J46" s="30"/>
      <c r="K46" s="49">
        <f>K45</f>
        <v>26</v>
      </c>
      <c r="L46" s="30"/>
      <c r="M46" s="31">
        <f t="shared" si="13"/>
        <v>0.41509230769230765</v>
      </c>
      <c r="N46" s="5">
        <f t="shared" si="7"/>
        <v>23.396307692307694</v>
      </c>
      <c r="P46" s="49">
        <f>P45</f>
        <v>26</v>
      </c>
      <c r="Q46" s="30"/>
      <c r="R46" s="31">
        <f t="shared" si="14"/>
        <v>0.41509230769230765</v>
      </c>
      <c r="S46" s="5">
        <f t="shared" si="8"/>
        <v>23.396307692307694</v>
      </c>
      <c r="T46" s="132"/>
      <c r="U46" s="49">
        <f>U45</f>
        <v>26</v>
      </c>
      <c r="V46" s="30"/>
      <c r="W46" s="31">
        <f t="shared" si="15"/>
        <v>0.41509230769230765</v>
      </c>
      <c r="X46" s="5">
        <f t="shared" si="10"/>
        <v>23.396307692307694</v>
      </c>
      <c r="Y46" s="132"/>
      <c r="Z46" s="49">
        <f>Z45</f>
        <v>28.66</v>
      </c>
      <c r="AA46" s="30"/>
      <c r="AB46" s="31">
        <f t="shared" si="16"/>
        <v>0.46937892533147241</v>
      </c>
      <c r="AC46" s="5">
        <f t="shared" si="17"/>
        <v>24.566123076923081</v>
      </c>
      <c r="AD46" s="132"/>
      <c r="AE46" s="135"/>
    </row>
    <row r="47" spans="1:32" ht="15.75" customHeight="1">
      <c r="A47" s="161"/>
      <c r="B47" s="103"/>
      <c r="C47" s="116">
        <v>104007</v>
      </c>
      <c r="D47" s="143">
        <v>7792340000897</v>
      </c>
      <c r="E47" s="4" t="s">
        <v>135</v>
      </c>
      <c r="F47" s="33"/>
      <c r="G47" s="1">
        <f>220.8*0.95*0.92/12</f>
        <v>16.081599999999998</v>
      </c>
      <c r="H47" s="34"/>
      <c r="I47" s="35">
        <f t="shared" si="4"/>
        <v>0</v>
      </c>
      <c r="J47" s="30"/>
      <c r="K47" s="47">
        <v>26</v>
      </c>
      <c r="L47" s="30"/>
      <c r="M47" s="31">
        <f t="shared" si="13"/>
        <v>0.38147692307692316</v>
      </c>
      <c r="N47" s="5">
        <f t="shared" si="7"/>
        <v>24.740923076923075</v>
      </c>
      <c r="P47" s="47">
        <v>26</v>
      </c>
      <c r="Q47" s="30"/>
      <c r="R47" s="31">
        <f t="shared" si="14"/>
        <v>0.38147692307692316</v>
      </c>
      <c r="S47" s="5">
        <f t="shared" si="8"/>
        <v>24.740923076923075</v>
      </c>
      <c r="T47" s="132"/>
      <c r="U47" s="47">
        <v>26</v>
      </c>
      <c r="V47" s="30"/>
      <c r="W47" s="31">
        <f t="shared" si="15"/>
        <v>0.38147692307692316</v>
      </c>
      <c r="X47" s="5">
        <f t="shared" si="10"/>
        <v>24.740923076923075</v>
      </c>
      <c r="Y47" s="132"/>
      <c r="Z47" s="47">
        <v>27.3</v>
      </c>
      <c r="AA47" s="30"/>
      <c r="AB47" s="31">
        <f t="shared" si="16"/>
        <v>0.41093040293040306</v>
      </c>
      <c r="AC47" s="5">
        <f t="shared" si="17"/>
        <v>25.977969230769229</v>
      </c>
      <c r="AD47" s="132"/>
      <c r="AE47" s="135"/>
    </row>
    <row r="48" spans="1:32" ht="15.75" customHeight="1">
      <c r="A48" s="161"/>
      <c r="B48" s="103"/>
      <c r="C48" s="116">
        <v>104008</v>
      </c>
      <c r="D48" s="143">
        <v>7792340073655</v>
      </c>
      <c r="E48" s="4" t="s">
        <v>133</v>
      </c>
      <c r="F48" s="33"/>
      <c r="G48" s="1">
        <f>319.2*0.92*0.95/12</f>
        <v>23.2484</v>
      </c>
      <c r="H48" s="34"/>
      <c r="I48" s="35">
        <f t="shared" si="4"/>
        <v>0</v>
      </c>
      <c r="J48" s="30"/>
      <c r="K48" s="47">
        <v>39</v>
      </c>
      <c r="L48" s="30"/>
      <c r="M48" s="31">
        <f t="shared" si="13"/>
        <v>0.40388717948717945</v>
      </c>
      <c r="N48" s="5">
        <f t="shared" si="7"/>
        <v>35.766769230769228</v>
      </c>
      <c r="P48" s="47">
        <v>39</v>
      </c>
      <c r="Q48" s="30"/>
      <c r="R48" s="31">
        <f t="shared" si="14"/>
        <v>0.40388717948717945</v>
      </c>
      <c r="S48" s="5">
        <f t="shared" si="8"/>
        <v>35.766769230769228</v>
      </c>
      <c r="T48" s="132"/>
      <c r="U48" s="47">
        <v>39</v>
      </c>
      <c r="V48" s="30"/>
      <c r="W48" s="31">
        <f t="shared" si="15"/>
        <v>0.40388717948717945</v>
      </c>
      <c r="X48" s="5">
        <f t="shared" si="10"/>
        <v>35.766769230769228</v>
      </c>
      <c r="Y48" s="132"/>
      <c r="Z48" s="47">
        <v>40.950000000000003</v>
      </c>
      <c r="AA48" s="30"/>
      <c r="AB48" s="31">
        <f t="shared" si="16"/>
        <v>0.43227350427350431</v>
      </c>
      <c r="AC48" s="5">
        <f t="shared" si="17"/>
        <v>37.555107692307693</v>
      </c>
      <c r="AD48" s="132"/>
      <c r="AE48" s="135"/>
    </row>
    <row r="49" spans="1:31" ht="16.5" customHeight="1">
      <c r="A49" s="161"/>
      <c r="B49" s="103"/>
      <c r="C49" s="116">
        <v>104009</v>
      </c>
      <c r="D49" s="142" t="s">
        <v>347</v>
      </c>
      <c r="E49" s="4" t="s">
        <v>165</v>
      </c>
      <c r="F49" s="33"/>
      <c r="G49" s="1">
        <f>198/12*0.92*0.95</f>
        <v>14.421000000000001</v>
      </c>
      <c r="H49" s="34"/>
      <c r="I49" s="35">
        <f t="shared" si="4"/>
        <v>0</v>
      </c>
      <c r="J49" s="32"/>
      <c r="K49" s="47">
        <v>24.5</v>
      </c>
      <c r="L49" s="32"/>
      <c r="M49" s="31">
        <f t="shared" si="13"/>
        <v>0.41138775510204073</v>
      </c>
      <c r="N49" s="5">
        <f t="shared" si="7"/>
        <v>22.186153846153847</v>
      </c>
      <c r="P49" s="47">
        <v>24.5</v>
      </c>
      <c r="Q49" s="32"/>
      <c r="R49" s="31">
        <f t="shared" si="14"/>
        <v>0.41138775510204073</v>
      </c>
      <c r="S49" s="5">
        <f t="shared" si="8"/>
        <v>22.186153846153847</v>
      </c>
      <c r="T49" s="132"/>
      <c r="U49" s="47">
        <v>24.5</v>
      </c>
      <c r="V49" s="32"/>
      <c r="W49" s="31">
        <f t="shared" si="15"/>
        <v>0.41138775510204073</v>
      </c>
      <c r="X49" s="5">
        <f t="shared" si="10"/>
        <v>22.186153846153847</v>
      </c>
      <c r="Y49" s="132"/>
      <c r="Z49" s="47">
        <v>25.7</v>
      </c>
      <c r="AA49" s="32"/>
      <c r="AB49" s="31">
        <f t="shared" si="16"/>
        <v>0.43887159533073927</v>
      </c>
      <c r="AC49" s="5">
        <f t="shared" si="17"/>
        <v>23.295461538461542</v>
      </c>
      <c r="AD49" s="132"/>
      <c r="AE49" s="135"/>
    </row>
    <row r="50" spans="1:31" ht="16.5" customHeight="1">
      <c r="A50" s="161"/>
      <c r="B50" s="103"/>
      <c r="C50" s="116">
        <v>104010</v>
      </c>
      <c r="D50" s="142" t="s">
        <v>348</v>
      </c>
      <c r="E50" s="4" t="s">
        <v>166</v>
      </c>
      <c r="F50" s="33"/>
      <c r="G50" s="1">
        <v>14.42</v>
      </c>
      <c r="H50" s="34"/>
      <c r="I50" s="35">
        <f t="shared" si="4"/>
        <v>0</v>
      </c>
      <c r="J50" s="32"/>
      <c r="K50" s="47">
        <v>24.5</v>
      </c>
      <c r="L50" s="32"/>
      <c r="M50" s="31">
        <f t="shared" si="13"/>
        <v>0.41142857142857148</v>
      </c>
      <c r="N50" s="5">
        <f t="shared" si="7"/>
        <v>22.184615384615384</v>
      </c>
      <c r="P50" s="47">
        <v>24.5</v>
      </c>
      <c r="Q50" s="32"/>
      <c r="R50" s="31">
        <f t="shared" si="14"/>
        <v>0.41142857142857148</v>
      </c>
      <c r="S50" s="5">
        <f t="shared" si="8"/>
        <v>22.184615384615384</v>
      </c>
      <c r="T50" s="132"/>
      <c r="U50" s="47">
        <v>24.5</v>
      </c>
      <c r="V50" s="32"/>
      <c r="W50" s="31">
        <f t="shared" si="15"/>
        <v>0.41142857142857148</v>
      </c>
      <c r="X50" s="5">
        <f t="shared" si="10"/>
        <v>22.184615384615384</v>
      </c>
      <c r="Y50" s="132"/>
      <c r="Z50" s="47">
        <v>25.7</v>
      </c>
      <c r="AA50" s="32"/>
      <c r="AB50" s="31">
        <f t="shared" si="16"/>
        <v>0.43891050583657587</v>
      </c>
      <c r="AC50" s="5">
        <f t="shared" si="17"/>
        <v>23.293846153846154</v>
      </c>
      <c r="AD50" s="132"/>
      <c r="AE50" s="135"/>
    </row>
    <row r="51" spans="1:31" ht="16.5" customHeight="1">
      <c r="A51" s="161"/>
      <c r="B51" s="103"/>
      <c r="C51" s="116">
        <v>104011</v>
      </c>
      <c r="D51" s="142" t="s">
        <v>349</v>
      </c>
      <c r="E51" s="4" t="s">
        <v>170</v>
      </c>
      <c r="F51" s="33"/>
      <c r="G51" s="1">
        <f>198/12*0.92*0.95</f>
        <v>14.421000000000001</v>
      </c>
      <c r="H51" s="34"/>
      <c r="I51" s="35">
        <f t="shared" si="4"/>
        <v>0</v>
      </c>
      <c r="J51" s="32"/>
      <c r="K51" s="47">
        <v>24.5</v>
      </c>
      <c r="L51" s="32"/>
      <c r="M51" s="31">
        <f t="shared" si="13"/>
        <v>0.41138775510204073</v>
      </c>
      <c r="N51" s="5">
        <f t="shared" si="7"/>
        <v>22.186153846153847</v>
      </c>
      <c r="P51" s="47">
        <v>24.5</v>
      </c>
      <c r="Q51" s="32"/>
      <c r="R51" s="31">
        <f t="shared" si="14"/>
        <v>0.41138775510204073</v>
      </c>
      <c r="S51" s="5">
        <f t="shared" si="8"/>
        <v>22.186153846153847</v>
      </c>
      <c r="T51" s="132"/>
      <c r="U51" s="47">
        <v>24.5</v>
      </c>
      <c r="V51" s="32"/>
      <c r="W51" s="31">
        <f t="shared" si="15"/>
        <v>0.41138775510204073</v>
      </c>
      <c r="X51" s="5">
        <f t="shared" si="10"/>
        <v>22.186153846153847</v>
      </c>
      <c r="Y51" s="132"/>
      <c r="Z51" s="47">
        <v>28.87</v>
      </c>
      <c r="AA51" s="32"/>
      <c r="AB51" s="31">
        <f t="shared" si="16"/>
        <v>0.50048493245583647</v>
      </c>
      <c r="AC51" s="5">
        <f t="shared" si="17"/>
        <v>23.295461538461542</v>
      </c>
      <c r="AD51" s="132"/>
      <c r="AE51" s="135"/>
    </row>
    <row r="52" spans="1:31" ht="16.5" customHeight="1">
      <c r="A52" s="161"/>
      <c r="B52" s="103"/>
      <c r="C52" s="116">
        <v>104012</v>
      </c>
      <c r="D52" s="142" t="s">
        <v>352</v>
      </c>
      <c r="E52" s="4" t="s">
        <v>155</v>
      </c>
      <c r="F52" s="33"/>
      <c r="G52" s="1">
        <f>225.4/12*0.92*0.95</f>
        <v>16.416633333333333</v>
      </c>
      <c r="H52" s="34"/>
      <c r="I52" s="35">
        <f t="shared" si="4"/>
        <v>0</v>
      </c>
      <c r="J52" s="32"/>
      <c r="K52" s="47">
        <v>27.5</v>
      </c>
      <c r="L52" s="32"/>
      <c r="M52" s="31">
        <f t="shared" si="13"/>
        <v>0.40303151515151514</v>
      </c>
      <c r="N52" s="5">
        <f t="shared" si="7"/>
        <v>25.256358974358974</v>
      </c>
      <c r="P52" s="47">
        <v>27.5</v>
      </c>
      <c r="Q52" s="32"/>
      <c r="R52" s="31">
        <f t="shared" si="14"/>
        <v>0.40303151515151514</v>
      </c>
      <c r="S52" s="5">
        <f t="shared" si="8"/>
        <v>25.256358974358974</v>
      </c>
      <c r="T52" s="132"/>
      <c r="U52" s="47">
        <v>27.5</v>
      </c>
      <c r="V52" s="32"/>
      <c r="W52" s="31">
        <f t="shared" si="15"/>
        <v>0.40303151515151514</v>
      </c>
      <c r="X52" s="5">
        <f t="shared" si="10"/>
        <v>25.256358974358974</v>
      </c>
      <c r="Y52" s="132"/>
      <c r="Z52" s="47">
        <v>28.8</v>
      </c>
      <c r="AA52" s="32"/>
      <c r="AB52" s="31">
        <f t="shared" si="16"/>
        <v>0.42997800925925922</v>
      </c>
      <c r="AC52" s="5">
        <f t="shared" si="17"/>
        <v>26.519176923076923</v>
      </c>
      <c r="AD52" s="132"/>
      <c r="AE52" s="135"/>
    </row>
    <row r="53" spans="1:31" ht="16.5" customHeight="1">
      <c r="A53" s="161"/>
      <c r="B53" s="103"/>
      <c r="C53" s="116">
        <v>104013</v>
      </c>
      <c r="D53" s="142" t="s">
        <v>351</v>
      </c>
      <c r="E53" s="4" t="s">
        <v>153</v>
      </c>
      <c r="F53" s="33"/>
      <c r="G53" s="1">
        <f>G52</f>
        <v>16.416633333333333</v>
      </c>
      <c r="H53" s="34"/>
      <c r="I53" s="35">
        <f t="shared" si="4"/>
        <v>0</v>
      </c>
      <c r="J53" s="32"/>
      <c r="K53" s="47">
        <v>27.5</v>
      </c>
      <c r="L53" s="32"/>
      <c r="M53" s="31">
        <f t="shared" si="13"/>
        <v>0.40303151515151514</v>
      </c>
      <c r="N53" s="5">
        <f t="shared" si="7"/>
        <v>25.256358974358974</v>
      </c>
      <c r="P53" s="47">
        <v>27.5</v>
      </c>
      <c r="Q53" s="32"/>
      <c r="R53" s="31">
        <f t="shared" si="14"/>
        <v>0.40303151515151514</v>
      </c>
      <c r="S53" s="5">
        <f t="shared" si="8"/>
        <v>25.256358974358974</v>
      </c>
      <c r="T53" s="132"/>
      <c r="U53" s="47">
        <v>27.5</v>
      </c>
      <c r="V53" s="32"/>
      <c r="W53" s="31">
        <f t="shared" si="15"/>
        <v>0.40303151515151514</v>
      </c>
      <c r="X53" s="5">
        <f t="shared" si="10"/>
        <v>25.256358974358974</v>
      </c>
      <c r="Y53" s="132"/>
      <c r="Z53" s="47">
        <v>28.8</v>
      </c>
      <c r="AA53" s="32"/>
      <c r="AB53" s="31">
        <f t="shared" si="16"/>
        <v>0.42997800925925922</v>
      </c>
      <c r="AC53" s="5">
        <f t="shared" si="17"/>
        <v>26.519176923076923</v>
      </c>
      <c r="AD53" s="132"/>
      <c r="AE53" s="135"/>
    </row>
    <row r="54" spans="1:31" ht="16.5" customHeight="1">
      <c r="A54" s="161"/>
      <c r="B54" s="103"/>
      <c r="C54" s="116">
        <v>104014</v>
      </c>
      <c r="D54" s="142" t="s">
        <v>350</v>
      </c>
      <c r="E54" s="4" t="s">
        <v>171</v>
      </c>
      <c r="F54" s="33"/>
      <c r="G54" s="1">
        <f>225/12*0.92*0.95</f>
        <v>16.387499999999999</v>
      </c>
      <c r="H54" s="34"/>
      <c r="I54" s="35">
        <f t="shared" si="4"/>
        <v>0</v>
      </c>
      <c r="J54" s="32"/>
      <c r="K54" s="47">
        <v>27.5</v>
      </c>
      <c r="L54" s="32"/>
      <c r="M54" s="31">
        <f t="shared" si="13"/>
        <v>0.40409090909090917</v>
      </c>
      <c r="N54" s="5">
        <f t="shared" si="7"/>
        <v>25.21153846153846</v>
      </c>
      <c r="P54" s="47">
        <v>27.5</v>
      </c>
      <c r="Q54" s="32"/>
      <c r="R54" s="31">
        <f t="shared" si="14"/>
        <v>0.40409090909090917</v>
      </c>
      <c r="S54" s="5">
        <f t="shared" si="8"/>
        <v>25.21153846153846</v>
      </c>
      <c r="T54" s="132"/>
      <c r="U54" s="47">
        <v>27.5</v>
      </c>
      <c r="V54" s="32"/>
      <c r="W54" s="31">
        <f t="shared" si="15"/>
        <v>0.40409090909090917</v>
      </c>
      <c r="X54" s="5">
        <f t="shared" si="10"/>
        <v>25.21153846153846</v>
      </c>
      <c r="Y54" s="132"/>
      <c r="Z54" s="47">
        <f>Z51</f>
        <v>28.87</v>
      </c>
      <c r="AA54" s="32"/>
      <c r="AB54" s="31">
        <f t="shared" si="16"/>
        <v>0.43236924142708699</v>
      </c>
      <c r="AC54" s="5">
        <f t="shared" si="17"/>
        <v>26.472115384615385</v>
      </c>
      <c r="AD54" s="132"/>
      <c r="AE54" s="135"/>
    </row>
    <row r="55" spans="1:31" ht="16.5" customHeight="1">
      <c r="A55" s="161"/>
      <c r="B55" s="103"/>
      <c r="C55" s="116">
        <v>104015</v>
      </c>
      <c r="D55" s="116"/>
      <c r="E55" s="4" t="s">
        <v>154</v>
      </c>
      <c r="F55" s="33"/>
      <c r="G55" s="1">
        <f>381.6/12*0.92*0.95</f>
        <v>27.793199999999999</v>
      </c>
      <c r="H55" s="16"/>
      <c r="I55" s="35">
        <f t="shared" si="4"/>
        <v>0</v>
      </c>
      <c r="J55" s="50"/>
      <c r="K55" s="47">
        <v>47</v>
      </c>
      <c r="L55" s="50"/>
      <c r="M55" s="31">
        <f t="shared" si="13"/>
        <v>0.40865531914893616</v>
      </c>
      <c r="N55" s="5">
        <f t="shared" si="7"/>
        <v>42.758769230769225</v>
      </c>
      <c r="P55" s="47">
        <v>47</v>
      </c>
      <c r="Q55" s="50"/>
      <c r="R55" s="31">
        <f t="shared" si="14"/>
        <v>0.40865531914893616</v>
      </c>
      <c r="S55" s="5">
        <f t="shared" si="8"/>
        <v>42.758769230769225</v>
      </c>
      <c r="T55" s="132"/>
      <c r="U55" s="47">
        <v>47</v>
      </c>
      <c r="V55" s="50"/>
      <c r="W55" s="31">
        <f t="shared" si="15"/>
        <v>0.40865531914893616</v>
      </c>
      <c r="X55" s="5">
        <f t="shared" si="10"/>
        <v>42.758769230769225</v>
      </c>
      <c r="Y55" s="132"/>
      <c r="Z55" s="47">
        <v>49.35</v>
      </c>
      <c r="AA55" s="50"/>
      <c r="AB55" s="31">
        <f t="shared" si="16"/>
        <v>0.43681458966565356</v>
      </c>
      <c r="AC55" s="5">
        <f t="shared" si="17"/>
        <v>44.896707692307686</v>
      </c>
      <c r="AD55" s="132"/>
      <c r="AE55" s="135"/>
    </row>
    <row r="56" spans="1:31" ht="16.5" customHeight="1">
      <c r="A56" s="161"/>
      <c r="B56" s="103"/>
      <c r="C56" s="116">
        <v>104016</v>
      </c>
      <c r="D56" s="116"/>
      <c r="E56" s="4" t="s">
        <v>167</v>
      </c>
      <c r="F56" s="33"/>
      <c r="G56" s="1">
        <f>258.96*0.92*0.95/4</f>
        <v>56.58276</v>
      </c>
      <c r="H56" s="16"/>
      <c r="I56" s="35">
        <f t="shared" si="4"/>
        <v>0</v>
      </c>
      <c r="J56" s="32"/>
      <c r="K56" s="47">
        <v>94</v>
      </c>
      <c r="L56" s="32"/>
      <c r="M56" s="31">
        <f t="shared" si="13"/>
        <v>0.39805574468085103</v>
      </c>
      <c r="N56" s="5">
        <f t="shared" si="7"/>
        <v>87.050399999999996</v>
      </c>
      <c r="P56" s="47">
        <v>94</v>
      </c>
      <c r="Q56" s="32"/>
      <c r="R56" s="31">
        <f t="shared" si="14"/>
        <v>0.39805574468085103</v>
      </c>
      <c r="S56" s="5">
        <f t="shared" si="8"/>
        <v>87.050399999999996</v>
      </c>
      <c r="T56" s="132"/>
      <c r="U56" s="47">
        <v>94</v>
      </c>
      <c r="V56" s="32"/>
      <c r="W56" s="31">
        <f t="shared" si="15"/>
        <v>0.39805574468085103</v>
      </c>
      <c r="X56" s="5">
        <f t="shared" si="10"/>
        <v>87.050399999999996</v>
      </c>
      <c r="Y56" s="132"/>
      <c r="Z56" s="47">
        <v>94</v>
      </c>
      <c r="AA56" s="32"/>
      <c r="AB56" s="31">
        <f t="shared" si="16"/>
        <v>0.39805574468085103</v>
      </c>
      <c r="AC56" s="5">
        <f t="shared" si="17"/>
        <v>91.402919999999995</v>
      </c>
      <c r="AD56" s="132"/>
      <c r="AE56" s="135"/>
    </row>
    <row r="57" spans="1:31" ht="16.5" customHeight="1">
      <c r="A57" s="161"/>
      <c r="B57" s="103"/>
      <c r="C57" s="116">
        <v>104017</v>
      </c>
      <c r="D57" s="116"/>
      <c r="E57" s="4" t="s">
        <v>168</v>
      </c>
      <c r="F57" s="33"/>
      <c r="G57" s="1">
        <f>260.29*0.92*0.95/4</f>
        <v>56.873365000000007</v>
      </c>
      <c r="H57" s="16"/>
      <c r="I57" s="35">
        <f t="shared" si="4"/>
        <v>0</v>
      </c>
      <c r="J57" s="32"/>
      <c r="K57" s="47">
        <v>94</v>
      </c>
      <c r="L57" s="32"/>
      <c r="M57" s="31">
        <f t="shared" si="13"/>
        <v>0.39496420212765948</v>
      </c>
      <c r="N57" s="5">
        <f t="shared" si="7"/>
        <v>87.497484615384622</v>
      </c>
      <c r="P57" s="47">
        <v>94</v>
      </c>
      <c r="Q57" s="32"/>
      <c r="R57" s="31">
        <f t="shared" si="14"/>
        <v>0.39496420212765948</v>
      </c>
      <c r="S57" s="5">
        <f t="shared" si="8"/>
        <v>87.497484615384622</v>
      </c>
      <c r="T57" s="132"/>
      <c r="U57" s="47">
        <v>94</v>
      </c>
      <c r="V57" s="32"/>
      <c r="W57" s="31">
        <f t="shared" si="15"/>
        <v>0.39496420212765948</v>
      </c>
      <c r="X57" s="5">
        <f t="shared" si="10"/>
        <v>87.497484615384622</v>
      </c>
      <c r="Y57" s="132"/>
      <c r="Z57" s="47">
        <v>98.7</v>
      </c>
      <c r="AA57" s="32"/>
      <c r="AB57" s="31">
        <f t="shared" si="16"/>
        <v>0.42377543059777101</v>
      </c>
      <c r="AC57" s="5">
        <f t="shared" si="17"/>
        <v>91.872358846153858</v>
      </c>
      <c r="AD57" s="132"/>
      <c r="AE57" s="135"/>
    </row>
    <row r="58" spans="1:31" ht="16.5" customHeight="1">
      <c r="A58" s="161"/>
      <c r="B58" s="103"/>
      <c r="C58" s="116">
        <v>104018</v>
      </c>
      <c r="D58" s="116"/>
      <c r="E58" s="4" t="s">
        <v>169</v>
      </c>
      <c r="F58" s="33"/>
      <c r="G58" s="1">
        <f>229.2*0.92*0.95/12</f>
        <v>16.6934</v>
      </c>
      <c r="H58" s="16"/>
      <c r="I58" s="35">
        <f t="shared" si="4"/>
        <v>0</v>
      </c>
      <c r="J58" s="32"/>
      <c r="K58" s="47">
        <v>29</v>
      </c>
      <c r="L58" s="32"/>
      <c r="M58" s="31">
        <f t="shared" si="13"/>
        <v>0.42436551724137928</v>
      </c>
      <c r="N58" s="5">
        <f t="shared" si="7"/>
        <v>25.682153846153845</v>
      </c>
      <c r="P58" s="47">
        <v>29</v>
      </c>
      <c r="Q58" s="32"/>
      <c r="R58" s="31">
        <f t="shared" si="14"/>
        <v>0.42436551724137928</v>
      </c>
      <c r="S58" s="5">
        <f t="shared" si="8"/>
        <v>25.682153846153845</v>
      </c>
      <c r="T58" s="132"/>
      <c r="U58" s="47">
        <v>29</v>
      </c>
      <c r="V58" s="32"/>
      <c r="W58" s="31">
        <f t="shared" si="15"/>
        <v>0.42436551724137928</v>
      </c>
      <c r="X58" s="5">
        <f t="shared" si="10"/>
        <v>25.682153846153845</v>
      </c>
      <c r="Y58" s="132"/>
      <c r="Z58" s="47">
        <v>98.7</v>
      </c>
      <c r="AA58" s="32"/>
      <c r="AB58" s="31">
        <f t="shared" si="16"/>
        <v>0.83086727456940224</v>
      </c>
      <c r="AC58" s="5">
        <f t="shared" si="17"/>
        <v>26.966261538461538</v>
      </c>
      <c r="AD58" s="132"/>
      <c r="AE58" s="135"/>
    </row>
    <row r="59" spans="1:31" ht="16.5" customHeight="1">
      <c r="A59" s="161"/>
      <c r="B59" s="103"/>
      <c r="C59" s="116">
        <v>104019</v>
      </c>
      <c r="D59" s="142" t="s">
        <v>353</v>
      </c>
      <c r="E59" s="4" t="s">
        <v>240</v>
      </c>
      <c r="F59" s="33"/>
      <c r="G59" s="1">
        <f>313.2/12*0.92*0.95</f>
        <v>22.811399999999999</v>
      </c>
      <c r="H59" s="34"/>
      <c r="I59" s="35">
        <f t="shared" si="4"/>
        <v>0</v>
      </c>
      <c r="J59" s="32"/>
      <c r="K59" s="47">
        <v>38</v>
      </c>
      <c r="L59" s="32"/>
      <c r="M59" s="31">
        <f t="shared" si="13"/>
        <v>0.39970000000000006</v>
      </c>
      <c r="N59" s="5">
        <f t="shared" si="7"/>
        <v>35.094461538461537</v>
      </c>
      <c r="P59" s="47">
        <v>38</v>
      </c>
      <c r="Q59" s="32"/>
      <c r="R59" s="31">
        <f t="shared" si="14"/>
        <v>0.39970000000000006</v>
      </c>
      <c r="S59" s="5">
        <f t="shared" si="8"/>
        <v>35.094461538461537</v>
      </c>
      <c r="T59" s="132"/>
      <c r="U59" s="47">
        <v>38</v>
      </c>
      <c r="V59" s="32"/>
      <c r="W59" s="31">
        <f t="shared" si="15"/>
        <v>0.39970000000000006</v>
      </c>
      <c r="X59" s="5">
        <f t="shared" si="10"/>
        <v>35.094461538461537</v>
      </c>
      <c r="Y59" s="132"/>
      <c r="Z59" s="47">
        <v>39.9</v>
      </c>
      <c r="AA59" s="32"/>
      <c r="AB59" s="31">
        <f t="shared" si="16"/>
        <v>0.42828571428571427</v>
      </c>
      <c r="AC59" s="5">
        <f t="shared" si="17"/>
        <v>36.849184615384615</v>
      </c>
      <c r="AD59" s="132"/>
      <c r="AE59" s="135"/>
    </row>
    <row r="60" spans="1:31" ht="16.5" customHeight="1">
      <c r="A60" s="161"/>
      <c r="B60" s="103"/>
      <c r="C60" s="116">
        <v>104020</v>
      </c>
      <c r="D60" s="143">
        <v>7792340001214</v>
      </c>
      <c r="E60" s="4" t="s">
        <v>137</v>
      </c>
      <c r="F60" s="33"/>
      <c r="G60" s="1">
        <f>270/12*0.92*0.95</f>
        <v>19.664999999999999</v>
      </c>
      <c r="H60" s="34"/>
      <c r="I60" s="35">
        <f t="shared" si="4"/>
        <v>0</v>
      </c>
      <c r="J60" s="32"/>
      <c r="K60" s="47">
        <v>33</v>
      </c>
      <c r="L60" s="32"/>
      <c r="M60" s="31">
        <f t="shared" si="13"/>
        <v>0.40409090909090917</v>
      </c>
      <c r="N60" s="5">
        <f t="shared" si="7"/>
        <v>30.253846153846151</v>
      </c>
      <c r="P60" s="47">
        <v>33</v>
      </c>
      <c r="Q60" s="32"/>
      <c r="R60" s="31">
        <f t="shared" si="14"/>
        <v>0.40409090909090917</v>
      </c>
      <c r="S60" s="5">
        <f t="shared" si="8"/>
        <v>30.253846153846151</v>
      </c>
      <c r="T60" s="132"/>
      <c r="U60" s="47">
        <v>33</v>
      </c>
      <c r="V60" s="32"/>
      <c r="W60" s="31">
        <f t="shared" si="15"/>
        <v>0.40409090909090917</v>
      </c>
      <c r="X60" s="5">
        <f t="shared" si="10"/>
        <v>30.253846153846151</v>
      </c>
      <c r="Y60" s="132"/>
      <c r="Z60" s="47">
        <v>34.65</v>
      </c>
      <c r="AA60" s="32"/>
      <c r="AB60" s="31">
        <f t="shared" si="16"/>
        <v>0.43246753246753245</v>
      </c>
      <c r="AC60" s="5">
        <f t="shared" si="17"/>
        <v>31.76653846153846</v>
      </c>
      <c r="AD60" s="132"/>
      <c r="AE60" s="135"/>
    </row>
    <row r="61" spans="1:31" ht="15.75" customHeight="1">
      <c r="A61" s="161"/>
      <c r="B61" s="103"/>
      <c r="C61" s="116">
        <v>104021</v>
      </c>
      <c r="D61" s="143">
        <v>7792340001238</v>
      </c>
      <c r="E61" s="4" t="s">
        <v>138</v>
      </c>
      <c r="F61" s="33"/>
      <c r="G61" s="1">
        <f>487/12*0.92*0.95</f>
        <v>35.469833333333341</v>
      </c>
      <c r="H61" s="34"/>
      <c r="I61" s="35">
        <f t="shared" si="4"/>
        <v>0</v>
      </c>
      <c r="J61" s="30"/>
      <c r="K61" s="47">
        <v>59</v>
      </c>
      <c r="L61" s="30"/>
      <c r="M61" s="31">
        <f t="shared" si="13"/>
        <v>0.39881638418079079</v>
      </c>
      <c r="N61" s="5">
        <f t="shared" si="7"/>
        <v>54.568974358974366</v>
      </c>
      <c r="P61" s="47">
        <v>59</v>
      </c>
      <c r="Q61" s="30"/>
      <c r="R61" s="31">
        <f t="shared" si="14"/>
        <v>0.39881638418079079</v>
      </c>
      <c r="S61" s="5">
        <f t="shared" si="8"/>
        <v>54.568974358974366</v>
      </c>
      <c r="T61" s="132"/>
      <c r="U61" s="47">
        <v>59</v>
      </c>
      <c r="V61" s="30"/>
      <c r="W61" s="31">
        <f t="shared" si="15"/>
        <v>0.39881638418079079</v>
      </c>
      <c r="X61" s="5">
        <f t="shared" si="10"/>
        <v>54.568974358974366</v>
      </c>
      <c r="Y61" s="132"/>
      <c r="Z61" s="47">
        <v>61.95</v>
      </c>
      <c r="AA61" s="30"/>
      <c r="AB61" s="31">
        <f t="shared" si="16"/>
        <v>0.42744417541027702</v>
      </c>
      <c r="AC61" s="5">
        <f t="shared" si="17"/>
        <v>57.297423076923089</v>
      </c>
      <c r="AD61" s="132"/>
      <c r="AE61" s="135"/>
    </row>
    <row r="62" spans="1:31" ht="16.5" customHeight="1" thickBot="1">
      <c r="A62" s="171"/>
      <c r="B62" s="103"/>
      <c r="C62" s="116">
        <v>104022</v>
      </c>
      <c r="D62" s="116"/>
      <c r="E62" s="4" t="s">
        <v>159</v>
      </c>
      <c r="F62" s="33"/>
      <c r="G62" s="1">
        <f>472.68*0.92*0.95/12</f>
        <v>34.426859999999998</v>
      </c>
      <c r="H62" s="16"/>
      <c r="I62" s="35">
        <f t="shared" si="4"/>
        <v>0</v>
      </c>
      <c r="J62" s="50"/>
      <c r="K62" s="5">
        <v>55.9</v>
      </c>
      <c r="L62" s="32"/>
      <c r="M62" s="31">
        <f t="shared" si="13"/>
        <v>0.3841348837209303</v>
      </c>
      <c r="N62" s="5">
        <f t="shared" si="7"/>
        <v>52.964399999999998</v>
      </c>
      <c r="P62" s="5">
        <v>55.9</v>
      </c>
      <c r="Q62" s="32"/>
      <c r="R62" s="31">
        <f t="shared" si="14"/>
        <v>0.3841348837209303</v>
      </c>
      <c r="S62" s="5">
        <f t="shared" si="8"/>
        <v>52.964399999999998</v>
      </c>
      <c r="T62" s="132"/>
      <c r="U62" s="5">
        <v>55.9</v>
      </c>
      <c r="V62" s="32"/>
      <c r="W62" s="31">
        <f t="shared" si="15"/>
        <v>0.3841348837209303</v>
      </c>
      <c r="X62" s="5">
        <f t="shared" si="10"/>
        <v>52.964399999999998</v>
      </c>
      <c r="Y62" s="132"/>
      <c r="Z62" s="5">
        <v>55.9</v>
      </c>
      <c r="AA62" s="32"/>
      <c r="AB62" s="31">
        <f t="shared" si="16"/>
        <v>0.3841348837209303</v>
      </c>
      <c r="AC62" s="5">
        <f t="shared" si="17"/>
        <v>55.61262</v>
      </c>
      <c r="AD62" s="132"/>
      <c r="AE62" s="135"/>
    </row>
    <row r="63" spans="1:31" ht="16.5" customHeight="1">
      <c r="A63" s="160" t="s">
        <v>95</v>
      </c>
      <c r="B63" s="153" t="s">
        <v>94</v>
      </c>
      <c r="C63" s="119">
        <v>105001</v>
      </c>
      <c r="D63" s="119"/>
      <c r="E63" s="4" t="s">
        <v>157</v>
      </c>
      <c r="F63" s="33"/>
      <c r="G63" s="1">
        <f>756.12*0.92*0.95/12</f>
        <v>55.070740000000001</v>
      </c>
      <c r="H63" s="16"/>
      <c r="I63" s="35">
        <f t="shared" si="4"/>
        <v>0</v>
      </c>
      <c r="J63" s="50"/>
      <c r="K63" s="5">
        <v>89</v>
      </c>
      <c r="L63" s="32"/>
      <c r="M63" s="31">
        <f t="shared" si="13"/>
        <v>0.38122764044943824</v>
      </c>
      <c r="N63" s="5">
        <f t="shared" si="7"/>
        <v>84.724215384615377</v>
      </c>
      <c r="P63" s="5">
        <v>89</v>
      </c>
      <c r="Q63" s="32"/>
      <c r="R63" s="31">
        <f t="shared" si="14"/>
        <v>0.38122764044943824</v>
      </c>
      <c r="S63" s="5">
        <f t="shared" si="8"/>
        <v>84.724215384615377</v>
      </c>
      <c r="T63" s="132"/>
      <c r="U63" s="5">
        <v>73.5</v>
      </c>
      <c r="V63" s="32"/>
      <c r="W63" s="31">
        <f t="shared" si="15"/>
        <v>0.25073823129251704</v>
      </c>
      <c r="X63" s="5">
        <f>$G63/0.75</f>
        <v>73.427653333333339</v>
      </c>
      <c r="Y63" s="132"/>
      <c r="Z63" s="5">
        <v>89</v>
      </c>
      <c r="AA63" s="32"/>
      <c r="AB63" s="31">
        <f t="shared" si="16"/>
        <v>0.38122764044943824</v>
      </c>
      <c r="AC63" s="5">
        <f t="shared" si="17"/>
        <v>88.960426153846143</v>
      </c>
      <c r="AD63" s="132"/>
      <c r="AE63" s="135"/>
    </row>
    <row r="64" spans="1:31" ht="16.5" customHeight="1">
      <c r="A64" s="161"/>
      <c r="B64" s="154"/>
      <c r="C64" s="116">
        <v>105002</v>
      </c>
      <c r="D64" s="116"/>
      <c r="E64" s="46" t="s">
        <v>158</v>
      </c>
      <c r="F64" s="40"/>
      <c r="G64" s="6">
        <f>307.68*0.92*0.95/6</f>
        <v>44.818720000000006</v>
      </c>
      <c r="H64" s="41"/>
      <c r="I64" s="35">
        <f t="shared" si="4"/>
        <v>0</v>
      </c>
      <c r="J64" s="39"/>
      <c r="K64" s="51">
        <v>75</v>
      </c>
      <c r="L64" s="30"/>
      <c r="M64" s="31">
        <f t="shared" si="13"/>
        <v>0.40241706666666655</v>
      </c>
      <c r="N64" s="5">
        <f t="shared" si="7"/>
        <v>68.951876923076924</v>
      </c>
      <c r="P64" s="51">
        <v>75</v>
      </c>
      <c r="Q64" s="30"/>
      <c r="R64" s="31">
        <f t="shared" si="14"/>
        <v>0.40241706666666655</v>
      </c>
      <c r="S64" s="5">
        <f t="shared" si="8"/>
        <v>68.951876923076924</v>
      </c>
      <c r="T64" s="132"/>
      <c r="U64" s="51">
        <v>59.75</v>
      </c>
      <c r="V64" s="30"/>
      <c r="W64" s="31">
        <f t="shared" si="15"/>
        <v>0.24989589958158986</v>
      </c>
      <c r="X64" s="5">
        <f>$G64/0.75</f>
        <v>59.758293333333341</v>
      </c>
      <c r="Y64" s="132"/>
      <c r="Z64" s="51">
        <v>75</v>
      </c>
      <c r="AA64" s="30"/>
      <c r="AB64" s="31">
        <f t="shared" si="16"/>
        <v>0.40241706666666655</v>
      </c>
      <c r="AC64" s="5">
        <f t="shared" si="17"/>
        <v>72.399470769230774</v>
      </c>
      <c r="AD64" s="132"/>
      <c r="AE64" s="135"/>
    </row>
    <row r="65" spans="1:31" ht="16.5" customHeight="1">
      <c r="A65" s="161"/>
      <c r="B65" s="154"/>
      <c r="C65" s="116">
        <v>105003</v>
      </c>
      <c r="D65" s="116"/>
      <c r="E65" s="46" t="s">
        <v>108</v>
      </c>
      <c r="F65" s="40"/>
      <c r="G65" s="6">
        <f>661.2*0.92*0.95/12</f>
        <v>48.157400000000003</v>
      </c>
      <c r="H65" s="41"/>
      <c r="I65" s="35">
        <f t="shared" si="4"/>
        <v>0</v>
      </c>
      <c r="J65" s="30"/>
      <c r="K65" s="51">
        <v>78</v>
      </c>
      <c r="L65" s="30"/>
      <c r="M65" s="31">
        <f t="shared" si="13"/>
        <v>0.38259743589743589</v>
      </c>
      <c r="N65" s="5">
        <f t="shared" si="7"/>
        <v>74.088307692307694</v>
      </c>
      <c r="P65" s="51">
        <v>78</v>
      </c>
      <c r="Q65" s="30"/>
      <c r="R65" s="31">
        <f t="shared" si="14"/>
        <v>0.38259743589743589</v>
      </c>
      <c r="S65" s="5">
        <f t="shared" si="8"/>
        <v>74.088307692307694</v>
      </c>
      <c r="T65" s="132"/>
      <c r="U65" s="51">
        <v>64.5</v>
      </c>
      <c r="V65" s="30"/>
      <c r="W65" s="31">
        <f t="shared" si="15"/>
        <v>0.25337364341085267</v>
      </c>
      <c r="X65" s="5">
        <f>$G65/0.75</f>
        <v>64.20986666666667</v>
      </c>
      <c r="Y65" s="132"/>
      <c r="Z65" s="51">
        <v>78</v>
      </c>
      <c r="AA65" s="30"/>
      <c r="AB65" s="31">
        <f t="shared" si="16"/>
        <v>0.38259743589743589</v>
      </c>
      <c r="AC65" s="5">
        <f t="shared" si="17"/>
        <v>77.792723076923082</v>
      </c>
      <c r="AD65" s="132"/>
      <c r="AE65" s="135"/>
    </row>
    <row r="66" spans="1:31" ht="16.5" customHeight="1">
      <c r="A66" s="161"/>
      <c r="B66" s="154"/>
      <c r="C66" s="116">
        <v>105004</v>
      </c>
      <c r="D66" s="116"/>
      <c r="E66" s="4" t="s">
        <v>109</v>
      </c>
      <c r="F66" s="33"/>
      <c r="G66" s="1">
        <f>1134.72/12*0.92*0.95</f>
        <v>82.645440000000008</v>
      </c>
      <c r="H66" s="34"/>
      <c r="I66" s="35">
        <f t="shared" si="4"/>
        <v>0</v>
      </c>
      <c r="J66" s="30"/>
      <c r="K66" s="5">
        <v>139</v>
      </c>
      <c r="L66" s="30"/>
      <c r="M66" s="31">
        <f t="shared" si="13"/>
        <v>0.40542848920863306</v>
      </c>
      <c r="N66" s="5">
        <f t="shared" si="7"/>
        <v>127.14683076923077</v>
      </c>
      <c r="P66" s="5">
        <v>139</v>
      </c>
      <c r="Q66" s="30"/>
      <c r="R66" s="31">
        <f t="shared" si="14"/>
        <v>0.40542848920863306</v>
      </c>
      <c r="S66" s="5">
        <f t="shared" si="8"/>
        <v>127.14683076923077</v>
      </c>
      <c r="T66" s="132"/>
      <c r="U66" s="5">
        <v>110.5</v>
      </c>
      <c r="V66" s="30"/>
      <c r="W66" s="31">
        <f t="shared" si="15"/>
        <v>0.25207746606334835</v>
      </c>
      <c r="X66" s="5">
        <f>$G66/0.75</f>
        <v>110.19392000000001</v>
      </c>
      <c r="Y66" s="132"/>
      <c r="Z66" s="5">
        <v>139</v>
      </c>
      <c r="AA66" s="30"/>
      <c r="AB66" s="31">
        <f t="shared" si="16"/>
        <v>0.40542848920863306</v>
      </c>
      <c r="AC66" s="5">
        <f t="shared" si="17"/>
        <v>133.50417230769233</v>
      </c>
      <c r="AD66" s="132"/>
      <c r="AE66" s="135"/>
    </row>
    <row r="67" spans="1:31" ht="16.5" customHeight="1" thickBot="1">
      <c r="A67" s="161"/>
      <c r="B67" s="154"/>
      <c r="C67" s="117">
        <v>105005</v>
      </c>
      <c r="D67" s="117"/>
      <c r="E67" s="4" t="s">
        <v>110</v>
      </c>
      <c r="F67" s="33"/>
      <c r="G67" s="1">
        <f>847.86*0.92*0.95/2</f>
        <v>370.51481999999999</v>
      </c>
      <c r="H67" s="34"/>
      <c r="I67" s="35">
        <f t="shared" si="4"/>
        <v>0</v>
      </c>
      <c r="J67" s="30"/>
      <c r="K67" s="5">
        <v>595</v>
      </c>
      <c r="L67" s="30"/>
      <c r="M67" s="31">
        <f t="shared" si="13"/>
        <v>0.37728601680672269</v>
      </c>
      <c r="N67" s="5">
        <f t="shared" si="7"/>
        <v>570.02279999999996</v>
      </c>
      <c r="P67" s="5">
        <v>595</v>
      </c>
      <c r="Q67" s="30"/>
      <c r="R67" s="31">
        <f t="shared" si="14"/>
        <v>0.37728601680672269</v>
      </c>
      <c r="S67" s="5">
        <f t="shared" si="8"/>
        <v>570.02279999999996</v>
      </c>
      <c r="T67" s="132"/>
      <c r="U67" s="5">
        <v>494</v>
      </c>
      <c r="V67" s="30"/>
      <c r="W67" s="31">
        <f t="shared" si="15"/>
        <v>0.24997000000000003</v>
      </c>
      <c r="X67" s="5">
        <f>$G67/0.75</f>
        <v>494.01975999999996</v>
      </c>
      <c r="Y67" s="132"/>
      <c r="Z67" s="5">
        <v>595</v>
      </c>
      <c r="AA67" s="30"/>
      <c r="AB67" s="31">
        <f t="shared" si="16"/>
        <v>0.37728601680672269</v>
      </c>
      <c r="AC67" s="5">
        <f t="shared" si="17"/>
        <v>598.52394000000004</v>
      </c>
      <c r="AD67" s="132"/>
      <c r="AE67" s="135"/>
    </row>
    <row r="68" spans="1:31" ht="15" customHeight="1">
      <c r="A68" s="160" t="s">
        <v>67</v>
      </c>
      <c r="B68" s="153" t="s">
        <v>19</v>
      </c>
      <c r="C68" s="117">
        <v>106001</v>
      </c>
      <c r="D68" s="117"/>
      <c r="E68" s="25" t="s">
        <v>23</v>
      </c>
      <c r="F68" s="26"/>
      <c r="G68" s="27">
        <v>0</v>
      </c>
      <c r="H68" s="28"/>
      <c r="I68" s="35">
        <f t="shared" si="4"/>
        <v>0</v>
      </c>
      <c r="J68" s="30"/>
      <c r="K68" s="5"/>
      <c r="L68" s="30"/>
      <c r="M68" s="31" t="e">
        <f t="shared" si="13"/>
        <v>#DIV/0!</v>
      </c>
      <c r="N68" s="5">
        <f t="shared" ref="N68:N79" si="18">$G68/0.73</f>
        <v>0</v>
      </c>
      <c r="P68" s="5"/>
      <c r="Q68" s="30"/>
      <c r="R68" s="31" t="e">
        <f t="shared" si="14"/>
        <v>#DIV/0!</v>
      </c>
      <c r="S68" s="5">
        <f t="shared" ref="S68:S79" si="19">$G68/0.73</f>
        <v>0</v>
      </c>
      <c r="T68" s="132"/>
      <c r="U68" s="5"/>
      <c r="V68" s="30"/>
      <c r="W68" s="31" t="e">
        <f t="shared" si="15"/>
        <v>#DIV/0!</v>
      </c>
      <c r="X68" s="5">
        <f t="shared" ref="X68:X79" si="20">$G68/0.73</f>
        <v>0</v>
      </c>
      <c r="Y68" s="132"/>
      <c r="Z68" s="5"/>
      <c r="AA68" s="30"/>
      <c r="AB68" s="31" t="e">
        <f t="shared" si="16"/>
        <v>#DIV/0!</v>
      </c>
      <c r="AC68" s="5">
        <f t="shared" si="17"/>
        <v>0</v>
      </c>
      <c r="AD68" s="132"/>
      <c r="AE68" s="135"/>
    </row>
    <row r="69" spans="1:31" ht="15" customHeight="1">
      <c r="A69" s="161"/>
      <c r="B69" s="154"/>
      <c r="C69" s="115">
        <v>106002</v>
      </c>
      <c r="D69" s="115"/>
      <c r="E69" s="32" t="s">
        <v>24</v>
      </c>
      <c r="F69" s="33"/>
      <c r="G69" s="1">
        <v>0</v>
      </c>
      <c r="H69" s="34"/>
      <c r="I69" s="35">
        <f t="shared" si="4"/>
        <v>0</v>
      </c>
      <c r="J69" s="30"/>
      <c r="K69" s="5"/>
      <c r="L69" s="30"/>
      <c r="M69" s="31" t="e">
        <f t="shared" si="13"/>
        <v>#DIV/0!</v>
      </c>
      <c r="N69" s="5">
        <f t="shared" si="18"/>
        <v>0</v>
      </c>
      <c r="P69" s="5"/>
      <c r="Q69" s="30"/>
      <c r="R69" s="31" t="e">
        <f t="shared" si="14"/>
        <v>#DIV/0!</v>
      </c>
      <c r="S69" s="5">
        <f t="shared" si="19"/>
        <v>0</v>
      </c>
      <c r="T69" s="132"/>
      <c r="U69" s="5"/>
      <c r="V69" s="30"/>
      <c r="W69" s="31" t="e">
        <f t="shared" si="15"/>
        <v>#DIV/0!</v>
      </c>
      <c r="X69" s="5">
        <f t="shared" si="20"/>
        <v>0</v>
      </c>
      <c r="Y69" s="132"/>
      <c r="Z69" s="5"/>
      <c r="AA69" s="30"/>
      <c r="AB69" s="31" t="e">
        <f t="shared" si="16"/>
        <v>#DIV/0!</v>
      </c>
      <c r="AC69" s="5">
        <f t="shared" si="17"/>
        <v>0</v>
      </c>
      <c r="AD69" s="132"/>
      <c r="AE69" s="135"/>
    </row>
    <row r="70" spans="1:31" ht="15" customHeight="1">
      <c r="A70" s="161"/>
      <c r="B70" s="154"/>
      <c r="C70" s="115">
        <v>106003</v>
      </c>
      <c r="D70" s="115"/>
      <c r="E70" s="32" t="s">
        <v>25</v>
      </c>
      <c r="F70" s="33"/>
      <c r="G70" s="1">
        <v>0</v>
      </c>
      <c r="H70" s="34"/>
      <c r="I70" s="35">
        <f t="shared" si="4"/>
        <v>0</v>
      </c>
      <c r="J70" s="30"/>
      <c r="K70" s="5"/>
      <c r="L70" s="30"/>
      <c r="M70" s="31" t="e">
        <f t="shared" si="13"/>
        <v>#DIV/0!</v>
      </c>
      <c r="N70" s="5">
        <f t="shared" si="18"/>
        <v>0</v>
      </c>
      <c r="P70" s="5"/>
      <c r="Q70" s="30"/>
      <c r="R70" s="31" t="e">
        <f t="shared" si="14"/>
        <v>#DIV/0!</v>
      </c>
      <c r="S70" s="5">
        <f t="shared" si="19"/>
        <v>0</v>
      </c>
      <c r="T70" s="132"/>
      <c r="U70" s="5"/>
      <c r="V70" s="30"/>
      <c r="W70" s="31" t="e">
        <f t="shared" si="15"/>
        <v>#DIV/0!</v>
      </c>
      <c r="X70" s="5">
        <f t="shared" si="20"/>
        <v>0</v>
      </c>
      <c r="Y70" s="132"/>
      <c r="Z70" s="5"/>
      <c r="AA70" s="30"/>
      <c r="AB70" s="31" t="e">
        <f t="shared" si="16"/>
        <v>#DIV/0!</v>
      </c>
      <c r="AC70" s="5">
        <f t="shared" si="17"/>
        <v>0</v>
      </c>
      <c r="AD70" s="132"/>
      <c r="AE70" s="135"/>
    </row>
    <row r="71" spans="1:31" ht="15" customHeight="1">
      <c r="A71" s="161"/>
      <c r="B71" s="159"/>
      <c r="C71" s="115">
        <v>106004</v>
      </c>
      <c r="D71" s="115"/>
      <c r="E71" s="32" t="s">
        <v>26</v>
      </c>
      <c r="F71" s="33"/>
      <c r="G71" s="1">
        <v>85</v>
      </c>
      <c r="H71" s="52"/>
      <c r="I71" s="35">
        <f t="shared" si="4"/>
        <v>0</v>
      </c>
      <c r="J71" s="30"/>
      <c r="K71" s="5">
        <v>116</v>
      </c>
      <c r="L71" s="30"/>
      <c r="M71" s="31">
        <f t="shared" si="13"/>
        <v>0.26724137931034486</v>
      </c>
      <c r="N71" s="5">
        <f t="shared" si="18"/>
        <v>116.43835616438356</v>
      </c>
      <c r="P71" s="5">
        <v>110</v>
      </c>
      <c r="Q71" s="30"/>
      <c r="R71" s="31">
        <f t="shared" si="14"/>
        <v>0.22727272727272729</v>
      </c>
      <c r="S71" s="5">
        <f t="shared" si="19"/>
        <v>116.43835616438356</v>
      </c>
      <c r="T71" s="132"/>
      <c r="U71" s="5">
        <v>116</v>
      </c>
      <c r="V71" s="30"/>
      <c r="W71" s="31">
        <f t="shared" si="15"/>
        <v>0.26724137931034486</v>
      </c>
      <c r="X71" s="5">
        <f t="shared" si="20"/>
        <v>116.43835616438356</v>
      </c>
      <c r="Y71" s="132"/>
      <c r="Z71" s="5">
        <v>116</v>
      </c>
      <c r="AA71" s="30"/>
      <c r="AB71" s="31">
        <f t="shared" si="16"/>
        <v>0.26724137931034486</v>
      </c>
      <c r="AC71" s="5">
        <f t="shared" si="17"/>
        <v>137.30769230769232</v>
      </c>
      <c r="AD71" s="132"/>
      <c r="AE71" s="135"/>
    </row>
    <row r="72" spans="1:31" ht="15" customHeight="1">
      <c r="A72" s="161"/>
      <c r="B72" s="158" t="s">
        <v>61</v>
      </c>
      <c r="C72" s="115">
        <v>107001</v>
      </c>
      <c r="D72" s="115"/>
      <c r="E72" s="32" t="s">
        <v>27</v>
      </c>
      <c r="F72" s="33"/>
      <c r="G72" s="1">
        <v>0</v>
      </c>
      <c r="H72" s="52"/>
      <c r="I72" s="35">
        <f t="shared" si="4"/>
        <v>0</v>
      </c>
      <c r="J72" s="30"/>
      <c r="K72" s="5"/>
      <c r="L72" s="30"/>
      <c r="M72" s="31" t="e">
        <f t="shared" si="13"/>
        <v>#DIV/0!</v>
      </c>
      <c r="N72" s="5">
        <f t="shared" si="18"/>
        <v>0</v>
      </c>
      <c r="P72" s="5"/>
      <c r="Q72" s="30"/>
      <c r="R72" s="31" t="e">
        <f t="shared" si="14"/>
        <v>#DIV/0!</v>
      </c>
      <c r="S72" s="5">
        <f t="shared" si="19"/>
        <v>0</v>
      </c>
      <c r="T72" s="132"/>
      <c r="U72" s="5"/>
      <c r="V72" s="30"/>
      <c r="W72" s="31" t="e">
        <f t="shared" si="15"/>
        <v>#DIV/0!</v>
      </c>
      <c r="X72" s="5">
        <f t="shared" si="20"/>
        <v>0</v>
      </c>
      <c r="Y72" s="132"/>
      <c r="Z72" s="5"/>
      <c r="AA72" s="30"/>
      <c r="AB72" s="31" t="e">
        <f t="shared" si="16"/>
        <v>#DIV/0!</v>
      </c>
      <c r="AC72" s="5">
        <f t="shared" si="17"/>
        <v>0</v>
      </c>
      <c r="AD72" s="132"/>
      <c r="AE72" s="135"/>
    </row>
    <row r="73" spans="1:31" ht="15" customHeight="1">
      <c r="A73" s="161"/>
      <c r="B73" s="159"/>
      <c r="C73" s="115">
        <v>107002</v>
      </c>
      <c r="D73" s="115"/>
      <c r="E73" s="32" t="s">
        <v>28</v>
      </c>
      <c r="F73" s="33"/>
      <c r="G73" s="1">
        <v>31.8</v>
      </c>
      <c r="H73" s="52"/>
      <c r="I73" s="35">
        <f t="shared" si="4"/>
        <v>0</v>
      </c>
      <c r="J73" s="30"/>
      <c r="K73" s="5">
        <v>44</v>
      </c>
      <c r="L73" s="30"/>
      <c r="M73" s="31">
        <f t="shared" si="13"/>
        <v>0.27727272727272723</v>
      </c>
      <c r="N73" s="5">
        <f t="shared" si="18"/>
        <v>43.561643835616444</v>
      </c>
      <c r="P73" s="5">
        <v>39</v>
      </c>
      <c r="Q73" s="30"/>
      <c r="R73" s="31">
        <f t="shared" si="14"/>
        <v>0.18461538461538463</v>
      </c>
      <c r="S73" s="5">
        <f t="shared" si="19"/>
        <v>43.561643835616444</v>
      </c>
      <c r="T73" s="132"/>
      <c r="U73" s="5">
        <v>44</v>
      </c>
      <c r="V73" s="30"/>
      <c r="W73" s="31">
        <f t="shared" si="15"/>
        <v>0.27727272727272723</v>
      </c>
      <c r="X73" s="5">
        <f t="shared" si="20"/>
        <v>43.561643835616444</v>
      </c>
      <c r="Y73" s="132"/>
      <c r="Z73" s="5">
        <v>44</v>
      </c>
      <c r="AA73" s="30"/>
      <c r="AB73" s="31">
        <f t="shared" si="16"/>
        <v>0.27727272727272723</v>
      </c>
      <c r="AC73" s="5">
        <f t="shared" si="17"/>
        <v>51.369230769230768</v>
      </c>
      <c r="AD73" s="132"/>
      <c r="AE73" s="135"/>
    </row>
    <row r="74" spans="1:31" ht="15" customHeight="1">
      <c r="A74" s="161"/>
      <c r="B74" s="103"/>
      <c r="C74" s="115">
        <v>107003</v>
      </c>
      <c r="D74" s="115"/>
      <c r="E74" s="32" t="s">
        <v>121</v>
      </c>
      <c r="F74" s="33"/>
      <c r="G74" s="1">
        <v>0</v>
      </c>
      <c r="H74" s="52"/>
      <c r="I74" s="35">
        <f t="shared" si="4"/>
        <v>0</v>
      </c>
      <c r="J74" s="30"/>
      <c r="K74" s="5"/>
      <c r="L74" s="30"/>
      <c r="M74" s="31" t="e">
        <f t="shared" si="13"/>
        <v>#DIV/0!</v>
      </c>
      <c r="N74" s="5">
        <f t="shared" si="18"/>
        <v>0</v>
      </c>
      <c r="P74" s="5"/>
      <c r="Q74" s="30"/>
      <c r="R74" s="31" t="e">
        <f t="shared" si="14"/>
        <v>#DIV/0!</v>
      </c>
      <c r="S74" s="5">
        <f t="shared" si="19"/>
        <v>0</v>
      </c>
      <c r="T74" s="132"/>
      <c r="U74" s="5"/>
      <c r="V74" s="30"/>
      <c r="W74" s="31" t="e">
        <f t="shared" si="15"/>
        <v>#DIV/0!</v>
      </c>
      <c r="X74" s="5">
        <f t="shared" si="20"/>
        <v>0</v>
      </c>
      <c r="Y74" s="132"/>
      <c r="Z74" s="5"/>
      <c r="AA74" s="30"/>
      <c r="AB74" s="31" t="e">
        <f t="shared" si="16"/>
        <v>#DIV/0!</v>
      </c>
      <c r="AC74" s="5">
        <f t="shared" si="17"/>
        <v>0</v>
      </c>
      <c r="AD74" s="132"/>
      <c r="AE74" s="135"/>
    </row>
    <row r="75" spans="1:31" ht="15" customHeight="1">
      <c r="A75" s="161"/>
      <c r="B75" s="158" t="s">
        <v>20</v>
      </c>
      <c r="C75" s="115">
        <v>108001</v>
      </c>
      <c r="D75" s="115"/>
      <c r="E75" s="32" t="s">
        <v>29</v>
      </c>
      <c r="F75" s="33"/>
      <c r="G75" s="1">
        <v>42.6</v>
      </c>
      <c r="H75" s="52"/>
      <c r="I75" s="35">
        <f t="shared" si="4"/>
        <v>0</v>
      </c>
      <c r="J75" s="30"/>
      <c r="K75" s="5">
        <v>58</v>
      </c>
      <c r="L75" s="30"/>
      <c r="M75" s="31">
        <f t="shared" si="13"/>
        <v>0.26551724137931032</v>
      </c>
      <c r="N75" s="5">
        <f t="shared" si="18"/>
        <v>58.356164383561648</v>
      </c>
      <c r="P75" s="5">
        <v>57</v>
      </c>
      <c r="Q75" s="30"/>
      <c r="R75" s="31">
        <f t="shared" si="14"/>
        <v>0.25263157894736843</v>
      </c>
      <c r="S75" s="5">
        <f t="shared" si="19"/>
        <v>58.356164383561648</v>
      </c>
      <c r="T75" s="132"/>
      <c r="U75" s="5">
        <v>58</v>
      </c>
      <c r="V75" s="30"/>
      <c r="W75" s="31">
        <f t="shared" si="15"/>
        <v>0.26551724137931032</v>
      </c>
      <c r="X75" s="5">
        <f t="shared" si="20"/>
        <v>58.356164383561648</v>
      </c>
      <c r="Y75" s="132"/>
      <c r="Z75" s="5">
        <v>58</v>
      </c>
      <c r="AA75" s="30"/>
      <c r="AB75" s="31">
        <f t="shared" si="16"/>
        <v>0.26551724137931032</v>
      </c>
      <c r="AC75" s="5">
        <f t="shared" si="17"/>
        <v>68.815384615384616</v>
      </c>
      <c r="AD75" s="132"/>
      <c r="AE75" s="135"/>
    </row>
    <row r="76" spans="1:31" ht="15" customHeight="1">
      <c r="A76" s="161"/>
      <c r="B76" s="154"/>
      <c r="C76" s="115">
        <v>108002</v>
      </c>
      <c r="D76" s="115"/>
      <c r="E76" s="32" t="s">
        <v>30</v>
      </c>
      <c r="F76" s="33"/>
      <c r="G76" s="1">
        <v>0</v>
      </c>
      <c r="H76" s="52"/>
      <c r="I76" s="35">
        <f t="shared" si="4"/>
        <v>0</v>
      </c>
      <c r="J76" s="30"/>
      <c r="K76" s="5"/>
      <c r="L76" s="30"/>
      <c r="M76" s="31" t="e">
        <f t="shared" si="13"/>
        <v>#DIV/0!</v>
      </c>
      <c r="N76" s="5">
        <f t="shared" si="18"/>
        <v>0</v>
      </c>
      <c r="P76" s="5"/>
      <c r="Q76" s="30"/>
      <c r="R76" s="31" t="e">
        <f t="shared" si="14"/>
        <v>#DIV/0!</v>
      </c>
      <c r="S76" s="5">
        <f t="shared" si="19"/>
        <v>0</v>
      </c>
      <c r="T76" s="132"/>
      <c r="U76" s="5"/>
      <c r="V76" s="30"/>
      <c r="W76" s="31" t="e">
        <f t="shared" si="15"/>
        <v>#DIV/0!</v>
      </c>
      <c r="X76" s="5">
        <f t="shared" si="20"/>
        <v>0</v>
      </c>
      <c r="Y76" s="132"/>
      <c r="Z76" s="5"/>
      <c r="AA76" s="30"/>
      <c r="AB76" s="31" t="e">
        <f t="shared" si="16"/>
        <v>#DIV/0!</v>
      </c>
      <c r="AC76" s="5">
        <f t="shared" si="17"/>
        <v>0</v>
      </c>
      <c r="AD76" s="132"/>
      <c r="AE76" s="135"/>
    </row>
    <row r="77" spans="1:31" ht="15" customHeight="1">
      <c r="A77" s="161"/>
      <c r="B77" s="154"/>
      <c r="C77" s="115">
        <v>108003</v>
      </c>
      <c r="D77" s="115"/>
      <c r="E77" s="32" t="s">
        <v>31</v>
      </c>
      <c r="F77" s="33"/>
      <c r="G77" s="1">
        <v>0</v>
      </c>
      <c r="H77" s="52"/>
      <c r="I77" s="35">
        <f t="shared" si="4"/>
        <v>0</v>
      </c>
      <c r="J77" s="30"/>
      <c r="K77" s="5"/>
      <c r="L77" s="30"/>
      <c r="M77" s="31" t="e">
        <f t="shared" si="13"/>
        <v>#DIV/0!</v>
      </c>
      <c r="N77" s="5">
        <f t="shared" si="18"/>
        <v>0</v>
      </c>
      <c r="P77" s="5"/>
      <c r="Q77" s="30"/>
      <c r="R77" s="31" t="e">
        <f t="shared" si="14"/>
        <v>#DIV/0!</v>
      </c>
      <c r="S77" s="5">
        <f t="shared" si="19"/>
        <v>0</v>
      </c>
      <c r="T77" s="132"/>
      <c r="U77" s="5"/>
      <c r="V77" s="30"/>
      <c r="W77" s="31" t="e">
        <f t="shared" si="15"/>
        <v>#DIV/0!</v>
      </c>
      <c r="X77" s="5">
        <f t="shared" si="20"/>
        <v>0</v>
      </c>
      <c r="Y77" s="132"/>
      <c r="Z77" s="5"/>
      <c r="AA77" s="30"/>
      <c r="AB77" s="31" t="e">
        <f t="shared" si="16"/>
        <v>#DIV/0!</v>
      </c>
      <c r="AC77" s="5">
        <f t="shared" si="17"/>
        <v>0</v>
      </c>
      <c r="AD77" s="132"/>
      <c r="AE77" s="135"/>
    </row>
    <row r="78" spans="1:31" ht="15" customHeight="1">
      <c r="A78" s="161"/>
      <c r="B78" s="154"/>
      <c r="C78" s="115">
        <v>108004</v>
      </c>
      <c r="D78" s="115"/>
      <c r="E78" s="32" t="s">
        <v>32</v>
      </c>
      <c r="F78" s="33"/>
      <c r="G78" s="1">
        <v>0</v>
      </c>
      <c r="H78" s="52"/>
      <c r="I78" s="35">
        <f t="shared" si="4"/>
        <v>0</v>
      </c>
      <c r="J78" s="30"/>
      <c r="K78" s="5"/>
      <c r="L78" s="30"/>
      <c r="M78" s="31" t="e">
        <f t="shared" si="13"/>
        <v>#DIV/0!</v>
      </c>
      <c r="N78" s="5">
        <f t="shared" si="18"/>
        <v>0</v>
      </c>
      <c r="P78" s="5"/>
      <c r="Q78" s="30"/>
      <c r="R78" s="31" t="e">
        <f t="shared" si="14"/>
        <v>#DIV/0!</v>
      </c>
      <c r="S78" s="5">
        <f t="shared" si="19"/>
        <v>0</v>
      </c>
      <c r="T78" s="132"/>
      <c r="U78" s="5"/>
      <c r="V78" s="30"/>
      <c r="W78" s="31" t="e">
        <f t="shared" si="15"/>
        <v>#DIV/0!</v>
      </c>
      <c r="X78" s="5">
        <f t="shared" si="20"/>
        <v>0</v>
      </c>
      <c r="Y78" s="132"/>
      <c r="Z78" s="5"/>
      <c r="AA78" s="30"/>
      <c r="AB78" s="31" t="e">
        <f t="shared" si="16"/>
        <v>#DIV/0!</v>
      </c>
      <c r="AC78" s="5">
        <f t="shared" si="17"/>
        <v>0</v>
      </c>
      <c r="AD78" s="132"/>
      <c r="AE78" s="135"/>
    </row>
    <row r="79" spans="1:31" ht="15" customHeight="1">
      <c r="A79" s="161"/>
      <c r="B79" s="159"/>
      <c r="C79" s="115">
        <v>108005</v>
      </c>
      <c r="D79" s="115"/>
      <c r="E79" s="32" t="s">
        <v>33</v>
      </c>
      <c r="F79" s="33"/>
      <c r="G79" s="1">
        <v>0</v>
      </c>
      <c r="H79" s="52"/>
      <c r="I79" s="35">
        <f t="shared" si="4"/>
        <v>0</v>
      </c>
      <c r="J79" s="30"/>
      <c r="K79" s="5"/>
      <c r="L79" s="30"/>
      <c r="M79" s="31" t="e">
        <f t="shared" si="13"/>
        <v>#DIV/0!</v>
      </c>
      <c r="N79" s="5">
        <f t="shared" si="18"/>
        <v>0</v>
      </c>
      <c r="P79" s="5"/>
      <c r="Q79" s="30"/>
      <c r="R79" s="31" t="e">
        <f t="shared" si="14"/>
        <v>#DIV/0!</v>
      </c>
      <c r="S79" s="5">
        <f t="shared" si="19"/>
        <v>0</v>
      </c>
      <c r="T79" s="132"/>
      <c r="U79" s="5"/>
      <c r="V79" s="30"/>
      <c r="W79" s="31" t="e">
        <f t="shared" si="15"/>
        <v>#DIV/0!</v>
      </c>
      <c r="X79" s="5">
        <f t="shared" si="20"/>
        <v>0</v>
      </c>
      <c r="Y79" s="132"/>
      <c r="Z79" s="5"/>
      <c r="AA79" s="30"/>
      <c r="AB79" s="31" t="e">
        <f t="shared" si="16"/>
        <v>#DIV/0!</v>
      </c>
      <c r="AC79" s="5">
        <f t="shared" si="17"/>
        <v>0</v>
      </c>
      <c r="AD79" s="132"/>
      <c r="AE79" s="135"/>
    </row>
    <row r="80" spans="1:31" ht="15" customHeight="1">
      <c r="A80" s="161"/>
      <c r="B80" s="158" t="s">
        <v>21</v>
      </c>
      <c r="C80" s="115">
        <v>109001</v>
      </c>
      <c r="D80" s="115"/>
      <c r="E80" s="32" t="s">
        <v>34</v>
      </c>
      <c r="F80" s="33"/>
      <c r="G80" s="1">
        <v>115.5</v>
      </c>
      <c r="H80" s="52"/>
      <c r="I80" s="35">
        <f t="shared" si="4"/>
        <v>0</v>
      </c>
      <c r="J80" s="30"/>
      <c r="K80" s="5">
        <v>158</v>
      </c>
      <c r="L80" s="30"/>
      <c r="M80" s="31">
        <f t="shared" si="13"/>
        <v>0.26898734177215189</v>
      </c>
      <c r="N80" s="5">
        <f>$G80/0.73</f>
        <v>158.21917808219177</v>
      </c>
      <c r="P80" s="5">
        <v>150</v>
      </c>
      <c r="Q80" s="30"/>
      <c r="R80" s="31">
        <f t="shared" si="14"/>
        <v>0.22999999999999998</v>
      </c>
      <c r="S80" s="5">
        <f>$G80/0.73</f>
        <v>158.21917808219177</v>
      </c>
      <c r="T80" s="132"/>
      <c r="U80" s="5">
        <v>158</v>
      </c>
      <c r="V80" s="30"/>
      <c r="W80" s="31">
        <f t="shared" si="15"/>
        <v>0.26898734177215189</v>
      </c>
      <c r="X80" s="5">
        <f>$G80/0.73</f>
        <v>158.21917808219177</v>
      </c>
      <c r="Y80" s="132"/>
      <c r="Z80" s="5">
        <v>158</v>
      </c>
      <c r="AA80" s="30"/>
      <c r="AB80" s="31">
        <f t="shared" si="16"/>
        <v>0.26898734177215189</v>
      </c>
      <c r="AC80" s="5">
        <f t="shared" si="17"/>
        <v>186.57692307692307</v>
      </c>
      <c r="AD80" s="132"/>
      <c r="AE80" s="135"/>
    </row>
    <row r="81" spans="1:31" ht="15" customHeight="1">
      <c r="A81" s="161"/>
      <c r="B81" s="154"/>
      <c r="C81" s="115">
        <v>109002</v>
      </c>
      <c r="D81" s="115"/>
      <c r="E81" s="32" t="s">
        <v>35</v>
      </c>
      <c r="F81" s="33"/>
      <c r="G81" s="1">
        <f>G80</f>
        <v>115.5</v>
      </c>
      <c r="H81" s="52"/>
      <c r="I81" s="35">
        <f t="shared" ref="I81:I127" si="21">G81*H81</f>
        <v>0</v>
      </c>
      <c r="J81" s="30"/>
      <c r="K81" s="5">
        <f>K80</f>
        <v>158</v>
      </c>
      <c r="L81" s="30"/>
      <c r="M81" s="31">
        <f t="shared" si="13"/>
        <v>0.26898734177215189</v>
      </c>
      <c r="N81" s="5">
        <f>$G81/0.73</f>
        <v>158.21917808219177</v>
      </c>
      <c r="P81" s="5">
        <f>P80</f>
        <v>150</v>
      </c>
      <c r="Q81" s="30"/>
      <c r="R81" s="31">
        <f t="shared" si="14"/>
        <v>0.22999999999999998</v>
      </c>
      <c r="S81" s="5">
        <f>$G81/0.73</f>
        <v>158.21917808219177</v>
      </c>
      <c r="T81" s="132"/>
      <c r="U81" s="5">
        <f>U80</f>
        <v>158</v>
      </c>
      <c r="V81" s="30"/>
      <c r="W81" s="31">
        <f t="shared" si="15"/>
        <v>0.26898734177215189</v>
      </c>
      <c r="X81" s="5">
        <f>$G81/0.73</f>
        <v>158.21917808219177</v>
      </c>
      <c r="Y81" s="132"/>
      <c r="Z81" s="5">
        <f>Z80</f>
        <v>158</v>
      </c>
      <c r="AA81" s="30"/>
      <c r="AB81" s="31">
        <f t="shared" si="16"/>
        <v>0.26898734177215189</v>
      </c>
      <c r="AC81" s="5">
        <f t="shared" si="17"/>
        <v>186.57692307692307</v>
      </c>
      <c r="AD81" s="132"/>
      <c r="AE81" s="135"/>
    </row>
    <row r="82" spans="1:31" ht="15" customHeight="1">
      <c r="A82" s="161"/>
      <c r="B82" s="154"/>
      <c r="C82" s="115">
        <v>109003</v>
      </c>
      <c r="D82" s="115"/>
      <c r="E82" s="32" t="s">
        <v>36</v>
      </c>
      <c r="F82" s="33"/>
      <c r="G82" s="1">
        <v>85.7</v>
      </c>
      <c r="H82" s="52"/>
      <c r="I82" s="35">
        <f t="shared" si="21"/>
        <v>0</v>
      </c>
      <c r="J82" s="30"/>
      <c r="K82" s="5">
        <v>117</v>
      </c>
      <c r="L82" s="30"/>
      <c r="M82" s="31">
        <f t="shared" si="13"/>
        <v>0.26752136752136746</v>
      </c>
      <c r="N82" s="5">
        <f>$G82/0.73</f>
        <v>117.39726027397261</v>
      </c>
      <c r="P82" s="5">
        <v>109</v>
      </c>
      <c r="Q82" s="30"/>
      <c r="R82" s="31">
        <f t="shared" si="14"/>
        <v>0.21376146788990824</v>
      </c>
      <c r="S82" s="5">
        <f>$G82/0.73</f>
        <v>117.39726027397261</v>
      </c>
      <c r="T82" s="132"/>
      <c r="U82" s="5">
        <v>117</v>
      </c>
      <c r="V82" s="30"/>
      <c r="W82" s="31">
        <f t="shared" si="15"/>
        <v>0.26752136752136746</v>
      </c>
      <c r="X82" s="5">
        <f>$G82/0.73</f>
        <v>117.39726027397261</v>
      </c>
      <c r="Y82" s="132"/>
      <c r="Z82" s="5">
        <v>117</v>
      </c>
      <c r="AA82" s="30"/>
      <c r="AB82" s="31">
        <f t="shared" si="16"/>
        <v>0.26752136752136746</v>
      </c>
      <c r="AC82" s="5">
        <f t="shared" si="17"/>
        <v>138.43846153846152</v>
      </c>
      <c r="AD82" s="132"/>
      <c r="AE82" s="135"/>
    </row>
    <row r="83" spans="1:31" ht="15" customHeight="1">
      <c r="A83" s="161"/>
      <c r="B83" s="154"/>
      <c r="C83" s="115">
        <v>109004</v>
      </c>
      <c r="D83" s="115"/>
      <c r="E83" s="32" t="s">
        <v>37</v>
      </c>
      <c r="F83" s="33"/>
      <c r="G83" s="1">
        <v>97.5</v>
      </c>
      <c r="H83" s="52"/>
      <c r="I83" s="35">
        <f t="shared" si="21"/>
        <v>0</v>
      </c>
      <c r="J83" s="30"/>
      <c r="K83" s="5">
        <v>133</v>
      </c>
      <c r="L83" s="30"/>
      <c r="M83" s="31">
        <f t="shared" si="13"/>
        <v>0.26691729323308266</v>
      </c>
      <c r="N83" s="5">
        <f>$G83/0.73</f>
        <v>133.56164383561645</v>
      </c>
      <c r="P83" s="5">
        <v>129</v>
      </c>
      <c r="Q83" s="30"/>
      <c r="R83" s="31">
        <f t="shared" si="14"/>
        <v>0.2441860465116279</v>
      </c>
      <c r="S83" s="5">
        <f>$G83/0.73</f>
        <v>133.56164383561645</v>
      </c>
      <c r="T83" s="132"/>
      <c r="U83" s="5">
        <v>133</v>
      </c>
      <c r="V83" s="30"/>
      <c r="W83" s="31">
        <f t="shared" si="15"/>
        <v>0.26691729323308266</v>
      </c>
      <c r="X83" s="5">
        <f>$G83/0.73</f>
        <v>133.56164383561645</v>
      </c>
      <c r="Y83" s="132"/>
      <c r="Z83" s="5">
        <v>133</v>
      </c>
      <c r="AA83" s="30"/>
      <c r="AB83" s="31">
        <f t="shared" si="16"/>
        <v>0.26691729323308266</v>
      </c>
      <c r="AC83" s="5">
        <f t="shared" si="17"/>
        <v>157.5</v>
      </c>
      <c r="AD83" s="132"/>
      <c r="AE83" s="135"/>
    </row>
    <row r="84" spans="1:31" ht="15" customHeight="1" thickBot="1">
      <c r="A84" s="161"/>
      <c r="B84" s="169"/>
      <c r="C84" s="115">
        <v>109005</v>
      </c>
      <c r="D84" s="119"/>
      <c r="E84" s="56" t="s">
        <v>38</v>
      </c>
      <c r="F84" s="53"/>
      <c r="G84" s="54">
        <v>148.30000000000001</v>
      </c>
      <c r="H84" s="55"/>
      <c r="I84" s="35">
        <f t="shared" si="21"/>
        <v>0</v>
      </c>
      <c r="J84" s="30"/>
      <c r="K84" s="5">
        <v>203</v>
      </c>
      <c r="L84" s="30"/>
      <c r="M84" s="31">
        <f t="shared" si="13"/>
        <v>0.26945812807881764</v>
      </c>
      <c r="N84" s="5">
        <f>$G84/0.73</f>
        <v>203.15068493150687</v>
      </c>
      <c r="P84" s="5">
        <v>197</v>
      </c>
      <c r="Q84" s="30"/>
      <c r="R84" s="31">
        <f t="shared" si="14"/>
        <v>0.24720812182741114</v>
      </c>
      <c r="S84" s="5">
        <f>$G84/0.73</f>
        <v>203.15068493150687</v>
      </c>
      <c r="T84" s="132"/>
      <c r="U84" s="5">
        <v>203</v>
      </c>
      <c r="V84" s="30"/>
      <c r="W84" s="31">
        <f t="shared" si="15"/>
        <v>0.26945812807881764</v>
      </c>
      <c r="X84" s="5">
        <f>$G84/0.73</f>
        <v>203.15068493150687</v>
      </c>
      <c r="Y84" s="132"/>
      <c r="Z84" s="5">
        <v>203</v>
      </c>
      <c r="AA84" s="30"/>
      <c r="AB84" s="31">
        <f t="shared" si="16"/>
        <v>0.26945812807881764</v>
      </c>
      <c r="AC84" s="5">
        <f t="shared" si="17"/>
        <v>239.56153846153848</v>
      </c>
      <c r="AD84" s="132"/>
      <c r="AE84" s="135"/>
    </row>
    <row r="85" spans="1:31" ht="16.5" customHeight="1">
      <c r="A85" s="160" t="s">
        <v>62</v>
      </c>
      <c r="B85" s="153" t="s">
        <v>7</v>
      </c>
      <c r="C85" s="114">
        <v>110001</v>
      </c>
      <c r="D85" s="117"/>
      <c r="E85" s="4" t="s">
        <v>354</v>
      </c>
      <c r="F85" s="33"/>
      <c r="G85" s="1">
        <f>5.07*0.76</f>
        <v>3.8532000000000002</v>
      </c>
      <c r="H85" s="34"/>
      <c r="I85" s="35">
        <f t="shared" si="21"/>
        <v>0</v>
      </c>
      <c r="J85" s="30"/>
      <c r="K85" s="5">
        <v>0</v>
      </c>
      <c r="L85" s="30"/>
      <c r="M85" s="31" t="e">
        <f t="shared" si="13"/>
        <v>#DIV/0!</v>
      </c>
      <c r="N85" s="5">
        <f t="shared" ref="N85:N127" si="22">$G85/0.65</f>
        <v>5.9279999999999999</v>
      </c>
      <c r="P85" s="5">
        <v>0</v>
      </c>
      <c r="Q85" s="30"/>
      <c r="R85" s="31" t="e">
        <f t="shared" si="14"/>
        <v>#DIV/0!</v>
      </c>
      <c r="S85" s="5">
        <f t="shared" ref="S85:S99" si="23">$G85/0.65</f>
        <v>5.9279999999999999</v>
      </c>
      <c r="T85" s="132"/>
      <c r="U85" s="5">
        <v>0</v>
      </c>
      <c r="V85" s="30"/>
      <c r="W85" s="31" t="e">
        <f t="shared" si="15"/>
        <v>#DIV/0!</v>
      </c>
      <c r="X85" s="5">
        <f t="shared" ref="X85:X148" si="24">$G85/0.65</f>
        <v>5.9279999999999999</v>
      </c>
      <c r="Y85" s="132"/>
      <c r="Z85" s="5">
        <v>0</v>
      </c>
      <c r="AA85" s="30"/>
      <c r="AB85" s="31" t="e">
        <f t="shared" si="16"/>
        <v>#DIV/0!</v>
      </c>
      <c r="AC85" s="5">
        <f>($G85/0.65)*1.1</f>
        <v>6.5208000000000004</v>
      </c>
      <c r="AD85" s="132"/>
      <c r="AE85" s="135"/>
    </row>
    <row r="86" spans="1:31" ht="16.5" customHeight="1">
      <c r="A86" s="161"/>
      <c r="B86" s="154"/>
      <c r="C86" s="115">
        <v>110002</v>
      </c>
      <c r="D86" s="145">
        <v>3083680041713</v>
      </c>
      <c r="E86" s="4" t="s">
        <v>92</v>
      </c>
      <c r="F86" s="33"/>
      <c r="G86" s="1">
        <f>22.11*0.76</f>
        <v>16.803599999999999</v>
      </c>
      <c r="H86" s="34"/>
      <c r="I86" s="35">
        <f t="shared" si="21"/>
        <v>0</v>
      </c>
      <c r="J86" s="30"/>
      <c r="K86" s="5">
        <v>25.85</v>
      </c>
      <c r="L86" s="30"/>
      <c r="M86" s="31">
        <f t="shared" si="13"/>
        <v>0.34995744680851071</v>
      </c>
      <c r="N86" s="5">
        <f t="shared" si="22"/>
        <v>25.851692307692307</v>
      </c>
      <c r="P86" s="5">
        <v>25.85</v>
      </c>
      <c r="Q86" s="30"/>
      <c r="R86" s="31">
        <f t="shared" si="14"/>
        <v>0.34995744680851071</v>
      </c>
      <c r="S86" s="5">
        <f t="shared" si="23"/>
        <v>25.851692307692307</v>
      </c>
      <c r="T86" s="132"/>
      <c r="U86" s="5">
        <v>25.85</v>
      </c>
      <c r="V86" s="30"/>
      <c r="W86" s="31">
        <f t="shared" si="15"/>
        <v>0.34995744680851071</v>
      </c>
      <c r="X86" s="5">
        <f t="shared" si="24"/>
        <v>25.851692307692307</v>
      </c>
      <c r="Y86" s="132"/>
      <c r="Z86" s="5">
        <v>28.44</v>
      </c>
      <c r="AA86" s="30"/>
      <c r="AB86" s="31">
        <f t="shared" si="16"/>
        <v>0.40915611814345998</v>
      </c>
      <c r="AC86" s="5">
        <f t="shared" ref="AC86:AC99" si="25">($G86/0.65)*1.1</f>
        <v>28.436861538461539</v>
      </c>
      <c r="AD86" s="132"/>
      <c r="AE86" s="135"/>
    </row>
    <row r="87" spans="1:31" ht="16.5" customHeight="1" thickBot="1">
      <c r="A87" s="161"/>
      <c r="B87" s="154"/>
      <c r="C87" s="115">
        <v>110003</v>
      </c>
      <c r="D87" s="115"/>
      <c r="E87" s="4" t="s">
        <v>115</v>
      </c>
      <c r="F87" s="33"/>
      <c r="G87" s="1">
        <f>10.23*0.76</f>
        <v>7.7748000000000008</v>
      </c>
      <c r="H87" s="34"/>
      <c r="I87" s="35">
        <f t="shared" si="21"/>
        <v>0</v>
      </c>
      <c r="J87" s="30"/>
      <c r="K87" s="5">
        <v>22</v>
      </c>
      <c r="L87" s="30"/>
      <c r="M87" s="31">
        <f t="shared" si="13"/>
        <v>0.64659999999999995</v>
      </c>
      <c r="N87" s="5">
        <f t="shared" si="22"/>
        <v>11.96123076923077</v>
      </c>
      <c r="P87" s="5">
        <v>22</v>
      </c>
      <c r="Q87" s="30"/>
      <c r="R87" s="31">
        <f t="shared" si="14"/>
        <v>0.64659999999999995</v>
      </c>
      <c r="S87" s="5">
        <f t="shared" si="23"/>
        <v>11.96123076923077</v>
      </c>
      <c r="T87" s="132"/>
      <c r="U87" s="5">
        <v>22</v>
      </c>
      <c r="V87" s="30"/>
      <c r="W87" s="31">
        <f t="shared" si="15"/>
        <v>0.64659999999999995</v>
      </c>
      <c r="X87" s="5">
        <f t="shared" si="24"/>
        <v>11.96123076923077</v>
      </c>
      <c r="Y87" s="132"/>
      <c r="Z87" s="5">
        <v>13.15</v>
      </c>
      <c r="AA87" s="30"/>
      <c r="AB87" s="31">
        <f t="shared" si="16"/>
        <v>0.40876045627376423</v>
      </c>
      <c r="AC87" s="5">
        <f t="shared" si="25"/>
        <v>13.157353846153848</v>
      </c>
      <c r="AD87" s="132"/>
      <c r="AE87" s="135"/>
    </row>
    <row r="88" spans="1:31" ht="16.5" customHeight="1">
      <c r="A88" s="161"/>
      <c r="B88" s="154"/>
      <c r="C88" s="114">
        <v>110004</v>
      </c>
      <c r="D88" s="145">
        <v>3083680004572</v>
      </c>
      <c r="E88" s="4" t="s">
        <v>1</v>
      </c>
      <c r="F88" s="33"/>
      <c r="G88" s="1">
        <f>21.62*0.76</f>
        <v>16.4312</v>
      </c>
      <c r="H88" s="34"/>
      <c r="I88" s="35">
        <f t="shared" si="21"/>
        <v>0</v>
      </c>
      <c r="J88" s="30"/>
      <c r="K88" s="5">
        <v>26.5</v>
      </c>
      <c r="L88" s="30"/>
      <c r="M88" s="31">
        <f t="shared" si="13"/>
        <v>0.37995471698113203</v>
      </c>
      <c r="N88" s="5">
        <f t="shared" si="22"/>
        <v>25.278769230769232</v>
      </c>
      <c r="P88" s="5">
        <v>26.5</v>
      </c>
      <c r="Q88" s="30"/>
      <c r="R88" s="31">
        <f t="shared" si="14"/>
        <v>0.37995471698113203</v>
      </c>
      <c r="S88" s="5">
        <f t="shared" si="23"/>
        <v>25.278769230769232</v>
      </c>
      <c r="T88" s="132"/>
      <c r="U88" s="5">
        <v>26.5</v>
      </c>
      <c r="V88" s="30"/>
      <c r="W88" s="31">
        <f t="shared" si="15"/>
        <v>0.37995471698113203</v>
      </c>
      <c r="X88" s="5">
        <f t="shared" si="24"/>
        <v>25.278769230769232</v>
      </c>
      <c r="Y88" s="132"/>
      <c r="Z88" s="5">
        <v>27.81</v>
      </c>
      <c r="AA88" s="30"/>
      <c r="AB88" s="31">
        <f t="shared" si="16"/>
        <v>0.40916217188061843</v>
      </c>
      <c r="AC88" s="5">
        <f t="shared" si="25"/>
        <v>27.806646153846156</v>
      </c>
      <c r="AD88" s="132"/>
      <c r="AE88" s="135"/>
    </row>
    <row r="89" spans="1:31" ht="16.5" customHeight="1">
      <c r="A89" s="161"/>
      <c r="B89" s="154"/>
      <c r="C89" s="115">
        <v>110005</v>
      </c>
      <c r="D89" s="145">
        <v>3083680002561</v>
      </c>
      <c r="E89" s="4" t="s">
        <v>2</v>
      </c>
      <c r="F89" s="33"/>
      <c r="G89" s="1">
        <f>21.2*0.76</f>
        <v>16.111999999999998</v>
      </c>
      <c r="H89" s="34"/>
      <c r="I89" s="35">
        <f t="shared" si="21"/>
        <v>0</v>
      </c>
      <c r="J89" s="30"/>
      <c r="K89" s="5">
        <v>25.9</v>
      </c>
      <c r="L89" s="30"/>
      <c r="M89" s="31">
        <f t="shared" si="13"/>
        <v>0.37791505791505797</v>
      </c>
      <c r="N89" s="5">
        <f t="shared" si="22"/>
        <v>24.787692307692303</v>
      </c>
      <c r="P89" s="5">
        <v>25.9</v>
      </c>
      <c r="Q89" s="30"/>
      <c r="R89" s="31">
        <f t="shared" si="14"/>
        <v>0.37791505791505797</v>
      </c>
      <c r="S89" s="5">
        <f t="shared" si="23"/>
        <v>24.787692307692303</v>
      </c>
      <c r="T89" s="132"/>
      <c r="U89" s="5">
        <v>25.9</v>
      </c>
      <c r="V89" s="30"/>
      <c r="W89" s="31">
        <f t="shared" si="15"/>
        <v>0.37791505791505797</v>
      </c>
      <c r="X89" s="5">
        <f t="shared" si="24"/>
        <v>24.787692307692303</v>
      </c>
      <c r="Y89" s="132"/>
      <c r="Z89" s="5">
        <v>27.27</v>
      </c>
      <c r="AA89" s="30"/>
      <c r="AB89" s="31">
        <f t="shared" si="16"/>
        <v>0.40916758342500925</v>
      </c>
      <c r="AC89" s="5">
        <f t="shared" si="25"/>
        <v>27.266461538461535</v>
      </c>
      <c r="AD89" s="132"/>
      <c r="AE89" s="135"/>
    </row>
    <row r="90" spans="1:31" ht="16.5" customHeight="1" thickBot="1">
      <c r="A90" s="161"/>
      <c r="B90" s="154"/>
      <c r="C90" s="115">
        <v>110006</v>
      </c>
      <c r="D90" s="145">
        <v>3083680001151</v>
      </c>
      <c r="E90" s="4" t="s">
        <v>3</v>
      </c>
      <c r="F90" s="33"/>
      <c r="G90" s="1">
        <f>24.29*0.76</f>
        <v>18.4604</v>
      </c>
      <c r="H90" s="34"/>
      <c r="I90" s="35">
        <f t="shared" si="21"/>
        <v>0</v>
      </c>
      <c r="J90" s="30"/>
      <c r="K90" s="5">
        <v>29.5</v>
      </c>
      <c r="L90" s="30"/>
      <c r="M90" s="31">
        <f t="shared" si="13"/>
        <v>0.37422372881355936</v>
      </c>
      <c r="N90" s="5">
        <f t="shared" si="22"/>
        <v>28.400615384615385</v>
      </c>
      <c r="P90" s="5">
        <v>29.5</v>
      </c>
      <c r="Q90" s="30"/>
      <c r="R90" s="31">
        <f t="shared" si="14"/>
        <v>0.37422372881355936</v>
      </c>
      <c r="S90" s="5">
        <f t="shared" si="23"/>
        <v>28.400615384615385</v>
      </c>
      <c r="T90" s="132"/>
      <c r="U90" s="5">
        <v>29.5</v>
      </c>
      <c r="V90" s="30"/>
      <c r="W90" s="31">
        <f t="shared" si="15"/>
        <v>0.37422372881355936</v>
      </c>
      <c r="X90" s="5">
        <f t="shared" si="24"/>
        <v>28.400615384615385</v>
      </c>
      <c r="Y90" s="132"/>
      <c r="Z90" s="5">
        <v>31.2</v>
      </c>
      <c r="AA90" s="30"/>
      <c r="AB90" s="31">
        <f t="shared" si="16"/>
        <v>0.40832051282051285</v>
      </c>
      <c r="AC90" s="5">
        <f t="shared" si="25"/>
        <v>31.240676923076926</v>
      </c>
      <c r="AD90" s="132"/>
      <c r="AE90" s="135"/>
    </row>
    <row r="91" spans="1:31" ht="16.5" customHeight="1">
      <c r="A91" s="161"/>
      <c r="B91" s="154"/>
      <c r="C91" s="114">
        <v>110007</v>
      </c>
      <c r="D91" s="145">
        <v>3083680002929</v>
      </c>
      <c r="E91" s="4" t="s">
        <v>4</v>
      </c>
      <c r="F91" s="33"/>
      <c r="G91" s="1">
        <f>22.68*0.76</f>
        <v>17.236799999999999</v>
      </c>
      <c r="H91" s="34"/>
      <c r="I91" s="35">
        <f t="shared" si="21"/>
        <v>0</v>
      </c>
      <c r="J91" s="30"/>
      <c r="K91" s="5">
        <v>27.5</v>
      </c>
      <c r="L91" s="30"/>
      <c r="M91" s="31">
        <f t="shared" si="13"/>
        <v>0.37320727272727272</v>
      </c>
      <c r="N91" s="5">
        <f t="shared" si="22"/>
        <v>26.518153846153844</v>
      </c>
      <c r="P91" s="5">
        <v>27.5</v>
      </c>
      <c r="Q91" s="30"/>
      <c r="R91" s="31">
        <f t="shared" si="14"/>
        <v>0.37320727272727272</v>
      </c>
      <c r="S91" s="5">
        <f t="shared" si="23"/>
        <v>26.518153846153844</v>
      </c>
      <c r="T91" s="132"/>
      <c r="U91" s="5">
        <v>27.5</v>
      </c>
      <c r="V91" s="30"/>
      <c r="W91" s="31">
        <f t="shared" si="15"/>
        <v>0.37320727272727272</v>
      </c>
      <c r="X91" s="5">
        <f t="shared" si="24"/>
        <v>26.518153846153844</v>
      </c>
      <c r="Y91" s="132"/>
      <c r="Z91" s="5">
        <v>29.2</v>
      </c>
      <c r="AA91" s="30"/>
      <c r="AB91" s="31">
        <f t="shared" si="16"/>
        <v>0.40969863013698637</v>
      </c>
      <c r="AC91" s="5">
        <f t="shared" si="25"/>
        <v>29.16996923076923</v>
      </c>
      <c r="AD91" s="132"/>
      <c r="AE91" s="135"/>
    </row>
    <row r="92" spans="1:31" ht="16.5" customHeight="1">
      <c r="A92" s="161"/>
      <c r="B92" s="159"/>
      <c r="C92" s="115">
        <v>110008</v>
      </c>
      <c r="D92" s="145">
        <v>3083680043144</v>
      </c>
      <c r="E92" s="4" t="s">
        <v>5</v>
      </c>
      <c r="F92" s="33"/>
      <c r="G92" s="1">
        <f>28.66*0.76</f>
        <v>21.781600000000001</v>
      </c>
      <c r="H92" s="34"/>
      <c r="I92" s="35">
        <f t="shared" si="21"/>
        <v>0</v>
      </c>
      <c r="J92" s="30"/>
      <c r="K92" s="5">
        <v>34.5</v>
      </c>
      <c r="L92" s="30"/>
      <c r="M92" s="31">
        <f t="shared" si="13"/>
        <v>0.36864927536231884</v>
      </c>
      <c r="N92" s="5">
        <f t="shared" si="22"/>
        <v>33.510153846153848</v>
      </c>
      <c r="P92" s="5">
        <v>34.5</v>
      </c>
      <c r="Q92" s="30"/>
      <c r="R92" s="31">
        <f t="shared" si="14"/>
        <v>0.36864927536231884</v>
      </c>
      <c r="S92" s="5">
        <f t="shared" si="23"/>
        <v>33.510153846153848</v>
      </c>
      <c r="T92" s="132"/>
      <c r="U92" s="5">
        <v>34.5</v>
      </c>
      <c r="V92" s="30"/>
      <c r="W92" s="31">
        <f t="shared" si="15"/>
        <v>0.36864927536231884</v>
      </c>
      <c r="X92" s="5">
        <f t="shared" si="24"/>
        <v>33.510153846153848</v>
      </c>
      <c r="Y92" s="132"/>
      <c r="Z92" s="5">
        <v>36.86</v>
      </c>
      <c r="AA92" s="30"/>
      <c r="AB92" s="31">
        <f t="shared" si="16"/>
        <v>0.40907216494845355</v>
      </c>
      <c r="AC92" s="5">
        <f t="shared" si="25"/>
        <v>36.861169230769235</v>
      </c>
      <c r="AD92" s="132"/>
      <c r="AE92" s="135"/>
    </row>
    <row r="93" spans="1:31" ht="16.5" customHeight="1" thickBot="1">
      <c r="A93" s="161"/>
      <c r="B93" s="158" t="s">
        <v>8</v>
      </c>
      <c r="C93" s="115">
        <v>110009</v>
      </c>
      <c r="D93" s="145">
        <v>3083680003766</v>
      </c>
      <c r="E93" s="4" t="s">
        <v>9</v>
      </c>
      <c r="F93" s="33"/>
      <c r="G93" s="1">
        <f>22.59*0.76</f>
        <v>17.168399999999998</v>
      </c>
      <c r="H93" s="34"/>
      <c r="I93" s="35">
        <f t="shared" si="21"/>
        <v>0</v>
      </c>
      <c r="J93" s="30"/>
      <c r="K93" s="5">
        <v>27.5</v>
      </c>
      <c r="L93" s="30"/>
      <c r="M93" s="31">
        <f t="shared" si="13"/>
        <v>0.3756945454545455</v>
      </c>
      <c r="N93" s="5">
        <f t="shared" si="22"/>
        <v>26.412923076923075</v>
      </c>
      <c r="P93" s="5">
        <v>27.5</v>
      </c>
      <c r="Q93" s="30"/>
      <c r="R93" s="31">
        <f t="shared" si="14"/>
        <v>0.3756945454545455</v>
      </c>
      <c r="S93" s="5">
        <f t="shared" si="23"/>
        <v>26.412923076923075</v>
      </c>
      <c r="T93" s="132"/>
      <c r="U93" s="5">
        <v>27.5</v>
      </c>
      <c r="V93" s="30"/>
      <c r="W93" s="31">
        <f t="shared" si="15"/>
        <v>0.3756945454545455</v>
      </c>
      <c r="X93" s="5">
        <f t="shared" si="24"/>
        <v>26.412923076923075</v>
      </c>
      <c r="Y93" s="132"/>
      <c r="Z93" s="5">
        <v>29.05</v>
      </c>
      <c r="AA93" s="30"/>
      <c r="AB93" s="31">
        <f t="shared" si="16"/>
        <v>0.40900516351118765</v>
      </c>
      <c r="AC93" s="5">
        <f t="shared" si="25"/>
        <v>29.054215384615386</v>
      </c>
      <c r="AD93" s="132"/>
      <c r="AE93" s="135"/>
    </row>
    <row r="94" spans="1:31" ht="16.5" customHeight="1">
      <c r="A94" s="161"/>
      <c r="B94" s="154"/>
      <c r="C94" s="114">
        <v>110010</v>
      </c>
      <c r="D94" s="145">
        <v>3083680026154</v>
      </c>
      <c r="E94" s="4" t="s">
        <v>10</v>
      </c>
      <c r="F94" s="33"/>
      <c r="G94" s="1">
        <f>23.57*0.76</f>
        <v>17.9132</v>
      </c>
      <c r="H94" s="34"/>
      <c r="I94" s="35">
        <f t="shared" si="21"/>
        <v>0</v>
      </c>
      <c r="J94" s="30"/>
      <c r="K94" s="5">
        <v>27.5</v>
      </c>
      <c r="L94" s="30"/>
      <c r="M94" s="31">
        <f t="shared" si="13"/>
        <v>0.34861090909090908</v>
      </c>
      <c r="N94" s="5">
        <f t="shared" si="22"/>
        <v>27.558769230769229</v>
      </c>
      <c r="P94" s="5">
        <v>27.5</v>
      </c>
      <c r="Q94" s="30"/>
      <c r="R94" s="31">
        <f t="shared" si="14"/>
        <v>0.34861090909090908</v>
      </c>
      <c r="S94" s="5">
        <f t="shared" si="23"/>
        <v>27.558769230769229</v>
      </c>
      <c r="T94" s="132"/>
      <c r="U94" s="5">
        <v>27.5</v>
      </c>
      <c r="V94" s="30"/>
      <c r="W94" s="31">
        <f t="shared" si="15"/>
        <v>0.34861090909090908</v>
      </c>
      <c r="X94" s="5">
        <f t="shared" si="24"/>
        <v>27.558769230769229</v>
      </c>
      <c r="Y94" s="132"/>
      <c r="Z94" s="5">
        <v>30.31</v>
      </c>
      <c r="AA94" s="30"/>
      <c r="AB94" s="31">
        <f t="shared" si="16"/>
        <v>0.40900032992411739</v>
      </c>
      <c r="AC94" s="5">
        <f t="shared" si="25"/>
        <v>30.314646153846155</v>
      </c>
      <c r="AD94" s="132"/>
      <c r="AE94" s="135"/>
    </row>
    <row r="95" spans="1:31" ht="16.5" customHeight="1">
      <c r="A95" s="161"/>
      <c r="B95" s="154"/>
      <c r="C95" s="115">
        <v>110011</v>
      </c>
      <c r="D95" s="145">
        <v>3083680000048</v>
      </c>
      <c r="E95" s="4" t="s">
        <v>11</v>
      </c>
      <c r="F95" s="33"/>
      <c r="G95" s="1">
        <f>22.3*0.76</f>
        <v>16.948</v>
      </c>
      <c r="H95" s="34"/>
      <c r="I95" s="35">
        <f t="shared" si="21"/>
        <v>0</v>
      </c>
      <c r="J95" s="30"/>
      <c r="K95" s="5">
        <v>27.5</v>
      </c>
      <c r="L95" s="30"/>
      <c r="M95" s="31">
        <f t="shared" si="13"/>
        <v>0.38370909090909089</v>
      </c>
      <c r="N95" s="5">
        <f t="shared" si="22"/>
        <v>26.073846153846155</v>
      </c>
      <c r="P95" s="5">
        <v>27.5</v>
      </c>
      <c r="Q95" s="30"/>
      <c r="R95" s="31">
        <f t="shared" si="14"/>
        <v>0.38370909090909089</v>
      </c>
      <c r="S95" s="5">
        <f t="shared" si="23"/>
        <v>26.073846153846155</v>
      </c>
      <c r="T95" s="132"/>
      <c r="U95" s="5">
        <v>27.5</v>
      </c>
      <c r="V95" s="30"/>
      <c r="W95" s="31">
        <f t="shared" si="15"/>
        <v>0.38370909090909089</v>
      </c>
      <c r="X95" s="5">
        <f t="shared" si="24"/>
        <v>26.073846153846155</v>
      </c>
      <c r="Y95" s="132"/>
      <c r="Z95" s="5">
        <v>28.68</v>
      </c>
      <c r="AA95" s="30"/>
      <c r="AB95" s="31">
        <f t="shared" si="16"/>
        <v>0.40906555090655505</v>
      </c>
      <c r="AC95" s="5">
        <f t="shared" si="25"/>
        <v>28.681230769230773</v>
      </c>
      <c r="AD95" s="132"/>
      <c r="AE95" s="135"/>
    </row>
    <row r="96" spans="1:31" ht="16.5" customHeight="1" thickBot="1">
      <c r="A96" s="161"/>
      <c r="B96" s="154"/>
      <c r="C96" s="115">
        <v>110012</v>
      </c>
      <c r="D96" s="145"/>
      <c r="E96" s="4" t="s">
        <v>128</v>
      </c>
      <c r="F96" s="33"/>
      <c r="G96" s="1">
        <f>9.59*0.76</f>
        <v>7.2884000000000002</v>
      </c>
      <c r="H96" s="34"/>
      <c r="I96" s="35">
        <f t="shared" si="21"/>
        <v>0</v>
      </c>
      <c r="J96" s="30"/>
      <c r="K96" s="5">
        <v>12.5</v>
      </c>
      <c r="L96" s="30"/>
      <c r="M96" s="31">
        <f t="shared" si="13"/>
        <v>0.41692799999999997</v>
      </c>
      <c r="N96" s="5">
        <f t="shared" si="22"/>
        <v>11.212923076923078</v>
      </c>
      <c r="P96" s="5">
        <v>12.5</v>
      </c>
      <c r="Q96" s="30"/>
      <c r="R96" s="31">
        <f t="shared" si="14"/>
        <v>0.41692799999999997</v>
      </c>
      <c r="S96" s="5">
        <f t="shared" si="23"/>
        <v>11.212923076923078</v>
      </c>
      <c r="T96" s="132"/>
      <c r="U96" s="5">
        <v>12.5</v>
      </c>
      <c r="V96" s="30"/>
      <c r="W96" s="31">
        <f t="shared" si="15"/>
        <v>0.41692799999999997</v>
      </c>
      <c r="X96" s="5">
        <f t="shared" si="24"/>
        <v>11.212923076923078</v>
      </c>
      <c r="Y96" s="132"/>
      <c r="Z96" s="5">
        <v>12.33</v>
      </c>
      <c r="AA96" s="30"/>
      <c r="AB96" s="31">
        <f t="shared" si="16"/>
        <v>0.40888888888888886</v>
      </c>
      <c r="AC96" s="5">
        <f t="shared" si="25"/>
        <v>12.334215384615387</v>
      </c>
      <c r="AD96" s="132"/>
      <c r="AE96" s="135"/>
    </row>
    <row r="97" spans="1:31" ht="16.5" customHeight="1">
      <c r="A97" s="161"/>
      <c r="B97" s="154"/>
      <c r="C97" s="114">
        <v>110013</v>
      </c>
      <c r="D97" s="145">
        <v>3083680002752</v>
      </c>
      <c r="E97" s="4" t="s">
        <v>12</v>
      </c>
      <c r="F97" s="33"/>
      <c r="G97" s="1">
        <f>25.75*0.76</f>
        <v>19.57</v>
      </c>
      <c r="H97" s="34"/>
      <c r="I97" s="35">
        <f t="shared" si="21"/>
        <v>0</v>
      </c>
      <c r="J97" s="30"/>
      <c r="K97" s="5">
        <v>32.5</v>
      </c>
      <c r="L97" s="30"/>
      <c r="M97" s="31">
        <f t="shared" si="13"/>
        <v>0.39784615384615385</v>
      </c>
      <c r="N97" s="5">
        <f t="shared" si="22"/>
        <v>30.107692307692307</v>
      </c>
      <c r="P97" s="5">
        <v>32.5</v>
      </c>
      <c r="Q97" s="30"/>
      <c r="R97" s="31">
        <f t="shared" si="14"/>
        <v>0.39784615384615385</v>
      </c>
      <c r="S97" s="5">
        <f t="shared" si="23"/>
        <v>30.107692307692307</v>
      </c>
      <c r="T97" s="132"/>
      <c r="U97" s="5">
        <v>32.5</v>
      </c>
      <c r="V97" s="30"/>
      <c r="W97" s="31">
        <f t="shared" si="15"/>
        <v>0.39784615384615385</v>
      </c>
      <c r="X97" s="5">
        <f t="shared" si="24"/>
        <v>30.107692307692307</v>
      </c>
      <c r="Y97" s="132"/>
      <c r="Z97" s="5">
        <v>34.130000000000003</v>
      </c>
      <c r="AA97" s="30"/>
      <c r="AB97" s="31">
        <f t="shared" si="16"/>
        <v>0.42660416056255501</v>
      </c>
      <c r="AC97" s="5">
        <f t="shared" si="25"/>
        <v>33.118461538461538</v>
      </c>
      <c r="AD97" s="132"/>
      <c r="AE97" s="135"/>
    </row>
    <row r="98" spans="1:31" ht="16.5" customHeight="1">
      <c r="A98" s="161"/>
      <c r="B98" s="154"/>
      <c r="C98" s="115">
        <v>110014</v>
      </c>
      <c r="D98" s="145">
        <v>3083680000673</v>
      </c>
      <c r="E98" s="4" t="s">
        <v>13</v>
      </c>
      <c r="F98" s="33"/>
      <c r="G98" s="1">
        <f>24.95*0.76</f>
        <v>18.962</v>
      </c>
      <c r="H98" s="34"/>
      <c r="I98" s="35">
        <f t="shared" si="21"/>
        <v>0</v>
      </c>
      <c r="J98" s="30"/>
      <c r="K98" s="5">
        <v>31.5</v>
      </c>
      <c r="L98" s="30"/>
      <c r="M98" s="31">
        <f t="shared" si="13"/>
        <v>0.39803174603174607</v>
      </c>
      <c r="N98" s="5">
        <f t="shared" si="22"/>
        <v>29.17230769230769</v>
      </c>
      <c r="P98" s="5">
        <v>31.5</v>
      </c>
      <c r="Q98" s="30"/>
      <c r="R98" s="31">
        <f t="shared" si="14"/>
        <v>0.39803174603174607</v>
      </c>
      <c r="S98" s="5">
        <f t="shared" si="23"/>
        <v>29.17230769230769</v>
      </c>
      <c r="T98" s="132"/>
      <c r="U98" s="5">
        <v>31.5</v>
      </c>
      <c r="V98" s="30"/>
      <c r="W98" s="31">
        <f t="shared" si="15"/>
        <v>0.39803174603174607</v>
      </c>
      <c r="X98" s="5">
        <f t="shared" si="24"/>
        <v>29.17230769230769</v>
      </c>
      <c r="Y98" s="132"/>
      <c r="Z98" s="5">
        <v>33.090000000000003</v>
      </c>
      <c r="AA98" s="30"/>
      <c r="AB98" s="31">
        <f t="shared" si="16"/>
        <v>0.42695678452704755</v>
      </c>
      <c r="AC98" s="5">
        <f t="shared" si="25"/>
        <v>32.08953846153846</v>
      </c>
      <c r="AD98" s="132"/>
      <c r="AE98" s="135"/>
    </row>
    <row r="99" spans="1:31" ht="16.5" customHeight="1" thickBot="1">
      <c r="A99" s="171"/>
      <c r="B99" s="169"/>
      <c r="C99" s="115">
        <v>110015</v>
      </c>
      <c r="D99" s="145">
        <v>3083680003629</v>
      </c>
      <c r="E99" s="3" t="s">
        <v>71</v>
      </c>
      <c r="F99" s="37"/>
      <c r="G99" s="1">
        <f>23.84*0.76</f>
        <v>18.118400000000001</v>
      </c>
      <c r="H99" s="38"/>
      <c r="I99" s="35">
        <f t="shared" si="21"/>
        <v>0</v>
      </c>
      <c r="J99" s="30"/>
      <c r="K99" s="92">
        <v>29.5</v>
      </c>
      <c r="L99" s="30"/>
      <c r="M99" s="127">
        <f t="shared" si="13"/>
        <v>0.38581694915254239</v>
      </c>
      <c r="N99" s="92">
        <f t="shared" si="22"/>
        <v>27.874461538461539</v>
      </c>
      <c r="P99" s="92">
        <v>29.5</v>
      </c>
      <c r="Q99" s="30"/>
      <c r="R99" s="127">
        <f t="shared" si="14"/>
        <v>0.38581694915254239</v>
      </c>
      <c r="S99" s="92">
        <f t="shared" si="23"/>
        <v>27.874461538461539</v>
      </c>
      <c r="T99" s="132"/>
      <c r="U99" s="92">
        <v>29.5</v>
      </c>
      <c r="V99" s="30"/>
      <c r="W99" s="31">
        <f t="shared" si="15"/>
        <v>0.38581694915254239</v>
      </c>
      <c r="X99" s="92">
        <f t="shared" si="24"/>
        <v>27.874461538461539</v>
      </c>
      <c r="Y99" s="132"/>
      <c r="Z99" s="92">
        <v>30.98</v>
      </c>
      <c r="AA99" s="30"/>
      <c r="AB99" s="31">
        <f t="shared" si="16"/>
        <v>0.41515816655907034</v>
      </c>
      <c r="AC99" s="5">
        <f t="shared" si="25"/>
        <v>30.661907692307693</v>
      </c>
      <c r="AD99" s="132"/>
      <c r="AE99" s="135"/>
    </row>
    <row r="100" spans="1:31" ht="16.5" customHeight="1" thickTop="1">
      <c r="A100" s="172" t="s">
        <v>63</v>
      </c>
      <c r="B100" s="153">
        <v>1</v>
      </c>
      <c r="C100" s="114">
        <v>111001</v>
      </c>
      <c r="D100" s="141" t="s">
        <v>355</v>
      </c>
      <c r="E100" s="2" t="s">
        <v>46</v>
      </c>
      <c r="F100" s="26">
        <v>12</v>
      </c>
      <c r="G100" s="27">
        <f>32.8*0.95</f>
        <v>31.159999999999997</v>
      </c>
      <c r="H100" s="28"/>
      <c r="I100" s="35">
        <f t="shared" si="21"/>
        <v>0</v>
      </c>
      <c r="J100" s="30"/>
      <c r="K100" s="128">
        <v>43.9</v>
      </c>
      <c r="L100" s="129"/>
      <c r="M100" s="130">
        <f t="shared" si="13"/>
        <v>0.29020501138952171</v>
      </c>
      <c r="N100" s="128">
        <f t="shared" si="22"/>
        <v>47.938461538461532</v>
      </c>
      <c r="P100" s="128">
        <v>41.5</v>
      </c>
      <c r="Q100" s="129"/>
      <c r="R100" s="130">
        <f t="shared" si="14"/>
        <v>0.24915662650602421</v>
      </c>
      <c r="S100" s="128">
        <f>$G100/0.75</f>
        <v>41.54666666666666</v>
      </c>
      <c r="T100" s="132"/>
      <c r="U100" s="128">
        <v>41.5</v>
      </c>
      <c r="V100" s="129"/>
      <c r="W100" s="31">
        <f t="shared" si="15"/>
        <v>0.24915662650602421</v>
      </c>
      <c r="X100" s="128">
        <f t="shared" si="24"/>
        <v>47.938461538461532</v>
      </c>
      <c r="Y100" s="132"/>
      <c r="Z100" s="128">
        <v>50.34</v>
      </c>
      <c r="AA100" s="129"/>
      <c r="AB100" s="31">
        <f t="shared" si="16"/>
        <v>0.38100913786253487</v>
      </c>
      <c r="AC100" s="5">
        <f t="shared" si="17"/>
        <v>50.335384615384612</v>
      </c>
      <c r="AD100" s="132"/>
      <c r="AE100" s="135"/>
    </row>
    <row r="101" spans="1:31" ht="16.5" customHeight="1" thickBot="1">
      <c r="A101" s="173"/>
      <c r="B101" s="154"/>
      <c r="C101" s="115">
        <v>111002</v>
      </c>
      <c r="D101" s="141" t="s">
        <v>356</v>
      </c>
      <c r="E101" s="4" t="s">
        <v>47</v>
      </c>
      <c r="F101" s="33">
        <v>12</v>
      </c>
      <c r="G101" s="1">
        <f>G100</f>
        <v>31.159999999999997</v>
      </c>
      <c r="H101" s="34"/>
      <c r="I101" s="35">
        <f t="shared" si="21"/>
        <v>0</v>
      </c>
      <c r="J101" s="30"/>
      <c r="K101" s="5">
        <v>48</v>
      </c>
      <c r="L101" s="30"/>
      <c r="M101" s="31">
        <f t="shared" si="13"/>
        <v>0.35083333333333344</v>
      </c>
      <c r="N101" s="5">
        <f t="shared" si="22"/>
        <v>47.938461538461532</v>
      </c>
      <c r="P101" s="5">
        <f>P100</f>
        <v>41.5</v>
      </c>
      <c r="Q101" s="30"/>
      <c r="R101" s="31">
        <f t="shared" si="14"/>
        <v>0.24915662650602421</v>
      </c>
      <c r="S101" s="5">
        <f t="shared" ref="S101:S119" si="26">$G101/0.75</f>
        <v>41.54666666666666</v>
      </c>
      <c r="T101" s="132"/>
      <c r="U101" s="5">
        <f>U100</f>
        <v>41.5</v>
      </c>
      <c r="V101" s="30"/>
      <c r="W101" s="31">
        <f t="shared" si="15"/>
        <v>0.24915662650602421</v>
      </c>
      <c r="X101" s="5">
        <f t="shared" si="24"/>
        <v>47.938461538461532</v>
      </c>
      <c r="Y101" s="132"/>
      <c r="Z101" s="5">
        <f>Z100</f>
        <v>50.34</v>
      </c>
      <c r="AA101" s="30"/>
      <c r="AB101" s="31">
        <f t="shared" si="16"/>
        <v>0.38100913786253487</v>
      </c>
      <c r="AC101" s="5">
        <f t="shared" si="17"/>
        <v>50.335384615384612</v>
      </c>
      <c r="AD101" s="132"/>
      <c r="AE101" s="135"/>
    </row>
    <row r="102" spans="1:31" ht="16.5" customHeight="1">
      <c r="A102" s="173"/>
      <c r="B102" s="154"/>
      <c r="C102" s="114">
        <v>111003</v>
      </c>
      <c r="D102" s="141" t="s">
        <v>357</v>
      </c>
      <c r="E102" s="4" t="s">
        <v>48</v>
      </c>
      <c r="F102" s="33">
        <v>12</v>
      </c>
      <c r="G102" s="1">
        <f>G101</f>
        <v>31.159999999999997</v>
      </c>
      <c r="H102" s="34"/>
      <c r="I102" s="35">
        <f t="shared" si="21"/>
        <v>0</v>
      </c>
      <c r="J102" s="30"/>
      <c r="K102" s="5">
        <f>K101</f>
        <v>48</v>
      </c>
      <c r="L102" s="30"/>
      <c r="M102" s="31">
        <f t="shared" si="13"/>
        <v>0.35083333333333344</v>
      </c>
      <c r="N102" s="5">
        <f t="shared" si="22"/>
        <v>47.938461538461532</v>
      </c>
      <c r="P102" s="5">
        <f>P101</f>
        <v>41.5</v>
      </c>
      <c r="Q102" s="30"/>
      <c r="R102" s="31">
        <f t="shared" si="14"/>
        <v>0.24915662650602421</v>
      </c>
      <c r="S102" s="5">
        <f t="shared" si="26"/>
        <v>41.54666666666666</v>
      </c>
      <c r="T102" s="132"/>
      <c r="U102" s="5">
        <f>U101</f>
        <v>41.5</v>
      </c>
      <c r="V102" s="30"/>
      <c r="W102" s="31">
        <f t="shared" si="15"/>
        <v>0.24915662650602421</v>
      </c>
      <c r="X102" s="5">
        <f t="shared" si="24"/>
        <v>47.938461538461532</v>
      </c>
      <c r="Y102" s="132"/>
      <c r="Z102" s="5">
        <f>Z101</f>
        <v>50.34</v>
      </c>
      <c r="AA102" s="30"/>
      <c r="AB102" s="31">
        <f t="shared" si="16"/>
        <v>0.38100913786253487</v>
      </c>
      <c r="AC102" s="5">
        <f t="shared" si="17"/>
        <v>50.335384615384612</v>
      </c>
      <c r="AD102" s="132"/>
      <c r="AE102" s="135"/>
    </row>
    <row r="103" spans="1:31" ht="16.5" customHeight="1" thickBot="1">
      <c r="A103" s="173"/>
      <c r="B103" s="154"/>
      <c r="C103" s="115">
        <v>111004</v>
      </c>
      <c r="D103" s="141" t="s">
        <v>358</v>
      </c>
      <c r="E103" s="4" t="s">
        <v>49</v>
      </c>
      <c r="F103" s="33">
        <v>12</v>
      </c>
      <c r="G103" s="1">
        <f>39.28*0.95</f>
        <v>37.316000000000003</v>
      </c>
      <c r="H103" s="34"/>
      <c r="I103" s="35">
        <f t="shared" si="21"/>
        <v>0</v>
      </c>
      <c r="J103" s="30"/>
      <c r="K103" s="5">
        <v>57</v>
      </c>
      <c r="L103" s="30"/>
      <c r="M103" s="31">
        <f t="shared" ref="M103:M166" si="27">1-(G103/K103)</f>
        <v>0.34533333333333327</v>
      </c>
      <c r="N103" s="5">
        <f t="shared" si="22"/>
        <v>57.409230769230774</v>
      </c>
      <c r="P103" s="5">
        <v>49.75</v>
      </c>
      <c r="Q103" s="30"/>
      <c r="R103" s="31">
        <f t="shared" ref="R103:R166" si="28">1-(G103/P103)</f>
        <v>0.249929648241206</v>
      </c>
      <c r="S103" s="5">
        <f t="shared" si="26"/>
        <v>49.754666666666672</v>
      </c>
      <c r="T103" s="132"/>
      <c r="U103" s="5">
        <v>49.75</v>
      </c>
      <c r="V103" s="30"/>
      <c r="W103" s="31">
        <f t="shared" ref="W103:W166" si="29">1-(G103/U103)</f>
        <v>0.249929648241206</v>
      </c>
      <c r="X103" s="5">
        <f t="shared" si="24"/>
        <v>57.409230769230774</v>
      </c>
      <c r="Y103" s="132"/>
      <c r="Z103" s="5">
        <v>60.28</v>
      </c>
      <c r="AA103" s="30"/>
      <c r="AB103" s="31">
        <f t="shared" si="16"/>
        <v>0.3809555408095554</v>
      </c>
      <c r="AC103" s="5">
        <f t="shared" si="17"/>
        <v>60.279692307692315</v>
      </c>
      <c r="AD103" s="132"/>
      <c r="AE103" s="135"/>
    </row>
    <row r="104" spans="1:31" ht="16.5" customHeight="1">
      <c r="A104" s="173"/>
      <c r="B104" s="154"/>
      <c r="C104" s="114">
        <v>112001</v>
      </c>
      <c r="D104" s="141" t="s">
        <v>359</v>
      </c>
      <c r="E104" s="4" t="s">
        <v>50</v>
      </c>
      <c r="F104" s="33">
        <v>12</v>
      </c>
      <c r="G104" s="1">
        <f>34.85*0.95</f>
        <v>33.107500000000002</v>
      </c>
      <c r="H104" s="34"/>
      <c r="I104" s="35">
        <f t="shared" si="21"/>
        <v>0</v>
      </c>
      <c r="J104" s="30"/>
      <c r="K104" s="5">
        <v>51</v>
      </c>
      <c r="L104" s="30"/>
      <c r="M104" s="31">
        <f t="shared" si="27"/>
        <v>0.35083333333333333</v>
      </c>
      <c r="N104" s="5">
        <f t="shared" si="22"/>
        <v>50.934615384615384</v>
      </c>
      <c r="P104" s="5">
        <v>44.14</v>
      </c>
      <c r="Q104" s="30"/>
      <c r="R104" s="31">
        <f t="shared" si="28"/>
        <v>0.24994336202990486</v>
      </c>
      <c r="S104" s="5">
        <f t="shared" si="26"/>
        <v>44.143333333333338</v>
      </c>
      <c r="T104" s="132"/>
      <c r="U104" s="5">
        <v>44.14</v>
      </c>
      <c r="V104" s="30"/>
      <c r="W104" s="31">
        <f t="shared" si="29"/>
        <v>0.24994336202990486</v>
      </c>
      <c r="X104" s="5">
        <f t="shared" si="24"/>
        <v>50.934615384615384</v>
      </c>
      <c r="Y104" s="132"/>
      <c r="Z104" s="5">
        <v>53.48</v>
      </c>
      <c r="AA104" s="30"/>
      <c r="AB104" s="31">
        <f t="shared" ref="AB104:AB167" si="30">1-($G104/Z104)</f>
        <v>0.3809367988032909</v>
      </c>
      <c r="AC104" s="5">
        <f t="shared" ref="AC104:AC135" si="31">($G104/0.65)*1.05</f>
        <v>53.481346153846154</v>
      </c>
      <c r="AD104" s="132"/>
      <c r="AE104" s="135"/>
    </row>
    <row r="105" spans="1:31" ht="16.5" customHeight="1" thickBot="1">
      <c r="A105" s="173"/>
      <c r="B105" s="154"/>
      <c r="C105" s="115">
        <v>112002</v>
      </c>
      <c r="D105" s="141" t="s">
        <v>360</v>
      </c>
      <c r="E105" s="4" t="s">
        <v>51</v>
      </c>
      <c r="F105" s="33">
        <v>12</v>
      </c>
      <c r="G105" s="1">
        <f>G104</f>
        <v>33.107500000000002</v>
      </c>
      <c r="H105" s="34"/>
      <c r="I105" s="35">
        <f t="shared" si="21"/>
        <v>0</v>
      </c>
      <c r="J105" s="30"/>
      <c r="K105" s="5">
        <f>K104</f>
        <v>51</v>
      </c>
      <c r="L105" s="30"/>
      <c r="M105" s="31">
        <f t="shared" si="27"/>
        <v>0.35083333333333333</v>
      </c>
      <c r="N105" s="5">
        <f t="shared" si="22"/>
        <v>50.934615384615384</v>
      </c>
      <c r="P105" s="5">
        <f>P104</f>
        <v>44.14</v>
      </c>
      <c r="Q105" s="30"/>
      <c r="R105" s="31">
        <f t="shared" si="28"/>
        <v>0.24994336202990486</v>
      </c>
      <c r="S105" s="5">
        <f t="shared" si="26"/>
        <v>44.143333333333338</v>
      </c>
      <c r="T105" s="132"/>
      <c r="U105" s="5">
        <f>U104</f>
        <v>44.14</v>
      </c>
      <c r="V105" s="30"/>
      <c r="W105" s="31">
        <f t="shared" si="29"/>
        <v>0.24994336202990486</v>
      </c>
      <c r="X105" s="5">
        <f t="shared" si="24"/>
        <v>50.934615384615384</v>
      </c>
      <c r="Y105" s="132"/>
      <c r="Z105" s="5">
        <f>Z104</f>
        <v>53.48</v>
      </c>
      <c r="AA105" s="30"/>
      <c r="AB105" s="31">
        <f t="shared" si="30"/>
        <v>0.3809367988032909</v>
      </c>
      <c r="AC105" s="5">
        <f t="shared" si="31"/>
        <v>53.481346153846154</v>
      </c>
      <c r="AD105" s="132"/>
      <c r="AE105" s="135"/>
    </row>
    <row r="106" spans="1:31" ht="16.5" customHeight="1">
      <c r="A106" s="173"/>
      <c r="B106" s="154"/>
      <c r="C106" s="114">
        <v>112003</v>
      </c>
      <c r="D106" s="141" t="s">
        <v>361</v>
      </c>
      <c r="E106" s="4" t="s">
        <v>80</v>
      </c>
      <c r="F106" s="33">
        <v>12</v>
      </c>
      <c r="G106" s="1">
        <f>G104</f>
        <v>33.107500000000002</v>
      </c>
      <c r="H106" s="34"/>
      <c r="I106" s="35">
        <f t="shared" si="21"/>
        <v>0</v>
      </c>
      <c r="J106" s="30"/>
      <c r="K106" s="5">
        <f>K105</f>
        <v>51</v>
      </c>
      <c r="L106" s="30"/>
      <c r="M106" s="31">
        <f t="shared" si="27"/>
        <v>0.35083333333333333</v>
      </c>
      <c r="N106" s="5">
        <f t="shared" si="22"/>
        <v>50.934615384615384</v>
      </c>
      <c r="P106" s="5">
        <f>P105</f>
        <v>44.14</v>
      </c>
      <c r="Q106" s="30"/>
      <c r="R106" s="31">
        <f t="shared" si="28"/>
        <v>0.24994336202990486</v>
      </c>
      <c r="S106" s="5">
        <f t="shared" si="26"/>
        <v>44.143333333333338</v>
      </c>
      <c r="T106" s="132"/>
      <c r="U106" s="5">
        <f>U105</f>
        <v>44.14</v>
      </c>
      <c r="V106" s="30"/>
      <c r="W106" s="31">
        <f t="shared" si="29"/>
        <v>0.24994336202990486</v>
      </c>
      <c r="X106" s="5">
        <f t="shared" si="24"/>
        <v>50.934615384615384</v>
      </c>
      <c r="Y106" s="132"/>
      <c r="Z106" s="5">
        <f>Z105</f>
        <v>53.48</v>
      </c>
      <c r="AA106" s="30"/>
      <c r="AB106" s="31">
        <f t="shared" si="30"/>
        <v>0.3809367988032909</v>
      </c>
      <c r="AC106" s="5">
        <f t="shared" si="31"/>
        <v>53.481346153846154</v>
      </c>
      <c r="AD106" s="132"/>
      <c r="AE106" s="135"/>
    </row>
    <row r="107" spans="1:31" ht="16.5" customHeight="1" thickBot="1">
      <c r="A107" s="173"/>
      <c r="B107" s="154"/>
      <c r="C107" s="115">
        <v>112004</v>
      </c>
      <c r="D107" s="115"/>
      <c r="E107" s="4" t="s">
        <v>123</v>
      </c>
      <c r="F107" s="33">
        <v>12</v>
      </c>
      <c r="G107" s="1">
        <f>G104</f>
        <v>33.107500000000002</v>
      </c>
      <c r="H107" s="34"/>
      <c r="I107" s="35">
        <f t="shared" si="21"/>
        <v>0</v>
      </c>
      <c r="J107" s="30"/>
      <c r="K107" s="5">
        <f>K106</f>
        <v>51</v>
      </c>
      <c r="L107" s="30"/>
      <c r="M107" s="31">
        <f t="shared" si="27"/>
        <v>0.35083333333333333</v>
      </c>
      <c r="N107" s="5">
        <f t="shared" si="22"/>
        <v>50.934615384615384</v>
      </c>
      <c r="P107" s="5">
        <f>P106</f>
        <v>44.14</v>
      </c>
      <c r="Q107" s="30"/>
      <c r="R107" s="31">
        <f t="shared" si="28"/>
        <v>0.24994336202990486</v>
      </c>
      <c r="S107" s="5">
        <f t="shared" si="26"/>
        <v>44.143333333333338</v>
      </c>
      <c r="T107" s="132"/>
      <c r="U107" s="5">
        <f>U106</f>
        <v>44.14</v>
      </c>
      <c r="V107" s="30"/>
      <c r="W107" s="31">
        <f t="shared" si="29"/>
        <v>0.24994336202990486</v>
      </c>
      <c r="X107" s="5">
        <f t="shared" si="24"/>
        <v>50.934615384615384</v>
      </c>
      <c r="Y107" s="132"/>
      <c r="Z107" s="5">
        <f>Z106</f>
        <v>53.48</v>
      </c>
      <c r="AA107" s="30"/>
      <c r="AB107" s="31">
        <f t="shared" si="30"/>
        <v>0.3809367988032909</v>
      </c>
      <c r="AC107" s="5">
        <f t="shared" si="31"/>
        <v>53.481346153846154</v>
      </c>
      <c r="AD107" s="132"/>
      <c r="AE107" s="135"/>
    </row>
    <row r="108" spans="1:31" ht="16.5" customHeight="1">
      <c r="A108" s="173"/>
      <c r="B108" s="154"/>
      <c r="C108" s="114">
        <v>113001</v>
      </c>
      <c r="D108" s="117"/>
      <c r="E108" s="4" t="s">
        <v>81</v>
      </c>
      <c r="F108" s="33">
        <v>12</v>
      </c>
      <c r="G108" s="1">
        <f>G104</f>
        <v>33.107500000000002</v>
      </c>
      <c r="H108" s="34"/>
      <c r="I108" s="35">
        <f t="shared" si="21"/>
        <v>0</v>
      </c>
      <c r="J108" s="30"/>
      <c r="K108" s="5">
        <f>K106</f>
        <v>51</v>
      </c>
      <c r="L108" s="30"/>
      <c r="M108" s="31">
        <f t="shared" si="27"/>
        <v>0.35083333333333333</v>
      </c>
      <c r="N108" s="5">
        <f t="shared" si="22"/>
        <v>50.934615384615384</v>
      </c>
      <c r="P108" s="5">
        <f>P106</f>
        <v>44.14</v>
      </c>
      <c r="Q108" s="30"/>
      <c r="R108" s="31">
        <f t="shared" si="28"/>
        <v>0.24994336202990486</v>
      </c>
      <c r="S108" s="5">
        <f t="shared" si="26"/>
        <v>44.143333333333338</v>
      </c>
      <c r="T108" s="132"/>
      <c r="U108" s="5">
        <f>U106</f>
        <v>44.14</v>
      </c>
      <c r="V108" s="30"/>
      <c r="W108" s="31">
        <f t="shared" si="29"/>
        <v>0.24994336202990486</v>
      </c>
      <c r="X108" s="5">
        <f t="shared" si="24"/>
        <v>50.934615384615384</v>
      </c>
      <c r="Y108" s="132"/>
      <c r="Z108" s="5">
        <f>Z106</f>
        <v>53.48</v>
      </c>
      <c r="AA108" s="30"/>
      <c r="AB108" s="31">
        <f t="shared" si="30"/>
        <v>0.3809367988032909</v>
      </c>
      <c r="AC108" s="5">
        <f t="shared" si="31"/>
        <v>53.481346153846154</v>
      </c>
      <c r="AD108" s="132"/>
      <c r="AE108" s="135"/>
    </row>
    <row r="109" spans="1:31" ht="16.5" customHeight="1" thickBot="1">
      <c r="A109" s="173"/>
      <c r="B109" s="154"/>
      <c r="C109" s="115">
        <v>113002</v>
      </c>
      <c r="D109" s="141" t="s">
        <v>362</v>
      </c>
      <c r="E109" s="4" t="s">
        <v>70</v>
      </c>
      <c r="F109" s="33">
        <v>8</v>
      </c>
      <c r="G109" s="1">
        <f>39.61*0.95</f>
        <v>37.6295</v>
      </c>
      <c r="H109" s="34"/>
      <c r="I109" s="35">
        <f t="shared" si="21"/>
        <v>0</v>
      </c>
      <c r="J109" s="30"/>
      <c r="K109" s="5">
        <v>58</v>
      </c>
      <c r="L109" s="30"/>
      <c r="M109" s="31">
        <f t="shared" si="27"/>
        <v>0.35121551724137934</v>
      </c>
      <c r="N109" s="5">
        <f t="shared" si="22"/>
        <v>57.89153846153846</v>
      </c>
      <c r="P109" s="5">
        <v>49</v>
      </c>
      <c r="Q109" s="30"/>
      <c r="R109" s="31">
        <f t="shared" si="28"/>
        <v>0.23205102040816328</v>
      </c>
      <c r="S109" s="5">
        <f t="shared" si="26"/>
        <v>50.172666666666665</v>
      </c>
      <c r="T109" s="132"/>
      <c r="U109" s="5">
        <v>49</v>
      </c>
      <c r="V109" s="30"/>
      <c r="W109" s="31">
        <f t="shared" si="29"/>
        <v>0.23205102040816328</v>
      </c>
      <c r="X109" s="5">
        <f t="shared" si="24"/>
        <v>57.89153846153846</v>
      </c>
      <c r="Y109" s="132"/>
      <c r="Z109" s="5">
        <v>60.79</v>
      </c>
      <c r="AA109" s="30"/>
      <c r="AB109" s="31">
        <f t="shared" si="30"/>
        <v>0.38099193946372756</v>
      </c>
      <c r="AC109" s="5">
        <f t="shared" si="31"/>
        <v>60.786115384615385</v>
      </c>
      <c r="AD109" s="132"/>
      <c r="AE109" s="135"/>
    </row>
    <row r="110" spans="1:31" ht="16.5" customHeight="1">
      <c r="A110" s="173"/>
      <c r="B110" s="154"/>
      <c r="C110" s="114">
        <v>113003</v>
      </c>
      <c r="D110" s="141" t="s">
        <v>362</v>
      </c>
      <c r="E110" s="4" t="s">
        <v>52</v>
      </c>
      <c r="F110" s="33">
        <v>8</v>
      </c>
      <c r="G110" s="1">
        <f>G109</f>
        <v>37.6295</v>
      </c>
      <c r="H110" s="34"/>
      <c r="I110" s="35">
        <f t="shared" si="21"/>
        <v>0</v>
      </c>
      <c r="J110" s="30"/>
      <c r="K110" s="5">
        <f>K109</f>
        <v>58</v>
      </c>
      <c r="L110" s="30"/>
      <c r="M110" s="31">
        <f t="shared" si="27"/>
        <v>0.35121551724137934</v>
      </c>
      <c r="N110" s="5">
        <f t="shared" si="22"/>
        <v>57.89153846153846</v>
      </c>
      <c r="P110" s="5">
        <f>P109</f>
        <v>49</v>
      </c>
      <c r="Q110" s="30"/>
      <c r="R110" s="31">
        <f t="shared" si="28"/>
        <v>0.23205102040816328</v>
      </c>
      <c r="S110" s="5">
        <f t="shared" si="26"/>
        <v>50.172666666666665</v>
      </c>
      <c r="T110" s="132"/>
      <c r="U110" s="5">
        <f>U109</f>
        <v>49</v>
      </c>
      <c r="V110" s="30"/>
      <c r="W110" s="31">
        <f t="shared" si="29"/>
        <v>0.23205102040816328</v>
      </c>
      <c r="X110" s="5">
        <f t="shared" si="24"/>
        <v>57.89153846153846</v>
      </c>
      <c r="Y110" s="132"/>
      <c r="Z110" s="5">
        <f>Z109</f>
        <v>60.79</v>
      </c>
      <c r="AA110" s="30"/>
      <c r="AB110" s="31">
        <f t="shared" si="30"/>
        <v>0.38099193946372756</v>
      </c>
      <c r="AC110" s="5">
        <f t="shared" si="31"/>
        <v>60.786115384615385</v>
      </c>
      <c r="AD110" s="132"/>
      <c r="AE110" s="135"/>
    </row>
    <row r="111" spans="1:31" ht="16.5" customHeight="1" thickBot="1">
      <c r="A111" s="173"/>
      <c r="B111" s="154"/>
      <c r="C111" s="115">
        <v>113004</v>
      </c>
      <c r="D111" s="115"/>
      <c r="E111" s="4" t="s">
        <v>77</v>
      </c>
      <c r="F111" s="33"/>
      <c r="G111" s="1">
        <f>G109</f>
        <v>37.6295</v>
      </c>
      <c r="H111" s="34"/>
      <c r="I111" s="35">
        <f t="shared" si="21"/>
        <v>0</v>
      </c>
      <c r="J111" s="30"/>
      <c r="K111" s="47">
        <f>K109</f>
        <v>58</v>
      </c>
      <c r="L111" s="30"/>
      <c r="M111" s="31">
        <f t="shared" si="27"/>
        <v>0.35121551724137934</v>
      </c>
      <c r="N111" s="5">
        <f t="shared" si="22"/>
        <v>57.89153846153846</v>
      </c>
      <c r="P111" s="47">
        <f>P109</f>
        <v>49</v>
      </c>
      <c r="Q111" s="30"/>
      <c r="R111" s="31">
        <f t="shared" si="28"/>
        <v>0.23205102040816328</v>
      </c>
      <c r="S111" s="5">
        <f t="shared" si="26"/>
        <v>50.172666666666665</v>
      </c>
      <c r="T111" s="132"/>
      <c r="U111" s="47">
        <f>U109</f>
        <v>49</v>
      </c>
      <c r="V111" s="30"/>
      <c r="W111" s="31">
        <f t="shared" si="29"/>
        <v>0.23205102040816328</v>
      </c>
      <c r="X111" s="5">
        <f t="shared" si="24"/>
        <v>57.89153846153846</v>
      </c>
      <c r="Y111" s="132"/>
      <c r="Z111" s="47">
        <f>Z109</f>
        <v>60.79</v>
      </c>
      <c r="AA111" s="30"/>
      <c r="AB111" s="31">
        <f t="shared" si="30"/>
        <v>0.38099193946372756</v>
      </c>
      <c r="AC111" s="5">
        <f t="shared" si="31"/>
        <v>60.786115384615385</v>
      </c>
      <c r="AD111" s="132"/>
      <c r="AE111" s="135"/>
    </row>
    <row r="112" spans="1:31" ht="16.5" customHeight="1">
      <c r="A112" s="173"/>
      <c r="B112" s="154"/>
      <c r="C112" s="114">
        <v>113005</v>
      </c>
      <c r="D112" s="117"/>
      <c r="E112" s="4" t="s">
        <v>78</v>
      </c>
      <c r="F112" s="33"/>
      <c r="G112" s="1">
        <f>G109</f>
        <v>37.6295</v>
      </c>
      <c r="H112" s="34"/>
      <c r="I112" s="35">
        <f t="shared" si="21"/>
        <v>0</v>
      </c>
      <c r="J112" s="30"/>
      <c r="K112" s="47">
        <f>K109</f>
        <v>58</v>
      </c>
      <c r="L112" s="30"/>
      <c r="M112" s="31">
        <f t="shared" si="27"/>
        <v>0.35121551724137934</v>
      </c>
      <c r="N112" s="5">
        <f t="shared" si="22"/>
        <v>57.89153846153846</v>
      </c>
      <c r="P112" s="47">
        <f>P109</f>
        <v>49</v>
      </c>
      <c r="Q112" s="30"/>
      <c r="R112" s="31">
        <f t="shared" si="28"/>
        <v>0.23205102040816328</v>
      </c>
      <c r="S112" s="5">
        <f t="shared" si="26"/>
        <v>50.172666666666665</v>
      </c>
      <c r="T112" s="132"/>
      <c r="U112" s="47">
        <f>U109</f>
        <v>49</v>
      </c>
      <c r="V112" s="30"/>
      <c r="W112" s="31">
        <f t="shared" si="29"/>
        <v>0.23205102040816328</v>
      </c>
      <c r="X112" s="5">
        <f t="shared" si="24"/>
        <v>57.89153846153846</v>
      </c>
      <c r="Y112" s="132"/>
      <c r="Z112" s="47">
        <f>Z109</f>
        <v>60.79</v>
      </c>
      <c r="AA112" s="30"/>
      <c r="AB112" s="31">
        <f t="shared" si="30"/>
        <v>0.38099193946372756</v>
      </c>
      <c r="AC112" s="5">
        <f t="shared" si="31"/>
        <v>60.786115384615385</v>
      </c>
      <c r="AD112" s="132"/>
      <c r="AE112" s="135"/>
    </row>
    <row r="113" spans="1:31" ht="16.5" customHeight="1">
      <c r="A113" s="173"/>
      <c r="B113" s="154"/>
      <c r="C113" s="115">
        <v>113006</v>
      </c>
      <c r="D113" s="115"/>
      <c r="E113" s="4" t="s">
        <v>79</v>
      </c>
      <c r="F113" s="33">
        <v>8</v>
      </c>
      <c r="G113" s="1">
        <f>41*0.95</f>
        <v>38.949999999999996</v>
      </c>
      <c r="H113" s="34"/>
      <c r="I113" s="35">
        <f t="shared" si="21"/>
        <v>0</v>
      </c>
      <c r="J113" s="30"/>
      <c r="K113" s="5">
        <v>60</v>
      </c>
      <c r="L113" s="30"/>
      <c r="M113" s="31">
        <f t="shared" si="27"/>
        <v>0.35083333333333344</v>
      </c>
      <c r="N113" s="5">
        <f t="shared" si="22"/>
        <v>59.923076923076913</v>
      </c>
      <c r="P113" s="5">
        <v>52</v>
      </c>
      <c r="Q113" s="30"/>
      <c r="R113" s="31">
        <f t="shared" si="28"/>
        <v>0.25096153846153857</v>
      </c>
      <c r="S113" s="5">
        <f t="shared" si="26"/>
        <v>51.93333333333333</v>
      </c>
      <c r="T113" s="132"/>
      <c r="U113" s="5">
        <v>52</v>
      </c>
      <c r="V113" s="30"/>
      <c r="W113" s="31">
        <f t="shared" si="29"/>
        <v>0.25096153846153857</v>
      </c>
      <c r="X113" s="5">
        <f t="shared" si="24"/>
        <v>59.923076923076913</v>
      </c>
      <c r="Y113" s="132"/>
      <c r="Z113" s="5">
        <v>62.92</v>
      </c>
      <c r="AA113" s="30"/>
      <c r="AB113" s="31">
        <f t="shared" si="30"/>
        <v>0.38095994914176745</v>
      </c>
      <c r="AC113" s="5">
        <f t="shared" si="31"/>
        <v>62.919230769230758</v>
      </c>
      <c r="AD113" s="132"/>
      <c r="AE113" s="135"/>
    </row>
    <row r="114" spans="1:31" ht="16.5" customHeight="1">
      <c r="A114" s="173"/>
      <c r="B114" s="154"/>
      <c r="C114" s="115">
        <v>111004</v>
      </c>
      <c r="D114" s="141" t="s">
        <v>363</v>
      </c>
      <c r="E114" s="4" t="s">
        <v>107</v>
      </c>
      <c r="F114" s="33">
        <v>16</v>
      </c>
      <c r="G114" s="1">
        <f>14.19*0.95</f>
        <v>13.480499999999999</v>
      </c>
      <c r="H114" s="34"/>
      <c r="I114" s="35">
        <f t="shared" si="21"/>
        <v>0</v>
      </c>
      <c r="J114" s="30"/>
      <c r="K114" s="5">
        <v>21</v>
      </c>
      <c r="L114" s="30"/>
      <c r="M114" s="31">
        <f t="shared" si="27"/>
        <v>0.3580714285714286</v>
      </c>
      <c r="N114" s="5">
        <f t="shared" si="22"/>
        <v>20.739230769230769</v>
      </c>
      <c r="P114" s="5">
        <v>18</v>
      </c>
      <c r="Q114" s="30"/>
      <c r="R114" s="31">
        <f t="shared" si="28"/>
        <v>0.25108333333333333</v>
      </c>
      <c r="S114" s="5">
        <f t="shared" si="26"/>
        <v>17.974</v>
      </c>
      <c r="T114" s="132"/>
      <c r="U114" s="5">
        <v>18</v>
      </c>
      <c r="V114" s="30"/>
      <c r="W114" s="31">
        <f t="shared" si="29"/>
        <v>0.25108333333333333</v>
      </c>
      <c r="X114" s="5">
        <f t="shared" si="24"/>
        <v>20.739230769230769</v>
      </c>
      <c r="Y114" s="132"/>
      <c r="Z114" s="5">
        <v>22</v>
      </c>
      <c r="AA114" s="30"/>
      <c r="AB114" s="31">
        <f t="shared" si="30"/>
        <v>0.38724999999999998</v>
      </c>
      <c r="AC114" s="5">
        <f t="shared" si="31"/>
        <v>21.776192307692309</v>
      </c>
      <c r="AD114" s="132"/>
      <c r="AE114" s="135"/>
    </row>
    <row r="115" spans="1:31" ht="16.5" customHeight="1">
      <c r="A115" s="173"/>
      <c r="B115" s="154"/>
      <c r="C115" s="115">
        <v>114001</v>
      </c>
      <c r="D115" s="115"/>
      <c r="E115" s="4" t="s">
        <v>242</v>
      </c>
      <c r="F115" s="33"/>
      <c r="G115" s="1">
        <v>13.2</v>
      </c>
      <c r="H115" s="34"/>
      <c r="I115" s="35">
        <f t="shared" si="21"/>
        <v>0</v>
      </c>
      <c r="J115" s="30"/>
      <c r="K115" s="5">
        <v>0</v>
      </c>
      <c r="L115" s="30"/>
      <c r="M115" s="31" t="e">
        <f t="shared" si="27"/>
        <v>#DIV/0!</v>
      </c>
      <c r="N115" s="5">
        <f t="shared" si="22"/>
        <v>20.307692307692307</v>
      </c>
      <c r="P115" s="5">
        <v>0</v>
      </c>
      <c r="Q115" s="30"/>
      <c r="R115" s="31" t="e">
        <f t="shared" si="28"/>
        <v>#DIV/0!</v>
      </c>
      <c r="S115" s="5">
        <f t="shared" si="26"/>
        <v>17.599999999999998</v>
      </c>
      <c r="T115" s="132"/>
      <c r="U115" s="5">
        <v>0</v>
      </c>
      <c r="V115" s="30"/>
      <c r="W115" s="31" t="e">
        <f t="shared" si="29"/>
        <v>#DIV/0!</v>
      </c>
      <c r="X115" s="5">
        <f t="shared" si="24"/>
        <v>20.307692307692307</v>
      </c>
      <c r="Y115" s="132"/>
      <c r="Z115" s="5">
        <v>0</v>
      </c>
      <c r="AA115" s="30"/>
      <c r="AB115" s="31" t="e">
        <f t="shared" si="30"/>
        <v>#DIV/0!</v>
      </c>
      <c r="AC115" s="5">
        <f t="shared" si="31"/>
        <v>21.323076923076922</v>
      </c>
      <c r="AD115" s="132"/>
      <c r="AE115" s="135"/>
    </row>
    <row r="116" spans="1:31" ht="16.5" customHeight="1">
      <c r="A116" s="173"/>
      <c r="B116" s="154"/>
      <c r="C116" s="115">
        <v>114002</v>
      </c>
      <c r="D116" s="115"/>
      <c r="E116" s="4" t="s">
        <v>241</v>
      </c>
      <c r="F116" s="33"/>
      <c r="G116" s="1">
        <v>13.6</v>
      </c>
      <c r="H116" s="34"/>
      <c r="I116" s="35">
        <f t="shared" si="21"/>
        <v>0</v>
      </c>
      <c r="J116" s="30"/>
      <c r="K116" s="5">
        <v>20.92</v>
      </c>
      <c r="L116" s="30"/>
      <c r="M116" s="31">
        <f t="shared" si="27"/>
        <v>0.34990439770554504</v>
      </c>
      <c r="N116" s="5">
        <f t="shared" si="22"/>
        <v>20.923076923076923</v>
      </c>
      <c r="P116" s="5">
        <v>0</v>
      </c>
      <c r="Q116" s="30"/>
      <c r="R116" s="31" t="e">
        <f t="shared" si="28"/>
        <v>#DIV/0!</v>
      </c>
      <c r="S116" s="5">
        <f t="shared" si="26"/>
        <v>18.133333333333333</v>
      </c>
      <c r="T116" s="132"/>
      <c r="U116" s="5">
        <v>20.92</v>
      </c>
      <c r="V116" s="30"/>
      <c r="W116" s="31">
        <f t="shared" si="29"/>
        <v>0.34990439770554504</v>
      </c>
      <c r="X116" s="5">
        <f t="shared" si="24"/>
        <v>20.923076923076923</v>
      </c>
      <c r="Y116" s="132"/>
      <c r="Z116" s="5">
        <v>0</v>
      </c>
      <c r="AA116" s="30"/>
      <c r="AB116" s="31" t="e">
        <f t="shared" si="30"/>
        <v>#DIV/0!</v>
      </c>
      <c r="AC116" s="5">
        <f t="shared" si="31"/>
        <v>21.969230769230769</v>
      </c>
      <c r="AD116" s="132"/>
      <c r="AE116" s="135"/>
    </row>
    <row r="117" spans="1:31" ht="16.5" customHeight="1">
      <c r="A117" s="173"/>
      <c r="B117" s="154"/>
      <c r="C117" s="115">
        <v>114003</v>
      </c>
      <c r="D117" s="115"/>
      <c r="E117" s="4" t="s">
        <v>82</v>
      </c>
      <c r="F117" s="33"/>
      <c r="G117" s="1">
        <f>77*0.8</f>
        <v>61.6</v>
      </c>
      <c r="H117" s="34"/>
      <c r="I117" s="35">
        <f t="shared" si="21"/>
        <v>0</v>
      </c>
      <c r="J117" s="30"/>
      <c r="K117" s="5">
        <v>94.77</v>
      </c>
      <c r="L117" s="30"/>
      <c r="M117" s="31">
        <f t="shared" si="27"/>
        <v>0.35000527593120179</v>
      </c>
      <c r="N117" s="5">
        <f t="shared" si="22"/>
        <v>94.769230769230774</v>
      </c>
      <c r="P117" s="5">
        <v>0</v>
      </c>
      <c r="Q117" s="30"/>
      <c r="R117" s="31" t="e">
        <f t="shared" si="28"/>
        <v>#DIV/0!</v>
      </c>
      <c r="S117" s="5">
        <f t="shared" si="26"/>
        <v>82.13333333333334</v>
      </c>
      <c r="T117" s="132"/>
      <c r="U117" s="5">
        <v>94.77</v>
      </c>
      <c r="V117" s="30"/>
      <c r="W117" s="31">
        <f t="shared" si="29"/>
        <v>0.35000527593120179</v>
      </c>
      <c r="X117" s="5">
        <f t="shared" si="24"/>
        <v>94.769230769230774</v>
      </c>
      <c r="Y117" s="132"/>
      <c r="Z117" s="5">
        <v>0</v>
      </c>
      <c r="AA117" s="30"/>
      <c r="AB117" s="31" t="e">
        <f t="shared" si="30"/>
        <v>#DIV/0!</v>
      </c>
      <c r="AC117" s="5">
        <f t="shared" si="31"/>
        <v>99.507692307692309</v>
      </c>
      <c r="AD117" s="132"/>
      <c r="AE117" s="135"/>
    </row>
    <row r="118" spans="1:31" ht="16.5" customHeight="1">
      <c r="A118" s="173"/>
      <c r="B118" s="154"/>
      <c r="C118" s="115">
        <v>114005</v>
      </c>
      <c r="D118" s="115"/>
      <c r="E118" s="4" t="s">
        <v>156</v>
      </c>
      <c r="F118" s="53"/>
      <c r="G118" s="54">
        <f>105*0.8</f>
        <v>84</v>
      </c>
      <c r="H118" s="57"/>
      <c r="I118" s="35">
        <f t="shared" si="21"/>
        <v>0</v>
      </c>
      <c r="J118" s="30"/>
      <c r="K118" s="5">
        <v>120</v>
      </c>
      <c r="L118" s="30"/>
      <c r="M118" s="31">
        <f t="shared" si="27"/>
        <v>0.30000000000000004</v>
      </c>
      <c r="N118" s="5">
        <f t="shared" si="22"/>
        <v>129.23076923076923</v>
      </c>
      <c r="P118" s="5">
        <v>0</v>
      </c>
      <c r="Q118" s="30"/>
      <c r="R118" s="31" t="e">
        <f t="shared" si="28"/>
        <v>#DIV/0!</v>
      </c>
      <c r="S118" s="5">
        <f t="shared" si="26"/>
        <v>112</v>
      </c>
      <c r="T118" s="132"/>
      <c r="U118" s="5">
        <v>120</v>
      </c>
      <c r="V118" s="30"/>
      <c r="W118" s="31">
        <f t="shared" si="29"/>
        <v>0.30000000000000004</v>
      </c>
      <c r="X118" s="5">
        <f t="shared" si="24"/>
        <v>129.23076923076923</v>
      </c>
      <c r="Y118" s="132"/>
      <c r="Z118" s="5">
        <v>0</v>
      </c>
      <c r="AA118" s="30"/>
      <c r="AB118" s="31" t="e">
        <f t="shared" si="30"/>
        <v>#DIV/0!</v>
      </c>
      <c r="AC118" s="5">
        <f t="shared" si="31"/>
        <v>135.69230769230771</v>
      </c>
      <c r="AD118" s="132"/>
      <c r="AE118" s="135"/>
    </row>
    <row r="119" spans="1:31" ht="16.5" customHeight="1" thickBot="1">
      <c r="A119" s="173"/>
      <c r="B119" s="154"/>
      <c r="C119" s="115">
        <v>114005</v>
      </c>
      <c r="D119" s="119"/>
      <c r="E119" s="8" t="s">
        <v>83</v>
      </c>
      <c r="F119" s="53"/>
      <c r="G119" s="54">
        <f>115*0.8</f>
        <v>92</v>
      </c>
      <c r="H119" s="57"/>
      <c r="I119" s="35">
        <f t="shared" si="21"/>
        <v>0</v>
      </c>
      <c r="J119" s="30"/>
      <c r="K119" s="5">
        <v>131.43</v>
      </c>
      <c r="L119" s="30"/>
      <c r="M119" s="31">
        <f t="shared" si="27"/>
        <v>0.30000760861294995</v>
      </c>
      <c r="N119" s="5">
        <f t="shared" si="22"/>
        <v>141.53846153846155</v>
      </c>
      <c r="P119" s="5">
        <v>0</v>
      </c>
      <c r="Q119" s="30"/>
      <c r="R119" s="31" t="e">
        <f t="shared" si="28"/>
        <v>#DIV/0!</v>
      </c>
      <c r="S119" s="5">
        <f t="shared" si="26"/>
        <v>122.66666666666667</v>
      </c>
      <c r="T119" s="132"/>
      <c r="U119" s="5">
        <v>131.43</v>
      </c>
      <c r="V119" s="30"/>
      <c r="W119" s="31">
        <f t="shared" si="29"/>
        <v>0.30000760861294995</v>
      </c>
      <c r="X119" s="5">
        <f t="shared" si="24"/>
        <v>141.53846153846155</v>
      </c>
      <c r="Y119" s="132"/>
      <c r="Z119" s="5">
        <v>0</v>
      </c>
      <c r="AA119" s="30"/>
      <c r="AB119" s="31" t="e">
        <f t="shared" si="30"/>
        <v>#DIV/0!</v>
      </c>
      <c r="AC119" s="5">
        <f t="shared" si="31"/>
        <v>148.61538461538464</v>
      </c>
      <c r="AD119" s="132"/>
      <c r="AE119" s="135"/>
    </row>
    <row r="120" spans="1:31" ht="16.5" customHeight="1">
      <c r="A120" s="174"/>
      <c r="B120" s="175" t="s">
        <v>99</v>
      </c>
      <c r="C120" s="114">
        <v>111006</v>
      </c>
      <c r="D120" s="114"/>
      <c r="E120" s="58" t="s">
        <v>96</v>
      </c>
      <c r="F120" s="26">
        <v>16</v>
      </c>
      <c r="G120" s="47">
        <f>9.84*0.95</f>
        <v>9.347999999999999</v>
      </c>
      <c r="H120" s="28"/>
      <c r="I120" s="35">
        <f t="shared" si="21"/>
        <v>0</v>
      </c>
      <c r="J120" s="30"/>
      <c r="K120" s="5">
        <v>14.5</v>
      </c>
      <c r="L120" s="59"/>
      <c r="M120" s="31">
        <f t="shared" si="27"/>
        <v>0.35531034482758628</v>
      </c>
      <c r="N120" s="5">
        <f t="shared" si="22"/>
        <v>14.38153846153846</v>
      </c>
      <c r="P120" s="5">
        <v>12.5</v>
      </c>
      <c r="Q120" s="59"/>
      <c r="R120" s="31">
        <f t="shared" si="28"/>
        <v>0.25216000000000005</v>
      </c>
      <c r="S120" s="5">
        <f>$G120/0.75</f>
        <v>12.463999999999999</v>
      </c>
      <c r="T120" s="132"/>
      <c r="U120" s="5">
        <v>12.5</v>
      </c>
      <c r="V120" s="59"/>
      <c r="W120" s="31">
        <f t="shared" si="29"/>
        <v>0.25216000000000005</v>
      </c>
      <c r="X120" s="5">
        <f t="shared" si="24"/>
        <v>14.38153846153846</v>
      </c>
      <c r="Y120" s="132"/>
      <c r="Z120" s="5">
        <v>15.1</v>
      </c>
      <c r="AA120" s="59"/>
      <c r="AB120" s="31">
        <f t="shared" si="30"/>
        <v>0.38092715231788088</v>
      </c>
      <c r="AC120" s="5">
        <f t="shared" si="31"/>
        <v>15.100615384615384</v>
      </c>
      <c r="AD120" s="132"/>
      <c r="AE120" s="135"/>
    </row>
    <row r="121" spans="1:31" ht="16.5" customHeight="1" thickBot="1">
      <c r="A121" s="174"/>
      <c r="B121" s="176"/>
      <c r="C121" s="115">
        <v>111007</v>
      </c>
      <c r="D121" s="115"/>
      <c r="E121" s="60" t="s">
        <v>97</v>
      </c>
      <c r="F121" s="33">
        <v>16</v>
      </c>
      <c r="G121" s="47">
        <f>G120</f>
        <v>9.347999999999999</v>
      </c>
      <c r="H121" s="34"/>
      <c r="I121" s="35">
        <f t="shared" si="21"/>
        <v>0</v>
      </c>
      <c r="J121" s="30"/>
      <c r="K121" s="5">
        <f>K120</f>
        <v>14.5</v>
      </c>
      <c r="L121" s="30"/>
      <c r="M121" s="31">
        <f t="shared" si="27"/>
        <v>0.35531034482758628</v>
      </c>
      <c r="N121" s="5">
        <f t="shared" si="22"/>
        <v>14.38153846153846</v>
      </c>
      <c r="P121" s="5">
        <f>P120</f>
        <v>12.5</v>
      </c>
      <c r="Q121" s="30"/>
      <c r="R121" s="31">
        <f t="shared" si="28"/>
        <v>0.25216000000000005</v>
      </c>
      <c r="S121" s="5">
        <f>$G121/0.75</f>
        <v>12.463999999999999</v>
      </c>
      <c r="T121" s="132"/>
      <c r="U121" s="5">
        <f>U120</f>
        <v>12.5</v>
      </c>
      <c r="V121" s="30"/>
      <c r="W121" s="31">
        <f t="shared" si="29"/>
        <v>0.25216000000000005</v>
      </c>
      <c r="X121" s="5">
        <f t="shared" si="24"/>
        <v>14.38153846153846</v>
      </c>
      <c r="Y121" s="132"/>
      <c r="Z121" s="5">
        <f>Z120</f>
        <v>15.1</v>
      </c>
      <c r="AA121" s="30"/>
      <c r="AB121" s="31">
        <f t="shared" si="30"/>
        <v>0.38092715231788088</v>
      </c>
      <c r="AC121" s="5">
        <f t="shared" si="31"/>
        <v>15.100615384615384</v>
      </c>
      <c r="AD121" s="132"/>
      <c r="AE121" s="135"/>
    </row>
    <row r="122" spans="1:31" ht="16.5" customHeight="1">
      <c r="A122" s="174"/>
      <c r="B122" s="176"/>
      <c r="C122" s="114">
        <v>111008</v>
      </c>
      <c r="D122" s="117"/>
      <c r="E122" s="60" t="s">
        <v>98</v>
      </c>
      <c r="F122" s="33">
        <v>16</v>
      </c>
      <c r="G122" s="47">
        <f>11.28*0.95</f>
        <v>10.715999999999999</v>
      </c>
      <c r="H122" s="34"/>
      <c r="I122" s="35">
        <f t="shared" si="21"/>
        <v>0</v>
      </c>
      <c r="J122" s="30"/>
      <c r="K122" s="5">
        <v>16.5</v>
      </c>
      <c r="L122" s="30"/>
      <c r="M122" s="31">
        <f t="shared" si="27"/>
        <v>0.3505454545454546</v>
      </c>
      <c r="N122" s="5">
        <f t="shared" si="22"/>
        <v>16.486153846153844</v>
      </c>
      <c r="P122" s="5">
        <v>14.5</v>
      </c>
      <c r="Q122" s="30"/>
      <c r="R122" s="31">
        <f t="shared" si="28"/>
        <v>0.2609655172413794</v>
      </c>
      <c r="S122" s="5">
        <f>$G122/0.75</f>
        <v>14.287999999999998</v>
      </c>
      <c r="T122" s="132"/>
      <c r="U122" s="5">
        <v>14.5</v>
      </c>
      <c r="V122" s="30"/>
      <c r="W122" s="31">
        <f t="shared" si="29"/>
        <v>0.2609655172413794</v>
      </c>
      <c r="X122" s="5">
        <f t="shared" si="24"/>
        <v>16.486153846153844</v>
      </c>
      <c r="Y122" s="132"/>
      <c r="Z122" s="5">
        <v>17.309999999999999</v>
      </c>
      <c r="AA122" s="30"/>
      <c r="AB122" s="31">
        <f t="shared" si="30"/>
        <v>0.38093587521663774</v>
      </c>
      <c r="AC122" s="5">
        <f t="shared" si="31"/>
        <v>17.310461538461535</v>
      </c>
      <c r="AD122" s="132"/>
      <c r="AE122" s="135"/>
    </row>
    <row r="123" spans="1:31" ht="16.5" customHeight="1" thickBot="1">
      <c r="A123" s="174"/>
      <c r="B123" s="177"/>
      <c r="C123" s="115">
        <v>111009</v>
      </c>
      <c r="D123" s="119"/>
      <c r="E123" s="61" t="s">
        <v>285</v>
      </c>
      <c r="F123" s="43">
        <v>16</v>
      </c>
      <c r="G123" s="109">
        <f>G122</f>
        <v>10.715999999999999</v>
      </c>
      <c r="H123" s="45"/>
      <c r="I123" s="35">
        <f t="shared" si="21"/>
        <v>0</v>
      </c>
      <c r="J123" s="30"/>
      <c r="K123" s="5">
        <f>K122</f>
        <v>16.5</v>
      </c>
      <c r="L123" s="30"/>
      <c r="M123" s="31">
        <f t="shared" si="27"/>
        <v>0.3505454545454546</v>
      </c>
      <c r="N123" s="5">
        <f t="shared" si="22"/>
        <v>16.486153846153844</v>
      </c>
      <c r="P123" s="5">
        <f>P122</f>
        <v>14.5</v>
      </c>
      <c r="Q123" s="30"/>
      <c r="R123" s="31">
        <f t="shared" si="28"/>
        <v>0.2609655172413794</v>
      </c>
      <c r="S123" s="5">
        <f>$G123/0.75</f>
        <v>14.287999999999998</v>
      </c>
      <c r="T123" s="132"/>
      <c r="U123" s="5">
        <f>U122</f>
        <v>14.5</v>
      </c>
      <c r="V123" s="30"/>
      <c r="W123" s="31">
        <f t="shared" si="29"/>
        <v>0.2609655172413794</v>
      </c>
      <c r="X123" s="5">
        <f t="shared" si="24"/>
        <v>16.486153846153844</v>
      </c>
      <c r="Y123" s="132"/>
      <c r="Z123" s="5">
        <f>Z122</f>
        <v>17.309999999999999</v>
      </c>
      <c r="AA123" s="30"/>
      <c r="AB123" s="31">
        <f t="shared" si="30"/>
        <v>0.38093587521663774</v>
      </c>
      <c r="AC123" s="5">
        <f t="shared" si="31"/>
        <v>17.310461538461535</v>
      </c>
      <c r="AD123" s="132"/>
      <c r="AE123" s="135"/>
    </row>
    <row r="124" spans="1:31" ht="16.5" customHeight="1">
      <c r="A124" s="173"/>
      <c r="B124" s="154" t="s">
        <v>75</v>
      </c>
      <c r="C124" s="114">
        <v>111010</v>
      </c>
      <c r="D124" s="117"/>
      <c r="E124" s="46" t="s">
        <v>76</v>
      </c>
      <c r="F124" s="40"/>
      <c r="G124" s="6">
        <f>191.88*0.95</f>
        <v>182.286</v>
      </c>
      <c r="H124" s="41"/>
      <c r="I124" s="35">
        <f t="shared" si="21"/>
        <v>0</v>
      </c>
      <c r="J124" s="30"/>
      <c r="K124" s="47">
        <v>280</v>
      </c>
      <c r="L124" s="30"/>
      <c r="M124" s="31">
        <f t="shared" si="27"/>
        <v>0.34897857142857147</v>
      </c>
      <c r="N124" s="5">
        <f t="shared" si="22"/>
        <v>280.44</v>
      </c>
      <c r="P124" s="47">
        <v>280</v>
      </c>
      <c r="Q124" s="30"/>
      <c r="R124" s="31">
        <f t="shared" si="28"/>
        <v>0.34897857142857147</v>
      </c>
      <c r="S124" s="5">
        <f>$G124/0.65</f>
        <v>280.44</v>
      </c>
      <c r="T124" s="132"/>
      <c r="U124" s="47">
        <v>280</v>
      </c>
      <c r="V124" s="30"/>
      <c r="W124" s="31">
        <f t="shared" si="29"/>
        <v>0.34897857142857147</v>
      </c>
      <c r="X124" s="5">
        <f t="shared" si="24"/>
        <v>280.44</v>
      </c>
      <c r="Y124" s="132"/>
      <c r="Z124" s="47">
        <v>294.45999999999998</v>
      </c>
      <c r="AA124" s="30"/>
      <c r="AB124" s="31">
        <f t="shared" si="30"/>
        <v>0.38094817632276023</v>
      </c>
      <c r="AC124" s="5">
        <f t="shared" si="31"/>
        <v>294.46199999999999</v>
      </c>
      <c r="AD124" s="132"/>
      <c r="AE124" s="135"/>
    </row>
    <row r="125" spans="1:31" ht="16.5" customHeight="1" thickBot="1">
      <c r="A125" s="173"/>
      <c r="B125" s="154"/>
      <c r="C125" s="115">
        <v>111011</v>
      </c>
      <c r="D125" s="115"/>
      <c r="E125" s="4" t="s">
        <v>309</v>
      </c>
      <c r="F125" s="33"/>
      <c r="G125" s="1">
        <f>262.4*0.95</f>
        <v>249.27999999999997</v>
      </c>
      <c r="H125" s="34"/>
      <c r="I125" s="35">
        <f t="shared" si="21"/>
        <v>0</v>
      </c>
      <c r="J125" s="30"/>
      <c r="K125" s="47">
        <v>384</v>
      </c>
      <c r="L125" s="59"/>
      <c r="M125" s="31">
        <f t="shared" si="27"/>
        <v>0.35083333333333344</v>
      </c>
      <c r="N125" s="5">
        <f t="shared" si="22"/>
        <v>383.50769230769225</v>
      </c>
      <c r="P125" s="47">
        <v>384</v>
      </c>
      <c r="Q125" s="59"/>
      <c r="R125" s="31">
        <f t="shared" si="28"/>
        <v>0.35083333333333344</v>
      </c>
      <c r="S125" s="5">
        <f>$G125/0.65</f>
        <v>383.50769230769225</v>
      </c>
      <c r="T125" s="132"/>
      <c r="U125" s="47">
        <v>384</v>
      </c>
      <c r="V125" s="59"/>
      <c r="W125" s="31">
        <f t="shared" si="29"/>
        <v>0.35083333333333344</v>
      </c>
      <c r="X125" s="5">
        <f t="shared" si="24"/>
        <v>383.50769230769225</v>
      </c>
      <c r="Y125" s="132"/>
      <c r="Z125" s="47">
        <v>402.68</v>
      </c>
      <c r="AA125" s="59"/>
      <c r="AB125" s="31">
        <f t="shared" si="30"/>
        <v>0.38094765074004178</v>
      </c>
      <c r="AC125" s="5">
        <f t="shared" si="31"/>
        <v>402.6830769230769</v>
      </c>
      <c r="AD125" s="132"/>
      <c r="AE125" s="135"/>
    </row>
    <row r="126" spans="1:31" ht="16.5" customHeight="1">
      <c r="A126" s="173"/>
      <c r="B126" s="154"/>
      <c r="C126" s="114">
        <v>111012</v>
      </c>
      <c r="D126" s="117"/>
      <c r="E126" s="4" t="s">
        <v>307</v>
      </c>
      <c r="F126" s="33"/>
      <c r="G126" s="1">
        <f>278.8*0.95</f>
        <v>264.86</v>
      </c>
      <c r="H126" s="34"/>
      <c r="I126" s="35">
        <f t="shared" si="21"/>
        <v>0</v>
      </c>
      <c r="J126" s="30"/>
      <c r="K126" s="47">
        <v>408</v>
      </c>
      <c r="L126" s="59"/>
      <c r="M126" s="31">
        <f t="shared" si="27"/>
        <v>0.35083333333333333</v>
      </c>
      <c r="N126" s="5">
        <f t="shared" si="22"/>
        <v>407.47692307692307</v>
      </c>
      <c r="P126" s="47">
        <v>408</v>
      </c>
      <c r="Q126" s="59"/>
      <c r="R126" s="31">
        <f t="shared" si="28"/>
        <v>0.35083333333333333</v>
      </c>
      <c r="S126" s="5">
        <f>$G126/0.65</f>
        <v>407.47692307692307</v>
      </c>
      <c r="T126" s="132"/>
      <c r="U126" s="47">
        <v>408</v>
      </c>
      <c r="V126" s="59"/>
      <c r="W126" s="31">
        <f t="shared" si="29"/>
        <v>0.35083333333333333</v>
      </c>
      <c r="X126" s="5">
        <f t="shared" si="24"/>
        <v>407.47692307692307</v>
      </c>
      <c r="Y126" s="132"/>
      <c r="Z126" s="47">
        <v>427.85</v>
      </c>
      <c r="AA126" s="59"/>
      <c r="AB126" s="31">
        <f t="shared" si="30"/>
        <v>0.3809512679677457</v>
      </c>
      <c r="AC126" s="5">
        <f t="shared" si="31"/>
        <v>427.85076923076923</v>
      </c>
      <c r="AD126" s="132"/>
      <c r="AE126" s="135"/>
    </row>
    <row r="127" spans="1:31" ht="16.5" customHeight="1" thickBot="1">
      <c r="A127" s="173"/>
      <c r="B127" s="154"/>
      <c r="C127" s="115">
        <v>111013</v>
      </c>
      <c r="D127" s="115"/>
      <c r="E127" s="4" t="s">
        <v>308</v>
      </c>
      <c r="F127" s="33"/>
      <c r="G127" s="1">
        <f>291.1*0.95</f>
        <v>276.54500000000002</v>
      </c>
      <c r="H127" s="34"/>
      <c r="I127" s="35">
        <f t="shared" si="21"/>
        <v>0</v>
      </c>
      <c r="J127" s="30"/>
      <c r="K127" s="47">
        <v>425</v>
      </c>
      <c r="L127" s="30"/>
      <c r="M127" s="31">
        <f t="shared" si="27"/>
        <v>0.34930588235294113</v>
      </c>
      <c r="N127" s="5">
        <f t="shared" si="22"/>
        <v>425.45384615384614</v>
      </c>
      <c r="P127" s="47">
        <v>425</v>
      </c>
      <c r="Q127" s="30"/>
      <c r="R127" s="31">
        <f t="shared" si="28"/>
        <v>0.34930588235294113</v>
      </c>
      <c r="S127" s="5">
        <f>$G127/0.65</f>
        <v>425.45384615384614</v>
      </c>
      <c r="T127" s="132"/>
      <c r="U127" s="47">
        <v>425</v>
      </c>
      <c r="V127" s="30"/>
      <c r="W127" s="31">
        <f t="shared" si="29"/>
        <v>0.34930588235294113</v>
      </c>
      <c r="X127" s="5">
        <f t="shared" si="24"/>
        <v>425.45384615384614</v>
      </c>
      <c r="Y127" s="132"/>
      <c r="Z127" s="47">
        <v>446.73</v>
      </c>
      <c r="AA127" s="30"/>
      <c r="AB127" s="31">
        <f t="shared" si="30"/>
        <v>0.38095717771360771</v>
      </c>
      <c r="AC127" s="5">
        <f t="shared" si="31"/>
        <v>446.7265384615385</v>
      </c>
      <c r="AD127" s="132"/>
      <c r="AE127" s="135"/>
    </row>
    <row r="128" spans="1:31" ht="16.5" customHeight="1">
      <c r="A128" s="160" t="s">
        <v>68</v>
      </c>
      <c r="B128" s="153" t="s">
        <v>39</v>
      </c>
      <c r="C128" s="114">
        <v>115001</v>
      </c>
      <c r="D128" s="114"/>
      <c r="E128" s="2" t="s">
        <v>73</v>
      </c>
      <c r="F128" s="26"/>
      <c r="G128" s="27">
        <f>(773.76/48)*0.9*1.0416</f>
        <v>15.111532800000003</v>
      </c>
      <c r="H128" s="28"/>
      <c r="I128" s="35">
        <f t="shared" ref="I128:I174" si="32">G128*H128</f>
        <v>0</v>
      </c>
      <c r="J128" s="30"/>
      <c r="K128" s="5">
        <v>23.25</v>
      </c>
      <c r="L128" s="30"/>
      <c r="M128" s="31">
        <f t="shared" si="27"/>
        <v>0.35004159999999984</v>
      </c>
      <c r="N128" s="5">
        <f t="shared" ref="N128:N176" si="33">$G128/0.65</f>
        <v>23.248512000000002</v>
      </c>
      <c r="P128" s="5">
        <v>20.149999999999999</v>
      </c>
      <c r="Q128" s="30"/>
      <c r="R128" s="31">
        <f t="shared" si="28"/>
        <v>0.25004799999999983</v>
      </c>
      <c r="S128" s="5">
        <f>$G128/0.75</f>
        <v>20.148710400000002</v>
      </c>
      <c r="T128" s="132"/>
      <c r="U128" s="5">
        <v>23.25</v>
      </c>
      <c r="V128" s="30"/>
      <c r="W128" s="31">
        <f t="shared" si="29"/>
        <v>0.35004159999999984</v>
      </c>
      <c r="X128" s="5">
        <f t="shared" si="24"/>
        <v>23.248512000000002</v>
      </c>
      <c r="Y128" s="132"/>
      <c r="Z128" s="5">
        <v>24.41</v>
      </c>
      <c r="AA128" s="30"/>
      <c r="AB128" s="31">
        <f t="shared" si="30"/>
        <v>0.3809286030315443</v>
      </c>
      <c r="AC128" s="5">
        <f t="shared" si="31"/>
        <v>24.410937600000004</v>
      </c>
      <c r="AD128" s="132"/>
      <c r="AE128" s="135"/>
    </row>
    <row r="129" spans="1:31" ht="16.5" customHeight="1" thickBot="1">
      <c r="A129" s="161"/>
      <c r="B129" s="154"/>
      <c r="C129" s="117">
        <v>115002</v>
      </c>
      <c r="D129" s="146" t="s">
        <v>364</v>
      </c>
      <c r="E129" s="46" t="s">
        <v>43</v>
      </c>
      <c r="F129" s="40"/>
      <c r="G129" s="6">
        <f>681.12/24*1.04*0.9</f>
        <v>26.563680000000002</v>
      </c>
      <c r="H129" s="41"/>
      <c r="I129" s="35">
        <f t="shared" si="32"/>
        <v>0</v>
      </c>
      <c r="J129" s="30"/>
      <c r="K129" s="5">
        <v>39</v>
      </c>
      <c r="L129" s="30"/>
      <c r="M129" s="31">
        <f t="shared" si="27"/>
        <v>0.31887999999999994</v>
      </c>
      <c r="N129" s="5">
        <f t="shared" si="33"/>
        <v>40.867200000000004</v>
      </c>
      <c r="P129" s="5">
        <v>35.42</v>
      </c>
      <c r="Q129" s="30"/>
      <c r="R129" s="31">
        <f t="shared" si="28"/>
        <v>0.25003726708074536</v>
      </c>
      <c r="S129" s="5">
        <f t="shared" ref="S129:S137" si="34">$G129/0.75</f>
        <v>35.418240000000004</v>
      </c>
      <c r="T129" s="132"/>
      <c r="U129" s="5">
        <v>39</v>
      </c>
      <c r="V129" s="30"/>
      <c r="W129" s="31">
        <f t="shared" si="29"/>
        <v>0.31887999999999994</v>
      </c>
      <c r="X129" s="5">
        <f t="shared" si="24"/>
        <v>40.867200000000004</v>
      </c>
      <c r="Y129" s="132"/>
      <c r="Z129" s="5">
        <v>42.91</v>
      </c>
      <c r="AA129" s="30"/>
      <c r="AB129" s="31">
        <f t="shared" si="30"/>
        <v>0.38094430202749929</v>
      </c>
      <c r="AC129" s="5">
        <f t="shared" si="31"/>
        <v>42.910560000000004</v>
      </c>
      <c r="AD129" s="132"/>
      <c r="AE129" s="135"/>
    </row>
    <row r="130" spans="1:31" ht="16.5" customHeight="1" thickBot="1">
      <c r="A130" s="161"/>
      <c r="B130" s="154"/>
      <c r="C130" s="114">
        <v>115003</v>
      </c>
      <c r="D130" s="141" t="s">
        <v>365</v>
      </c>
      <c r="E130" s="4" t="s">
        <v>40</v>
      </c>
      <c r="F130" s="33"/>
      <c r="G130" s="1">
        <f>371.88/6*1.0463*0.9</f>
        <v>58.364706599999998</v>
      </c>
      <c r="H130" s="34"/>
      <c r="I130" s="35">
        <f t="shared" si="32"/>
        <v>0</v>
      </c>
      <c r="J130" s="30"/>
      <c r="K130" s="5">
        <v>93</v>
      </c>
      <c r="L130" s="30"/>
      <c r="M130" s="31">
        <f t="shared" si="27"/>
        <v>0.37242250967741941</v>
      </c>
      <c r="N130" s="5">
        <f t="shared" si="33"/>
        <v>89.791856307692299</v>
      </c>
      <c r="P130" s="5">
        <v>77.8</v>
      </c>
      <c r="Q130" s="30"/>
      <c r="R130" s="31">
        <f t="shared" si="28"/>
        <v>0.249810969151671</v>
      </c>
      <c r="S130" s="5">
        <f t="shared" si="34"/>
        <v>77.819608799999997</v>
      </c>
      <c r="T130" s="132"/>
      <c r="U130" s="5">
        <v>93</v>
      </c>
      <c r="V130" s="30"/>
      <c r="W130" s="31">
        <f t="shared" si="29"/>
        <v>0.37242250967741941</v>
      </c>
      <c r="X130" s="5">
        <f t="shared" si="24"/>
        <v>89.791856307692299</v>
      </c>
      <c r="Y130" s="132"/>
      <c r="Z130" s="5">
        <v>94.28</v>
      </c>
      <c r="AA130" s="30"/>
      <c r="AB130" s="31">
        <f t="shared" si="30"/>
        <v>0.38094286593126858</v>
      </c>
      <c r="AC130" s="5">
        <f t="shared" si="31"/>
        <v>94.281449123076925</v>
      </c>
      <c r="AD130" s="132"/>
      <c r="AE130" s="135"/>
    </row>
    <row r="131" spans="1:31" ht="16.5" customHeight="1" thickBot="1">
      <c r="A131" s="161"/>
      <c r="B131" s="154"/>
      <c r="C131" s="117">
        <v>115004</v>
      </c>
      <c r="D131" s="147" t="s">
        <v>366</v>
      </c>
      <c r="E131" s="4" t="s">
        <v>136</v>
      </c>
      <c r="F131" s="33"/>
      <c r="G131" s="6">
        <f>G128</f>
        <v>15.111532800000003</v>
      </c>
      <c r="H131" s="28"/>
      <c r="I131" s="35">
        <f t="shared" si="32"/>
        <v>0</v>
      </c>
      <c r="J131" s="30"/>
      <c r="K131" s="5">
        <v>23.25</v>
      </c>
      <c r="L131" s="30"/>
      <c r="M131" s="31">
        <f t="shared" si="27"/>
        <v>0.35004159999999984</v>
      </c>
      <c r="N131" s="5">
        <f t="shared" si="33"/>
        <v>23.248512000000002</v>
      </c>
      <c r="P131" s="5">
        <f>P128</f>
        <v>20.149999999999999</v>
      </c>
      <c r="Q131" s="30"/>
      <c r="R131" s="31">
        <f t="shared" si="28"/>
        <v>0.25004799999999983</v>
      </c>
      <c r="S131" s="5">
        <f t="shared" si="34"/>
        <v>20.148710400000002</v>
      </c>
      <c r="T131" s="132"/>
      <c r="U131" s="5">
        <v>23.25</v>
      </c>
      <c r="V131" s="30"/>
      <c r="W131" s="31">
        <f t="shared" si="29"/>
        <v>0.35004159999999984</v>
      </c>
      <c r="X131" s="5">
        <f t="shared" si="24"/>
        <v>23.248512000000002</v>
      </c>
      <c r="Y131" s="132"/>
      <c r="Z131" s="5">
        <f>Z128</f>
        <v>24.41</v>
      </c>
      <c r="AA131" s="30"/>
      <c r="AB131" s="31">
        <f t="shared" si="30"/>
        <v>0.3809286030315443</v>
      </c>
      <c r="AC131" s="5">
        <f t="shared" si="31"/>
        <v>24.410937600000004</v>
      </c>
      <c r="AD131" s="132"/>
      <c r="AE131" s="135"/>
    </row>
    <row r="132" spans="1:31" ht="16.5" customHeight="1">
      <c r="A132" s="161"/>
      <c r="B132" s="154"/>
      <c r="C132" s="114">
        <v>115005</v>
      </c>
      <c r="D132" s="141" t="s">
        <v>367</v>
      </c>
      <c r="E132" s="4" t="s">
        <v>41</v>
      </c>
      <c r="F132" s="33"/>
      <c r="G132" s="6">
        <f>637.92/24*1.04*0.9</f>
        <v>24.878880000000002</v>
      </c>
      <c r="H132" s="34"/>
      <c r="I132" s="35">
        <f t="shared" si="32"/>
        <v>0</v>
      </c>
      <c r="J132" s="30"/>
      <c r="K132" s="5">
        <v>39</v>
      </c>
      <c r="L132" s="30"/>
      <c r="M132" s="31">
        <f t="shared" si="27"/>
        <v>0.36207999999999996</v>
      </c>
      <c r="N132" s="5">
        <f t="shared" si="33"/>
        <v>38.275200000000005</v>
      </c>
      <c r="P132" s="5">
        <f>P129</f>
        <v>35.42</v>
      </c>
      <c r="Q132" s="30"/>
      <c r="R132" s="31">
        <f t="shared" si="28"/>
        <v>0.29760361377752675</v>
      </c>
      <c r="S132" s="5">
        <f t="shared" si="34"/>
        <v>33.171840000000003</v>
      </c>
      <c r="T132" s="132"/>
      <c r="U132" s="5">
        <v>39</v>
      </c>
      <c r="V132" s="30"/>
      <c r="W132" s="31">
        <f t="shared" si="29"/>
        <v>0.36207999999999996</v>
      </c>
      <c r="X132" s="5">
        <f t="shared" si="24"/>
        <v>38.275200000000005</v>
      </c>
      <c r="Y132" s="132"/>
      <c r="Z132" s="5">
        <f>Z129</f>
        <v>42.91</v>
      </c>
      <c r="AA132" s="30"/>
      <c r="AB132" s="31">
        <f t="shared" si="30"/>
        <v>0.42020787695175943</v>
      </c>
      <c r="AC132" s="5">
        <f t="shared" si="31"/>
        <v>40.188960000000009</v>
      </c>
      <c r="AD132" s="132"/>
      <c r="AE132" s="135"/>
    </row>
    <row r="133" spans="1:31" ht="16.5" customHeight="1">
      <c r="A133" s="161"/>
      <c r="B133" s="159"/>
      <c r="C133" s="117">
        <v>115006</v>
      </c>
      <c r="D133" s="141" t="s">
        <v>365</v>
      </c>
      <c r="E133" s="4" t="s">
        <v>42</v>
      </c>
      <c r="F133" s="33"/>
      <c r="G133" s="1">
        <f>440/6*0.9*1.0467</f>
        <v>69.0822</v>
      </c>
      <c r="H133" s="34"/>
      <c r="I133" s="35">
        <f t="shared" si="32"/>
        <v>0</v>
      </c>
      <c r="J133" s="30"/>
      <c r="K133" s="5">
        <v>99</v>
      </c>
      <c r="L133" s="30"/>
      <c r="M133" s="31">
        <f t="shared" si="27"/>
        <v>0.30220000000000002</v>
      </c>
      <c r="N133" s="5">
        <f t="shared" si="33"/>
        <v>106.28030769230769</v>
      </c>
      <c r="P133" s="5">
        <v>99</v>
      </c>
      <c r="Q133" s="30"/>
      <c r="R133" s="31">
        <f t="shared" si="28"/>
        <v>0.30220000000000002</v>
      </c>
      <c r="S133" s="5">
        <f t="shared" si="34"/>
        <v>92.1096</v>
      </c>
      <c r="T133" s="132"/>
      <c r="U133" s="5">
        <v>99</v>
      </c>
      <c r="V133" s="30"/>
      <c r="W133" s="31">
        <f t="shared" si="29"/>
        <v>0.30220000000000002</v>
      </c>
      <c r="X133" s="5">
        <f t="shared" si="24"/>
        <v>106.28030769230769</v>
      </c>
      <c r="Y133" s="132"/>
      <c r="Z133" s="5">
        <v>111.59</v>
      </c>
      <c r="AA133" s="30"/>
      <c r="AB133" s="31">
        <f t="shared" si="30"/>
        <v>0.38092839860202532</v>
      </c>
      <c r="AC133" s="5">
        <f t="shared" si="31"/>
        <v>111.59432307692308</v>
      </c>
      <c r="AD133" s="132"/>
      <c r="AE133" s="135"/>
    </row>
    <row r="134" spans="1:31" ht="16.5" customHeight="1">
      <c r="A134" s="161"/>
      <c r="B134" s="181" t="s">
        <v>44</v>
      </c>
      <c r="C134" s="115">
        <v>110050</v>
      </c>
      <c r="D134" s="115"/>
      <c r="E134" s="4" t="s">
        <v>45</v>
      </c>
      <c r="F134" s="33"/>
      <c r="G134" s="1">
        <f>27.47*0.9</f>
        <v>24.722999999999999</v>
      </c>
      <c r="H134" s="34"/>
      <c r="I134" s="35">
        <f t="shared" si="32"/>
        <v>0</v>
      </c>
      <c r="J134" s="30"/>
      <c r="K134" s="5">
        <v>38</v>
      </c>
      <c r="L134" s="30"/>
      <c r="M134" s="31">
        <f t="shared" si="27"/>
        <v>0.34939473684210531</v>
      </c>
      <c r="N134" s="5">
        <f t="shared" si="33"/>
        <v>38.035384615384615</v>
      </c>
      <c r="P134" s="5">
        <v>38</v>
      </c>
      <c r="Q134" s="30"/>
      <c r="R134" s="31">
        <f t="shared" si="28"/>
        <v>0.34939473684210531</v>
      </c>
      <c r="S134" s="5">
        <f t="shared" si="34"/>
        <v>32.963999999999999</v>
      </c>
      <c r="T134" s="132"/>
      <c r="U134" s="5">
        <v>38</v>
      </c>
      <c r="V134" s="30"/>
      <c r="W134" s="31">
        <f t="shared" si="29"/>
        <v>0.34939473684210531</v>
      </c>
      <c r="X134" s="5">
        <f t="shared" si="24"/>
        <v>38.035384615384615</v>
      </c>
      <c r="Y134" s="132"/>
      <c r="Z134" s="5">
        <v>0</v>
      </c>
      <c r="AA134" s="30"/>
      <c r="AB134" s="31" t="e">
        <f t="shared" si="30"/>
        <v>#DIV/0!</v>
      </c>
      <c r="AC134" s="5">
        <f t="shared" si="31"/>
        <v>39.937153846153848</v>
      </c>
      <c r="AD134" s="132"/>
      <c r="AE134" s="135"/>
    </row>
    <row r="135" spans="1:31" ht="16.5" customHeight="1">
      <c r="A135" s="161"/>
      <c r="B135" s="181"/>
      <c r="C135" s="115">
        <v>110051</v>
      </c>
      <c r="D135" s="115"/>
      <c r="E135" s="4" t="s">
        <v>251</v>
      </c>
      <c r="F135" s="33"/>
      <c r="G135" s="1">
        <f>28.68*0.9</f>
        <v>25.812000000000001</v>
      </c>
      <c r="H135" s="34"/>
      <c r="I135" s="35">
        <f t="shared" si="32"/>
        <v>0</v>
      </c>
      <c r="J135" s="30"/>
      <c r="K135" s="5">
        <v>39.700000000000003</v>
      </c>
      <c r="L135" s="30"/>
      <c r="M135" s="31">
        <f t="shared" si="27"/>
        <v>0.34982367758186395</v>
      </c>
      <c r="N135" s="5">
        <f t="shared" si="33"/>
        <v>39.71076923076923</v>
      </c>
      <c r="P135" s="5">
        <v>39.700000000000003</v>
      </c>
      <c r="Q135" s="30"/>
      <c r="R135" s="31">
        <f t="shared" si="28"/>
        <v>0.34982367758186395</v>
      </c>
      <c r="S135" s="5">
        <f t="shared" si="34"/>
        <v>34.416000000000004</v>
      </c>
      <c r="T135" s="132"/>
      <c r="U135" s="5">
        <v>39.700000000000003</v>
      </c>
      <c r="V135" s="30"/>
      <c r="W135" s="31">
        <f t="shared" si="29"/>
        <v>0.34982367758186395</v>
      </c>
      <c r="X135" s="5">
        <f t="shared" si="24"/>
        <v>39.71076923076923</v>
      </c>
      <c r="Y135" s="132"/>
      <c r="Z135" s="5">
        <v>0</v>
      </c>
      <c r="AA135" s="30"/>
      <c r="AB135" s="31" t="e">
        <f t="shared" si="30"/>
        <v>#DIV/0!</v>
      </c>
      <c r="AC135" s="5">
        <f t="shared" si="31"/>
        <v>41.696307692307691</v>
      </c>
      <c r="AD135" s="132"/>
      <c r="AE135" s="135"/>
    </row>
    <row r="136" spans="1:31" ht="16.5" customHeight="1">
      <c r="A136" s="161"/>
      <c r="B136" s="181"/>
      <c r="C136" s="115">
        <v>110052</v>
      </c>
      <c r="D136" s="115"/>
      <c r="E136" s="4" t="s">
        <v>252</v>
      </c>
      <c r="F136" s="33"/>
      <c r="G136" s="1">
        <f>41.28*0.9</f>
        <v>37.152000000000001</v>
      </c>
      <c r="H136" s="34"/>
      <c r="I136" s="35">
        <f t="shared" si="32"/>
        <v>0</v>
      </c>
      <c r="J136" s="30"/>
      <c r="K136" s="5">
        <v>57</v>
      </c>
      <c r="L136" s="30"/>
      <c r="M136" s="31">
        <f t="shared" si="27"/>
        <v>0.34821052631578941</v>
      </c>
      <c r="N136" s="5">
        <f t="shared" si="33"/>
        <v>57.156923076923078</v>
      </c>
      <c r="P136" s="5">
        <v>57</v>
      </c>
      <c r="Q136" s="30"/>
      <c r="R136" s="31">
        <f t="shared" si="28"/>
        <v>0.34821052631578941</v>
      </c>
      <c r="S136" s="5">
        <f t="shared" si="34"/>
        <v>49.536000000000001</v>
      </c>
      <c r="T136" s="132"/>
      <c r="U136" s="5">
        <v>57</v>
      </c>
      <c r="V136" s="30"/>
      <c r="W136" s="31">
        <f t="shared" si="29"/>
        <v>0.34821052631578941</v>
      </c>
      <c r="X136" s="5">
        <f t="shared" si="24"/>
        <v>57.156923076923078</v>
      </c>
      <c r="Y136" s="132"/>
      <c r="Z136" s="5">
        <v>0</v>
      </c>
      <c r="AA136" s="30"/>
      <c r="AB136" s="31" t="e">
        <f t="shared" si="30"/>
        <v>#DIV/0!</v>
      </c>
      <c r="AC136" s="5">
        <f t="shared" ref="AC136:AC159" si="35">($G136/0.65)*1.05</f>
        <v>60.014769230769232</v>
      </c>
      <c r="AD136" s="132"/>
      <c r="AE136" s="135"/>
    </row>
    <row r="137" spans="1:31" ht="16.5" customHeight="1" thickBot="1">
      <c r="A137" s="171"/>
      <c r="B137" s="158"/>
      <c r="C137" s="115">
        <v>110053</v>
      </c>
      <c r="D137" s="119"/>
      <c r="E137" s="7" t="s">
        <v>253</v>
      </c>
      <c r="F137" s="43"/>
      <c r="G137" s="44">
        <f>35.55*0.9</f>
        <v>31.994999999999997</v>
      </c>
      <c r="H137" s="45"/>
      <c r="I137" s="35">
        <f t="shared" si="32"/>
        <v>0</v>
      </c>
      <c r="J137" s="30"/>
      <c r="K137" s="5">
        <v>49.2</v>
      </c>
      <c r="L137" s="30"/>
      <c r="M137" s="31">
        <f t="shared" si="27"/>
        <v>0.34969512195121966</v>
      </c>
      <c r="N137" s="5">
        <f t="shared" si="33"/>
        <v>49.223076923076917</v>
      </c>
      <c r="P137" s="5">
        <v>49.2</v>
      </c>
      <c r="Q137" s="30"/>
      <c r="R137" s="31">
        <f t="shared" si="28"/>
        <v>0.34969512195121966</v>
      </c>
      <c r="S137" s="5">
        <f t="shared" si="34"/>
        <v>42.66</v>
      </c>
      <c r="T137" s="132"/>
      <c r="U137" s="5">
        <v>49.2</v>
      </c>
      <c r="V137" s="30"/>
      <c r="W137" s="31">
        <f t="shared" si="29"/>
        <v>0.34969512195121966</v>
      </c>
      <c r="X137" s="5">
        <f t="shared" si="24"/>
        <v>49.223076923076917</v>
      </c>
      <c r="Y137" s="132"/>
      <c r="Z137" s="5">
        <v>0</v>
      </c>
      <c r="AA137" s="30"/>
      <c r="AB137" s="31" t="e">
        <f t="shared" si="30"/>
        <v>#DIV/0!</v>
      </c>
      <c r="AC137" s="5">
        <f t="shared" si="35"/>
        <v>51.684230769230766</v>
      </c>
      <c r="AD137" s="132"/>
      <c r="AE137" s="135"/>
    </row>
    <row r="138" spans="1:31" ht="16.5" customHeight="1">
      <c r="A138" s="178" t="s">
        <v>86</v>
      </c>
      <c r="B138" s="191" t="s">
        <v>87</v>
      </c>
      <c r="C138" s="117">
        <v>116001</v>
      </c>
      <c r="D138" s="117"/>
      <c r="E138" s="63" t="s">
        <v>88</v>
      </c>
      <c r="F138" s="40"/>
      <c r="G138" s="6">
        <v>28.81</v>
      </c>
      <c r="H138" s="41"/>
      <c r="I138" s="100">
        <f t="shared" si="32"/>
        <v>0</v>
      </c>
      <c r="J138" s="30"/>
      <c r="K138" s="5">
        <v>44.5</v>
      </c>
      <c r="L138" s="30"/>
      <c r="M138" s="31">
        <f t="shared" si="27"/>
        <v>0.35258426966292133</v>
      </c>
      <c r="N138" s="5">
        <f t="shared" si="33"/>
        <v>44.323076923076918</v>
      </c>
      <c r="P138" s="5">
        <v>44.5</v>
      </c>
      <c r="Q138" s="30"/>
      <c r="R138" s="31">
        <f t="shared" si="28"/>
        <v>0.35258426966292133</v>
      </c>
      <c r="S138" s="5">
        <f t="shared" ref="S138:S148" si="36">$G138/0.65</f>
        <v>44.323076923076918</v>
      </c>
      <c r="T138" s="132"/>
      <c r="U138" s="5">
        <v>44.5</v>
      </c>
      <c r="V138" s="30"/>
      <c r="W138" s="31">
        <f t="shared" si="29"/>
        <v>0.35258426966292133</v>
      </c>
      <c r="X138" s="5">
        <f t="shared" si="24"/>
        <v>44.323076923076918</v>
      </c>
      <c r="Y138" s="132"/>
      <c r="Z138" s="5">
        <v>46.54</v>
      </c>
      <c r="AA138" s="30"/>
      <c r="AB138" s="31">
        <f t="shared" si="30"/>
        <v>0.38096261280618826</v>
      </c>
      <c r="AC138" s="5">
        <f t="shared" si="35"/>
        <v>46.53923076923077</v>
      </c>
      <c r="AD138" s="132"/>
      <c r="AE138" s="135"/>
    </row>
    <row r="139" spans="1:31" ht="16.5" customHeight="1">
      <c r="A139" s="179"/>
      <c r="B139" s="189"/>
      <c r="C139" s="115">
        <v>116002</v>
      </c>
      <c r="D139" s="115"/>
      <c r="E139" s="62" t="s">
        <v>89</v>
      </c>
      <c r="F139" s="33"/>
      <c r="G139" s="1">
        <v>179</v>
      </c>
      <c r="H139" s="34"/>
      <c r="I139" s="35">
        <f t="shared" si="32"/>
        <v>0</v>
      </c>
      <c r="J139" s="30"/>
      <c r="K139" s="5">
        <v>275.38</v>
      </c>
      <c r="L139" s="30"/>
      <c r="M139" s="31">
        <f t="shared" si="27"/>
        <v>0.34998910596266974</v>
      </c>
      <c r="N139" s="5">
        <f t="shared" si="33"/>
        <v>275.38461538461536</v>
      </c>
      <c r="P139" s="5">
        <v>275.38</v>
      </c>
      <c r="Q139" s="30"/>
      <c r="R139" s="31">
        <f t="shared" si="28"/>
        <v>0.34998910596266974</v>
      </c>
      <c r="S139" s="5">
        <f t="shared" si="36"/>
        <v>275.38461538461536</v>
      </c>
      <c r="T139" s="132"/>
      <c r="U139" s="5">
        <v>275.38</v>
      </c>
      <c r="V139" s="30"/>
      <c r="W139" s="31">
        <f t="shared" si="29"/>
        <v>0.34998910596266974</v>
      </c>
      <c r="X139" s="5">
        <f t="shared" si="24"/>
        <v>275.38461538461536</v>
      </c>
      <c r="Y139" s="132"/>
      <c r="Z139" s="5">
        <v>289.14999999999998</v>
      </c>
      <c r="AA139" s="30"/>
      <c r="AB139" s="31">
        <f t="shared" si="30"/>
        <v>0.38094414663669374</v>
      </c>
      <c r="AC139" s="5">
        <f t="shared" si="35"/>
        <v>289.15384615384613</v>
      </c>
      <c r="AD139" s="132"/>
      <c r="AE139" s="135"/>
    </row>
    <row r="140" spans="1:31" ht="16.5" customHeight="1">
      <c r="A140" s="179"/>
      <c r="B140" s="189"/>
      <c r="C140" s="117">
        <v>116003</v>
      </c>
      <c r="D140" s="117"/>
      <c r="E140" s="62" t="s">
        <v>90</v>
      </c>
      <c r="F140" s="33"/>
      <c r="G140" s="1">
        <v>33.93</v>
      </c>
      <c r="H140" s="34"/>
      <c r="I140" s="35">
        <f t="shared" si="32"/>
        <v>0</v>
      </c>
      <c r="J140" s="30"/>
      <c r="K140" s="5">
        <v>52</v>
      </c>
      <c r="L140" s="30"/>
      <c r="M140" s="31">
        <f t="shared" si="27"/>
        <v>0.34750000000000003</v>
      </c>
      <c r="N140" s="5">
        <f t="shared" si="33"/>
        <v>52.199999999999996</v>
      </c>
      <c r="P140" s="5">
        <v>52</v>
      </c>
      <c r="Q140" s="30"/>
      <c r="R140" s="31">
        <f t="shared" si="28"/>
        <v>0.34750000000000003</v>
      </c>
      <c r="S140" s="5">
        <f t="shared" si="36"/>
        <v>52.199999999999996</v>
      </c>
      <c r="T140" s="132"/>
      <c r="U140" s="5">
        <v>52</v>
      </c>
      <c r="V140" s="30"/>
      <c r="W140" s="31">
        <f t="shared" si="29"/>
        <v>0.34750000000000003</v>
      </c>
      <c r="X140" s="5">
        <f t="shared" si="24"/>
        <v>52.199999999999996</v>
      </c>
      <c r="Y140" s="132"/>
      <c r="Z140" s="5">
        <v>54.81</v>
      </c>
      <c r="AA140" s="30"/>
      <c r="AB140" s="31">
        <f t="shared" si="30"/>
        <v>0.38095238095238093</v>
      </c>
      <c r="AC140" s="5">
        <f t="shared" si="35"/>
        <v>54.809999999999995</v>
      </c>
      <c r="AD140" s="132"/>
      <c r="AE140" s="135"/>
    </row>
    <row r="141" spans="1:31" ht="16.5" customHeight="1">
      <c r="A141" s="179"/>
      <c r="B141" s="189"/>
      <c r="C141" s="115">
        <v>116004</v>
      </c>
      <c r="D141" s="115"/>
      <c r="E141" s="62" t="s">
        <v>91</v>
      </c>
      <c r="F141" s="33"/>
      <c r="G141" s="1">
        <v>78</v>
      </c>
      <c r="H141" s="34"/>
      <c r="I141" s="35">
        <f t="shared" si="32"/>
        <v>0</v>
      </c>
      <c r="J141" s="30"/>
      <c r="K141" s="5">
        <v>120</v>
      </c>
      <c r="L141" s="30"/>
      <c r="M141" s="31">
        <f t="shared" si="27"/>
        <v>0.35</v>
      </c>
      <c r="N141" s="5">
        <f t="shared" si="33"/>
        <v>120</v>
      </c>
      <c r="P141" s="5">
        <v>120</v>
      </c>
      <c r="Q141" s="30"/>
      <c r="R141" s="31">
        <f t="shared" si="28"/>
        <v>0.35</v>
      </c>
      <c r="S141" s="5">
        <f t="shared" si="36"/>
        <v>120</v>
      </c>
      <c r="T141" s="132"/>
      <c r="U141" s="5">
        <v>120</v>
      </c>
      <c r="V141" s="30"/>
      <c r="W141" s="31">
        <f t="shared" si="29"/>
        <v>0.35</v>
      </c>
      <c r="X141" s="5">
        <f t="shared" si="24"/>
        <v>120</v>
      </c>
      <c r="Y141" s="132"/>
      <c r="Z141" s="5">
        <v>126</v>
      </c>
      <c r="AA141" s="30"/>
      <c r="AB141" s="31">
        <f t="shared" si="30"/>
        <v>0.38095238095238093</v>
      </c>
      <c r="AC141" s="5">
        <f t="shared" si="35"/>
        <v>126</v>
      </c>
      <c r="AD141" s="132"/>
      <c r="AE141" s="135"/>
    </row>
    <row r="142" spans="1:31" ht="16.5" customHeight="1" thickBot="1">
      <c r="A142" s="180"/>
      <c r="B142" s="192"/>
      <c r="C142" s="117">
        <v>116005</v>
      </c>
      <c r="D142" s="117"/>
      <c r="E142" s="63" t="s">
        <v>116</v>
      </c>
      <c r="F142" s="40"/>
      <c r="G142" s="6">
        <v>0</v>
      </c>
      <c r="H142" s="41"/>
      <c r="I142" s="35">
        <f t="shared" si="32"/>
        <v>0</v>
      </c>
      <c r="J142" s="30"/>
      <c r="K142" s="5">
        <v>0</v>
      </c>
      <c r="L142" s="30"/>
      <c r="M142" s="31" t="e">
        <f t="shared" si="27"/>
        <v>#DIV/0!</v>
      </c>
      <c r="N142" s="5">
        <f t="shared" si="33"/>
        <v>0</v>
      </c>
      <c r="P142" s="5">
        <v>0</v>
      </c>
      <c r="Q142" s="30"/>
      <c r="R142" s="31" t="e">
        <f t="shared" si="28"/>
        <v>#DIV/0!</v>
      </c>
      <c r="S142" s="5">
        <f t="shared" si="36"/>
        <v>0</v>
      </c>
      <c r="T142" s="132"/>
      <c r="U142" s="5">
        <v>0</v>
      </c>
      <c r="V142" s="30"/>
      <c r="W142" s="31" t="e">
        <f t="shared" si="29"/>
        <v>#DIV/0!</v>
      </c>
      <c r="X142" s="5">
        <f t="shared" si="24"/>
        <v>0</v>
      </c>
      <c r="Y142" s="132"/>
      <c r="Z142" s="5">
        <v>0</v>
      </c>
      <c r="AA142" s="30"/>
      <c r="AB142" s="31" t="e">
        <f t="shared" si="30"/>
        <v>#DIV/0!</v>
      </c>
      <c r="AC142" s="5">
        <f t="shared" si="35"/>
        <v>0</v>
      </c>
      <c r="AD142" s="132"/>
      <c r="AE142" s="135"/>
    </row>
    <row r="143" spans="1:31" ht="16.5" customHeight="1">
      <c r="A143" s="196" t="s">
        <v>129</v>
      </c>
      <c r="B143" s="158"/>
      <c r="C143" s="115">
        <v>117001</v>
      </c>
      <c r="D143" s="141">
        <v>7797897002875</v>
      </c>
      <c r="E143" s="62" t="s">
        <v>130</v>
      </c>
      <c r="F143" s="84">
        <v>15</v>
      </c>
      <c r="G143" s="5">
        <v>6.1</v>
      </c>
      <c r="H143" s="84"/>
      <c r="I143" s="35">
        <f t="shared" si="32"/>
        <v>0</v>
      </c>
      <c r="J143" s="30"/>
      <c r="K143" s="5">
        <v>9.4499999999999993</v>
      </c>
      <c r="L143" s="59"/>
      <c r="M143" s="31">
        <f t="shared" si="27"/>
        <v>0.35449735449735453</v>
      </c>
      <c r="N143" s="5">
        <f t="shared" si="33"/>
        <v>9.3846153846153832</v>
      </c>
      <c r="P143" s="5">
        <v>9.4499999999999993</v>
      </c>
      <c r="Q143" s="59"/>
      <c r="R143" s="31">
        <f t="shared" si="28"/>
        <v>0.35449735449735453</v>
      </c>
      <c r="S143" s="5">
        <f t="shared" si="36"/>
        <v>9.3846153846153832</v>
      </c>
      <c r="T143" s="132"/>
      <c r="U143" s="5">
        <v>9.4499999999999993</v>
      </c>
      <c r="V143" s="59"/>
      <c r="W143" s="31">
        <f t="shared" si="29"/>
        <v>0.35449735449735453</v>
      </c>
      <c r="X143" s="5">
        <f t="shared" si="24"/>
        <v>9.3846153846153832</v>
      </c>
      <c r="Y143" s="132"/>
      <c r="Z143" s="5">
        <v>9.92</v>
      </c>
      <c r="AA143" s="59"/>
      <c r="AB143" s="31">
        <f t="shared" si="30"/>
        <v>0.38508064516129037</v>
      </c>
      <c r="AC143" s="5">
        <f t="shared" si="35"/>
        <v>9.8538461538461526</v>
      </c>
      <c r="AD143" s="132"/>
      <c r="AE143" s="135"/>
    </row>
    <row r="144" spans="1:31" ht="16.5" customHeight="1">
      <c r="A144" s="196"/>
      <c r="B144" s="154"/>
      <c r="C144" s="115">
        <v>117002</v>
      </c>
      <c r="D144" s="141">
        <v>7797897002844</v>
      </c>
      <c r="E144" s="62" t="s">
        <v>131</v>
      </c>
      <c r="F144" s="84">
        <v>15</v>
      </c>
      <c r="G144" s="5">
        <f>G143</f>
        <v>6.1</v>
      </c>
      <c r="H144" s="84"/>
      <c r="I144" s="35">
        <f t="shared" si="32"/>
        <v>0</v>
      </c>
      <c r="J144" s="30"/>
      <c r="K144" s="5">
        <f>K143</f>
        <v>9.4499999999999993</v>
      </c>
      <c r="L144" s="32"/>
      <c r="M144" s="31">
        <f t="shared" si="27"/>
        <v>0.35449735449735453</v>
      </c>
      <c r="N144" s="5">
        <f t="shared" si="33"/>
        <v>9.3846153846153832</v>
      </c>
      <c r="P144" s="5">
        <f>P143</f>
        <v>9.4499999999999993</v>
      </c>
      <c r="Q144" s="32"/>
      <c r="R144" s="31">
        <f t="shared" si="28"/>
        <v>0.35449735449735453</v>
      </c>
      <c r="S144" s="5">
        <f t="shared" si="36"/>
        <v>9.3846153846153832</v>
      </c>
      <c r="T144" s="132"/>
      <c r="U144" s="5">
        <f>U143</f>
        <v>9.4499999999999993</v>
      </c>
      <c r="V144" s="32"/>
      <c r="W144" s="31">
        <f t="shared" si="29"/>
        <v>0.35449735449735453</v>
      </c>
      <c r="X144" s="5">
        <f t="shared" si="24"/>
        <v>9.3846153846153832</v>
      </c>
      <c r="Y144" s="132"/>
      <c r="Z144" s="5">
        <f>Z143</f>
        <v>9.92</v>
      </c>
      <c r="AA144" s="32"/>
      <c r="AB144" s="31">
        <f t="shared" si="30"/>
        <v>0.38508064516129037</v>
      </c>
      <c r="AC144" s="5">
        <f t="shared" si="35"/>
        <v>9.8538461538461526</v>
      </c>
      <c r="AD144" s="132"/>
      <c r="AE144" s="135"/>
    </row>
    <row r="145" spans="1:31" ht="16.5" customHeight="1">
      <c r="A145" s="196"/>
      <c r="B145" s="154"/>
      <c r="C145" s="115">
        <v>117003</v>
      </c>
      <c r="D145" s="141">
        <v>7797897002851</v>
      </c>
      <c r="E145" s="62" t="s">
        <v>132</v>
      </c>
      <c r="F145" s="84">
        <v>15</v>
      </c>
      <c r="G145" s="5">
        <f>G144</f>
        <v>6.1</v>
      </c>
      <c r="H145" s="84"/>
      <c r="I145" s="35">
        <f t="shared" si="32"/>
        <v>0</v>
      </c>
      <c r="J145" s="30"/>
      <c r="K145" s="5">
        <f>K144</f>
        <v>9.4499999999999993</v>
      </c>
      <c r="L145" s="32"/>
      <c r="M145" s="31">
        <f t="shared" si="27"/>
        <v>0.35449735449735453</v>
      </c>
      <c r="N145" s="5">
        <f t="shared" si="33"/>
        <v>9.3846153846153832</v>
      </c>
      <c r="P145" s="5">
        <f>P144</f>
        <v>9.4499999999999993</v>
      </c>
      <c r="Q145" s="32"/>
      <c r="R145" s="31">
        <f t="shared" si="28"/>
        <v>0.35449735449735453</v>
      </c>
      <c r="S145" s="5">
        <f t="shared" si="36"/>
        <v>9.3846153846153832</v>
      </c>
      <c r="T145" s="132"/>
      <c r="U145" s="5">
        <f>U144</f>
        <v>9.4499999999999993</v>
      </c>
      <c r="V145" s="32"/>
      <c r="W145" s="31">
        <f t="shared" si="29"/>
        <v>0.35449735449735453</v>
      </c>
      <c r="X145" s="5">
        <f t="shared" si="24"/>
        <v>9.3846153846153832</v>
      </c>
      <c r="Y145" s="132"/>
      <c r="Z145" s="5">
        <f>Z144</f>
        <v>9.92</v>
      </c>
      <c r="AA145" s="32"/>
      <c r="AB145" s="31">
        <f t="shared" si="30"/>
        <v>0.38508064516129037</v>
      </c>
      <c r="AC145" s="5">
        <f t="shared" si="35"/>
        <v>9.8538461538461526</v>
      </c>
      <c r="AD145" s="132"/>
      <c r="AE145" s="135"/>
    </row>
    <row r="146" spans="1:31" ht="16.5" customHeight="1">
      <c r="A146" s="196"/>
      <c r="B146" s="154"/>
      <c r="C146" s="115">
        <v>117004</v>
      </c>
      <c r="D146" s="141">
        <v>7797897002868</v>
      </c>
      <c r="E146" s="62" t="s">
        <v>140</v>
      </c>
      <c r="F146" s="84">
        <v>15</v>
      </c>
      <c r="G146" s="5">
        <f>G145</f>
        <v>6.1</v>
      </c>
      <c r="H146" s="84"/>
      <c r="I146" s="35">
        <f t="shared" si="32"/>
        <v>0</v>
      </c>
      <c r="J146" s="30"/>
      <c r="K146" s="5">
        <f>K145</f>
        <v>9.4499999999999993</v>
      </c>
      <c r="L146" s="32"/>
      <c r="M146" s="31">
        <f t="shared" si="27"/>
        <v>0.35449735449735453</v>
      </c>
      <c r="N146" s="5">
        <f t="shared" si="33"/>
        <v>9.3846153846153832</v>
      </c>
      <c r="P146" s="5">
        <f>P145</f>
        <v>9.4499999999999993</v>
      </c>
      <c r="Q146" s="32"/>
      <c r="R146" s="31">
        <f t="shared" si="28"/>
        <v>0.35449735449735453</v>
      </c>
      <c r="S146" s="5">
        <f t="shared" si="36"/>
        <v>9.3846153846153832</v>
      </c>
      <c r="T146" s="132"/>
      <c r="U146" s="5">
        <f>U145</f>
        <v>9.4499999999999993</v>
      </c>
      <c r="V146" s="32"/>
      <c r="W146" s="31">
        <f t="shared" si="29"/>
        <v>0.35449735449735453</v>
      </c>
      <c r="X146" s="5">
        <f t="shared" si="24"/>
        <v>9.3846153846153832</v>
      </c>
      <c r="Y146" s="132"/>
      <c r="Z146" s="5">
        <f>Z145</f>
        <v>9.92</v>
      </c>
      <c r="AA146" s="32"/>
      <c r="AB146" s="31">
        <f t="shared" si="30"/>
        <v>0.38508064516129037</v>
      </c>
      <c r="AC146" s="5">
        <f t="shared" si="35"/>
        <v>9.8538461538461526</v>
      </c>
      <c r="AD146" s="132"/>
      <c r="AE146" s="135"/>
    </row>
    <row r="147" spans="1:31" ht="16.5" customHeight="1">
      <c r="A147" s="196"/>
      <c r="B147" s="154"/>
      <c r="C147" s="115">
        <v>117005</v>
      </c>
      <c r="D147" s="142" t="s">
        <v>368</v>
      </c>
      <c r="E147" s="68" t="s">
        <v>224</v>
      </c>
      <c r="F147" s="33">
        <v>8</v>
      </c>
      <c r="G147" s="5">
        <v>48.8</v>
      </c>
      <c r="H147" s="33"/>
      <c r="I147" s="35">
        <f t="shared" si="32"/>
        <v>0</v>
      </c>
      <c r="K147" s="5">
        <v>76</v>
      </c>
      <c r="L147" s="50"/>
      <c r="M147" s="31">
        <f t="shared" si="27"/>
        <v>0.35789473684210527</v>
      </c>
      <c r="N147" s="5">
        <f t="shared" si="33"/>
        <v>75.076923076923066</v>
      </c>
      <c r="P147" s="5">
        <v>76</v>
      </c>
      <c r="Q147" s="50"/>
      <c r="R147" s="31">
        <f t="shared" si="28"/>
        <v>0.35789473684210527</v>
      </c>
      <c r="S147" s="5">
        <f t="shared" si="36"/>
        <v>75.076923076923066</v>
      </c>
      <c r="T147" s="132"/>
      <c r="U147" s="5">
        <v>76</v>
      </c>
      <c r="V147" s="50"/>
      <c r="W147" s="31">
        <f t="shared" si="29"/>
        <v>0.35789473684210527</v>
      </c>
      <c r="X147" s="5">
        <f t="shared" si="24"/>
        <v>75.076923076923066</v>
      </c>
      <c r="Y147" s="132"/>
      <c r="Z147" s="5">
        <v>79.8</v>
      </c>
      <c r="AA147" s="50"/>
      <c r="AB147" s="31">
        <f t="shared" si="30"/>
        <v>0.38847117794486219</v>
      </c>
      <c r="AC147" s="5">
        <f t="shared" si="35"/>
        <v>78.830769230769221</v>
      </c>
      <c r="AD147" s="132"/>
      <c r="AE147" s="135"/>
    </row>
    <row r="148" spans="1:31" ht="16.5" customHeight="1">
      <c r="A148" s="196"/>
      <c r="B148" s="154"/>
      <c r="C148" s="115">
        <v>117006</v>
      </c>
      <c r="D148" s="142" t="s">
        <v>369</v>
      </c>
      <c r="E148" s="68" t="s">
        <v>225</v>
      </c>
      <c r="F148" s="33">
        <v>8</v>
      </c>
      <c r="G148" s="5">
        <f>G147</f>
        <v>48.8</v>
      </c>
      <c r="H148" s="33"/>
      <c r="I148" s="35">
        <f t="shared" si="32"/>
        <v>0</v>
      </c>
      <c r="K148" s="5">
        <f>K147</f>
        <v>76</v>
      </c>
      <c r="L148" s="50"/>
      <c r="M148" s="31">
        <f t="shared" si="27"/>
        <v>0.35789473684210527</v>
      </c>
      <c r="N148" s="5">
        <f t="shared" si="33"/>
        <v>75.076923076923066</v>
      </c>
      <c r="P148" s="5">
        <f>P147</f>
        <v>76</v>
      </c>
      <c r="Q148" s="50"/>
      <c r="R148" s="31">
        <f t="shared" si="28"/>
        <v>0.35789473684210527</v>
      </c>
      <c r="S148" s="5">
        <f t="shared" si="36"/>
        <v>75.076923076923066</v>
      </c>
      <c r="T148" s="132"/>
      <c r="U148" s="5">
        <f>U147</f>
        <v>76</v>
      </c>
      <c r="V148" s="50"/>
      <c r="W148" s="31">
        <f t="shared" si="29"/>
        <v>0.35789473684210527</v>
      </c>
      <c r="X148" s="5">
        <f t="shared" si="24"/>
        <v>75.076923076923066</v>
      </c>
      <c r="Y148" s="132"/>
      <c r="Z148" s="5">
        <f>Z147</f>
        <v>79.8</v>
      </c>
      <c r="AA148" s="50"/>
      <c r="AB148" s="31">
        <f t="shared" si="30"/>
        <v>0.38847117794486219</v>
      </c>
      <c r="AC148" s="5">
        <f t="shared" si="35"/>
        <v>78.830769230769221</v>
      </c>
      <c r="AD148" s="132"/>
      <c r="AE148" s="135"/>
    </row>
    <row r="149" spans="1:31" ht="16.5" customHeight="1">
      <c r="A149" s="196"/>
      <c r="B149" s="154"/>
      <c r="C149" s="115">
        <v>117007</v>
      </c>
      <c r="D149" s="142" t="s">
        <v>370</v>
      </c>
      <c r="E149" s="68" t="s">
        <v>226</v>
      </c>
      <c r="F149" s="33">
        <v>8</v>
      </c>
      <c r="G149" s="5">
        <f>G148</f>
        <v>48.8</v>
      </c>
      <c r="H149" s="33"/>
      <c r="I149" s="35">
        <f t="shared" si="32"/>
        <v>0</v>
      </c>
      <c r="K149" s="5">
        <f>K148</f>
        <v>76</v>
      </c>
      <c r="L149" s="50"/>
      <c r="M149" s="31">
        <f t="shared" si="27"/>
        <v>0.35789473684210527</v>
      </c>
      <c r="N149" s="5">
        <f t="shared" si="33"/>
        <v>75.076923076923066</v>
      </c>
      <c r="P149" s="5">
        <f>P148</f>
        <v>76</v>
      </c>
      <c r="Q149" s="50"/>
      <c r="R149" s="31">
        <f t="shared" si="28"/>
        <v>0.35789473684210527</v>
      </c>
      <c r="S149" s="5">
        <f t="shared" ref="S149:S203" si="37">$G149/0.65</f>
        <v>75.076923076923066</v>
      </c>
      <c r="T149" s="132"/>
      <c r="U149" s="5">
        <f>U148</f>
        <v>76</v>
      </c>
      <c r="V149" s="50"/>
      <c r="W149" s="31">
        <f t="shared" si="29"/>
        <v>0.35789473684210527</v>
      </c>
      <c r="X149" s="5">
        <f t="shared" ref="X149:X203" si="38">$G149/0.65</f>
        <v>75.076923076923066</v>
      </c>
      <c r="Y149" s="132"/>
      <c r="Z149" s="5">
        <f>Z148</f>
        <v>79.8</v>
      </c>
      <c r="AA149" s="50"/>
      <c r="AB149" s="31">
        <f t="shared" si="30"/>
        <v>0.38847117794486219</v>
      </c>
      <c r="AC149" s="5">
        <f t="shared" si="35"/>
        <v>78.830769230769221</v>
      </c>
      <c r="AD149" s="132"/>
      <c r="AE149" s="135"/>
    </row>
    <row r="150" spans="1:31" ht="16.5" customHeight="1">
      <c r="A150" s="196"/>
      <c r="B150" s="159"/>
      <c r="C150" s="115">
        <v>117008</v>
      </c>
      <c r="D150" s="141">
        <v>7797897002998</v>
      </c>
      <c r="E150" s="68" t="s">
        <v>134</v>
      </c>
      <c r="F150" s="69">
        <v>8</v>
      </c>
      <c r="G150" s="5">
        <f>G149</f>
        <v>48.8</v>
      </c>
      <c r="H150" s="69"/>
      <c r="I150" s="35">
        <f t="shared" si="32"/>
        <v>0</v>
      </c>
      <c r="K150" s="5">
        <f>K149</f>
        <v>76</v>
      </c>
      <c r="L150" s="50"/>
      <c r="M150" s="31">
        <f t="shared" si="27"/>
        <v>0.35789473684210527</v>
      </c>
      <c r="N150" s="5">
        <f t="shared" si="33"/>
        <v>75.076923076923066</v>
      </c>
      <c r="P150" s="5">
        <f>P149</f>
        <v>76</v>
      </c>
      <c r="Q150" s="50"/>
      <c r="R150" s="31">
        <f t="shared" si="28"/>
        <v>0.35789473684210527</v>
      </c>
      <c r="S150" s="5">
        <f t="shared" si="37"/>
        <v>75.076923076923066</v>
      </c>
      <c r="T150" s="132"/>
      <c r="U150" s="5">
        <f>U149</f>
        <v>76</v>
      </c>
      <c r="V150" s="50"/>
      <c r="W150" s="31">
        <f t="shared" si="29"/>
        <v>0.35789473684210527</v>
      </c>
      <c r="X150" s="5">
        <f t="shared" si="38"/>
        <v>75.076923076923066</v>
      </c>
      <c r="Y150" s="132"/>
      <c r="Z150" s="5">
        <f>Z149</f>
        <v>79.8</v>
      </c>
      <c r="AA150" s="50"/>
      <c r="AB150" s="31">
        <f t="shared" si="30"/>
        <v>0.38847117794486219</v>
      </c>
      <c r="AC150" s="5">
        <f t="shared" si="35"/>
        <v>78.830769230769221</v>
      </c>
      <c r="AD150" s="132"/>
      <c r="AE150" s="135"/>
    </row>
    <row r="151" spans="1:31" ht="16.5" customHeight="1">
      <c r="A151" s="188" t="s">
        <v>222</v>
      </c>
      <c r="B151" s="107"/>
      <c r="C151" s="115">
        <v>117009</v>
      </c>
      <c r="D151" s="115"/>
      <c r="E151" s="68" t="s">
        <v>141</v>
      </c>
      <c r="F151" s="69"/>
      <c r="G151" s="5">
        <v>0</v>
      </c>
      <c r="H151" s="16"/>
      <c r="I151" s="35">
        <f t="shared" si="32"/>
        <v>0</v>
      </c>
      <c r="K151" s="5"/>
      <c r="L151" s="50"/>
      <c r="M151" s="31" t="e">
        <f t="shared" si="27"/>
        <v>#DIV/0!</v>
      </c>
      <c r="N151" s="5">
        <f t="shared" si="33"/>
        <v>0</v>
      </c>
      <c r="P151" s="5"/>
      <c r="Q151" s="50"/>
      <c r="R151" s="31" t="e">
        <f t="shared" si="28"/>
        <v>#DIV/0!</v>
      </c>
      <c r="S151" s="5">
        <f t="shared" si="37"/>
        <v>0</v>
      </c>
      <c r="T151" s="132"/>
      <c r="U151" s="5"/>
      <c r="V151" s="50"/>
      <c r="W151" s="31" t="e">
        <f t="shared" si="29"/>
        <v>#DIV/0!</v>
      </c>
      <c r="X151" s="5">
        <f t="shared" si="38"/>
        <v>0</v>
      </c>
      <c r="Y151" s="132"/>
      <c r="Z151" s="5"/>
      <c r="AA151" s="50"/>
      <c r="AB151" s="31" t="e">
        <f t="shared" si="30"/>
        <v>#DIV/0!</v>
      </c>
      <c r="AC151" s="5">
        <f t="shared" si="35"/>
        <v>0</v>
      </c>
      <c r="AD151" s="132"/>
      <c r="AE151" s="135"/>
    </row>
    <row r="152" spans="1:31" ht="16.5" customHeight="1">
      <c r="A152" s="189"/>
      <c r="B152" s="107"/>
      <c r="C152" s="115">
        <v>117010</v>
      </c>
      <c r="D152" s="115"/>
      <c r="E152" s="68" t="s">
        <v>142</v>
      </c>
      <c r="F152" s="69"/>
      <c r="G152" s="5">
        <v>0</v>
      </c>
      <c r="H152" s="16"/>
      <c r="I152" s="35">
        <f t="shared" si="32"/>
        <v>0</v>
      </c>
      <c r="K152" s="5"/>
      <c r="L152" s="50"/>
      <c r="M152" s="31" t="e">
        <f t="shared" si="27"/>
        <v>#DIV/0!</v>
      </c>
      <c r="N152" s="5">
        <f t="shared" si="33"/>
        <v>0</v>
      </c>
      <c r="P152" s="5"/>
      <c r="Q152" s="50"/>
      <c r="R152" s="31" t="e">
        <f t="shared" si="28"/>
        <v>#DIV/0!</v>
      </c>
      <c r="S152" s="5">
        <f t="shared" si="37"/>
        <v>0</v>
      </c>
      <c r="T152" s="132"/>
      <c r="U152" s="5"/>
      <c r="V152" s="50"/>
      <c r="W152" s="31" t="e">
        <f t="shared" si="29"/>
        <v>#DIV/0!</v>
      </c>
      <c r="X152" s="5">
        <f t="shared" si="38"/>
        <v>0</v>
      </c>
      <c r="Y152" s="132"/>
      <c r="Z152" s="5"/>
      <c r="AA152" s="50"/>
      <c r="AB152" s="31" t="e">
        <f t="shared" si="30"/>
        <v>#DIV/0!</v>
      </c>
      <c r="AC152" s="5">
        <f t="shared" si="35"/>
        <v>0</v>
      </c>
      <c r="AD152" s="132"/>
      <c r="AE152" s="135"/>
    </row>
    <row r="153" spans="1:31" ht="16.5" customHeight="1">
      <c r="A153" s="190"/>
      <c r="B153" s="107"/>
      <c r="C153" s="115">
        <v>117011</v>
      </c>
      <c r="D153" s="115"/>
      <c r="E153" s="68" t="s">
        <v>143</v>
      </c>
      <c r="F153" s="69"/>
      <c r="G153" s="5">
        <v>0</v>
      </c>
      <c r="H153" s="16"/>
      <c r="I153" s="35">
        <f t="shared" si="32"/>
        <v>0</v>
      </c>
      <c r="K153" s="5"/>
      <c r="L153" s="50"/>
      <c r="M153" s="31" t="e">
        <f t="shared" si="27"/>
        <v>#DIV/0!</v>
      </c>
      <c r="N153" s="5">
        <f t="shared" si="33"/>
        <v>0</v>
      </c>
      <c r="P153" s="5"/>
      <c r="Q153" s="50"/>
      <c r="R153" s="31" t="e">
        <f t="shared" si="28"/>
        <v>#DIV/0!</v>
      </c>
      <c r="S153" s="5">
        <f t="shared" si="37"/>
        <v>0</v>
      </c>
      <c r="T153" s="132"/>
      <c r="U153" s="5"/>
      <c r="V153" s="50"/>
      <c r="W153" s="31" t="e">
        <f t="shared" si="29"/>
        <v>#DIV/0!</v>
      </c>
      <c r="X153" s="5">
        <f t="shared" si="38"/>
        <v>0</v>
      </c>
      <c r="Y153" s="132"/>
      <c r="Z153" s="5"/>
      <c r="AA153" s="50"/>
      <c r="AB153" s="31" t="e">
        <f t="shared" si="30"/>
        <v>#DIV/0!</v>
      </c>
      <c r="AC153" s="5">
        <f t="shared" si="35"/>
        <v>0</v>
      </c>
      <c r="AD153" s="132"/>
      <c r="AE153" s="135"/>
    </row>
    <row r="154" spans="1:31" ht="16.5" customHeight="1">
      <c r="A154" s="67"/>
      <c r="B154" s="107"/>
      <c r="C154" s="115">
        <v>117012</v>
      </c>
      <c r="D154" s="115"/>
      <c r="E154" s="68" t="s">
        <v>286</v>
      </c>
      <c r="F154" s="69">
        <v>50</v>
      </c>
      <c r="G154" s="5"/>
      <c r="H154" s="16"/>
      <c r="I154" s="35">
        <f t="shared" si="32"/>
        <v>0</v>
      </c>
      <c r="K154" s="5"/>
      <c r="L154" s="50"/>
      <c r="M154" s="31" t="e">
        <f t="shared" si="27"/>
        <v>#DIV/0!</v>
      </c>
      <c r="N154" s="5">
        <f t="shared" si="33"/>
        <v>0</v>
      </c>
      <c r="P154" s="5"/>
      <c r="Q154" s="50"/>
      <c r="R154" s="31" t="e">
        <f t="shared" si="28"/>
        <v>#DIV/0!</v>
      </c>
      <c r="S154" s="5">
        <f t="shared" si="37"/>
        <v>0</v>
      </c>
      <c r="T154" s="132"/>
      <c r="U154" s="5"/>
      <c r="V154" s="50"/>
      <c r="W154" s="31" t="e">
        <f t="shared" si="29"/>
        <v>#DIV/0!</v>
      </c>
      <c r="X154" s="5">
        <f t="shared" si="38"/>
        <v>0</v>
      </c>
      <c r="Y154" s="132"/>
      <c r="Z154" s="5"/>
      <c r="AA154" s="50"/>
      <c r="AB154" s="31" t="e">
        <f t="shared" si="30"/>
        <v>#DIV/0!</v>
      </c>
      <c r="AC154" s="5">
        <f t="shared" si="35"/>
        <v>0</v>
      </c>
      <c r="AD154" s="132"/>
      <c r="AE154" s="135"/>
    </row>
    <row r="155" spans="1:31" ht="16.5" customHeight="1">
      <c r="A155" s="188" t="s">
        <v>223</v>
      </c>
      <c r="B155" s="107"/>
      <c r="C155" s="115">
        <v>117013</v>
      </c>
      <c r="D155" s="142" t="s">
        <v>371</v>
      </c>
      <c r="E155" s="68" t="s">
        <v>160</v>
      </c>
      <c r="F155" s="84">
        <v>750</v>
      </c>
      <c r="G155" s="5">
        <v>0.84</v>
      </c>
      <c r="H155" s="84"/>
      <c r="I155" s="35">
        <f t="shared" si="32"/>
        <v>0</v>
      </c>
      <c r="K155" s="5">
        <v>1.3</v>
      </c>
      <c r="L155" s="50"/>
      <c r="M155" s="31">
        <f t="shared" si="27"/>
        <v>0.35384615384615392</v>
      </c>
      <c r="N155" s="5">
        <f t="shared" si="33"/>
        <v>1.2923076923076922</v>
      </c>
      <c r="P155" s="5">
        <v>1.3</v>
      </c>
      <c r="Q155" s="50"/>
      <c r="R155" s="31">
        <f t="shared" si="28"/>
        <v>0.35384615384615392</v>
      </c>
      <c r="S155" s="5">
        <f t="shared" si="37"/>
        <v>1.2923076923076922</v>
      </c>
      <c r="T155" s="132"/>
      <c r="U155" s="5">
        <v>1.3</v>
      </c>
      <c r="V155" s="50"/>
      <c r="W155" s="31">
        <f t="shared" si="29"/>
        <v>0.35384615384615392</v>
      </c>
      <c r="X155" s="5">
        <f t="shared" si="38"/>
        <v>1.2923076923076922</v>
      </c>
      <c r="Y155" s="132"/>
      <c r="Z155" s="5">
        <v>1.36</v>
      </c>
      <c r="AA155" s="50"/>
      <c r="AB155" s="31">
        <f t="shared" si="30"/>
        <v>0.38235294117647067</v>
      </c>
      <c r="AC155" s="5">
        <f t="shared" si="35"/>
        <v>1.3569230769230769</v>
      </c>
      <c r="AD155" s="132"/>
      <c r="AE155" s="135"/>
    </row>
    <row r="156" spans="1:31" ht="16.5" customHeight="1">
      <c r="A156" s="189"/>
      <c r="B156" s="107"/>
      <c r="C156" s="115">
        <v>117014</v>
      </c>
      <c r="D156" s="142" t="s">
        <v>372</v>
      </c>
      <c r="E156" s="68" t="s">
        <v>161</v>
      </c>
      <c r="F156" s="84">
        <v>750</v>
      </c>
      <c r="G156" s="5">
        <f>G155</f>
        <v>0.84</v>
      </c>
      <c r="H156" s="84"/>
      <c r="I156" s="35">
        <f t="shared" si="32"/>
        <v>0</v>
      </c>
      <c r="K156" s="5">
        <f>K155</f>
        <v>1.3</v>
      </c>
      <c r="L156" s="50"/>
      <c r="M156" s="31">
        <f t="shared" si="27"/>
        <v>0.35384615384615392</v>
      </c>
      <c r="N156" s="5">
        <f t="shared" si="33"/>
        <v>1.2923076923076922</v>
      </c>
      <c r="P156" s="5">
        <f>P155</f>
        <v>1.3</v>
      </c>
      <c r="Q156" s="50"/>
      <c r="R156" s="31">
        <f t="shared" si="28"/>
        <v>0.35384615384615392</v>
      </c>
      <c r="S156" s="5">
        <f t="shared" si="37"/>
        <v>1.2923076923076922</v>
      </c>
      <c r="T156" s="132"/>
      <c r="U156" s="5">
        <f>U155</f>
        <v>1.3</v>
      </c>
      <c r="V156" s="50"/>
      <c r="W156" s="31">
        <f t="shared" si="29"/>
        <v>0.35384615384615392</v>
      </c>
      <c r="X156" s="5">
        <f t="shared" si="38"/>
        <v>1.2923076923076922</v>
      </c>
      <c r="Y156" s="132"/>
      <c r="Z156" s="5">
        <f>Z155</f>
        <v>1.36</v>
      </c>
      <c r="AA156" s="50"/>
      <c r="AB156" s="31">
        <f t="shared" si="30"/>
        <v>0.38235294117647067</v>
      </c>
      <c r="AC156" s="5">
        <f t="shared" si="35"/>
        <v>1.3569230769230769</v>
      </c>
      <c r="AD156" s="132"/>
      <c r="AE156" s="135"/>
    </row>
    <row r="157" spans="1:31" ht="16.5" customHeight="1">
      <c r="A157" s="189"/>
      <c r="B157" s="107"/>
      <c r="C157" s="115">
        <v>117015</v>
      </c>
      <c r="D157" s="142" t="s">
        <v>373</v>
      </c>
      <c r="E157" s="68" t="s">
        <v>162</v>
      </c>
      <c r="F157" s="84">
        <v>750</v>
      </c>
      <c r="G157" s="5">
        <f>G156</f>
        <v>0.84</v>
      </c>
      <c r="H157" s="84"/>
      <c r="I157" s="35">
        <f t="shared" si="32"/>
        <v>0</v>
      </c>
      <c r="K157" s="5">
        <f>K156</f>
        <v>1.3</v>
      </c>
      <c r="L157" s="50"/>
      <c r="M157" s="31">
        <f t="shared" si="27"/>
        <v>0.35384615384615392</v>
      </c>
      <c r="N157" s="5">
        <f t="shared" si="33"/>
        <v>1.2923076923076922</v>
      </c>
      <c r="P157" s="5">
        <f>P156</f>
        <v>1.3</v>
      </c>
      <c r="Q157" s="50"/>
      <c r="R157" s="31">
        <f t="shared" si="28"/>
        <v>0.35384615384615392</v>
      </c>
      <c r="S157" s="5">
        <f t="shared" si="37"/>
        <v>1.2923076923076922</v>
      </c>
      <c r="T157" s="132"/>
      <c r="U157" s="5">
        <f>U156</f>
        <v>1.3</v>
      </c>
      <c r="V157" s="50"/>
      <c r="W157" s="31">
        <f t="shared" si="29"/>
        <v>0.35384615384615392</v>
      </c>
      <c r="X157" s="5">
        <f t="shared" si="38"/>
        <v>1.2923076923076922</v>
      </c>
      <c r="Y157" s="132"/>
      <c r="Z157" s="5">
        <f>Z156</f>
        <v>1.36</v>
      </c>
      <c r="AA157" s="50"/>
      <c r="AB157" s="31">
        <f t="shared" si="30"/>
        <v>0.38235294117647067</v>
      </c>
      <c r="AC157" s="5">
        <f t="shared" si="35"/>
        <v>1.3569230769230769</v>
      </c>
      <c r="AD157" s="132"/>
      <c r="AE157" s="135"/>
    </row>
    <row r="158" spans="1:31" ht="16.5" customHeight="1">
      <c r="A158" s="189"/>
      <c r="B158" s="107"/>
      <c r="C158" s="115">
        <v>117016</v>
      </c>
      <c r="D158" s="142" t="s">
        <v>374</v>
      </c>
      <c r="E158" s="68" t="s">
        <v>163</v>
      </c>
      <c r="F158" s="84">
        <v>750</v>
      </c>
      <c r="G158" s="5">
        <v>1.28</v>
      </c>
      <c r="H158" s="84"/>
      <c r="I158" s="35">
        <f t="shared" si="32"/>
        <v>0</v>
      </c>
      <c r="K158" s="5">
        <v>2.2000000000000002</v>
      </c>
      <c r="L158" s="50"/>
      <c r="M158" s="31">
        <f t="shared" si="27"/>
        <v>0.41818181818181821</v>
      </c>
      <c r="N158" s="5">
        <f t="shared" si="33"/>
        <v>1.9692307692307691</v>
      </c>
      <c r="P158" s="5">
        <v>2.2000000000000002</v>
      </c>
      <c r="Q158" s="50"/>
      <c r="R158" s="31">
        <f t="shared" si="28"/>
        <v>0.41818181818181821</v>
      </c>
      <c r="S158" s="5">
        <f t="shared" si="37"/>
        <v>1.9692307692307691</v>
      </c>
      <c r="T158" s="132"/>
      <c r="U158" s="5">
        <v>2.2000000000000002</v>
      </c>
      <c r="V158" s="50"/>
      <c r="W158" s="31">
        <f t="shared" si="29"/>
        <v>0.41818181818181821</v>
      </c>
      <c r="X158" s="5">
        <f t="shared" si="38"/>
        <v>1.9692307692307691</v>
      </c>
      <c r="Y158" s="132"/>
      <c r="Z158" s="5">
        <v>2.31</v>
      </c>
      <c r="AA158" s="50"/>
      <c r="AB158" s="31">
        <f t="shared" si="30"/>
        <v>0.44588744588744589</v>
      </c>
      <c r="AC158" s="5">
        <f t="shared" si="35"/>
        <v>2.0676923076923077</v>
      </c>
      <c r="AD158" s="132"/>
      <c r="AE158" s="135"/>
    </row>
    <row r="159" spans="1:31" ht="16.5" customHeight="1">
      <c r="A159" s="189"/>
      <c r="B159" s="107"/>
      <c r="C159" s="115">
        <v>117017</v>
      </c>
      <c r="D159" s="115"/>
      <c r="E159" s="68" t="s">
        <v>231</v>
      </c>
      <c r="F159" s="84"/>
      <c r="G159" s="5">
        <f>G160-(G155*40)</f>
        <v>10.399999999999999</v>
      </c>
      <c r="H159" s="84"/>
      <c r="I159" s="35">
        <f t="shared" si="32"/>
        <v>0</v>
      </c>
      <c r="K159" s="5"/>
      <c r="L159" s="50"/>
      <c r="M159" s="31" t="e">
        <f t="shared" si="27"/>
        <v>#DIV/0!</v>
      </c>
      <c r="N159" s="5">
        <f t="shared" si="33"/>
        <v>15.999999999999996</v>
      </c>
      <c r="P159" s="5"/>
      <c r="Q159" s="50"/>
      <c r="R159" s="31" t="e">
        <f t="shared" si="28"/>
        <v>#DIV/0!</v>
      </c>
      <c r="S159" s="5">
        <f t="shared" si="37"/>
        <v>15.999999999999996</v>
      </c>
      <c r="T159" s="132"/>
      <c r="U159" s="5"/>
      <c r="V159" s="50"/>
      <c r="W159" s="31" t="e">
        <f t="shared" si="29"/>
        <v>#DIV/0!</v>
      </c>
      <c r="X159" s="5">
        <f t="shared" si="38"/>
        <v>15.999999999999996</v>
      </c>
      <c r="Y159" s="132"/>
      <c r="Z159" s="5"/>
      <c r="AA159" s="50"/>
      <c r="AB159" s="31" t="e">
        <f t="shared" si="30"/>
        <v>#DIV/0!</v>
      </c>
      <c r="AC159" s="5">
        <f t="shared" si="35"/>
        <v>16.799999999999997</v>
      </c>
      <c r="AD159" s="132"/>
      <c r="AE159" s="135"/>
    </row>
    <row r="160" spans="1:31" ht="16.5" customHeight="1">
      <c r="A160" s="189"/>
      <c r="B160" s="107"/>
      <c r="C160" s="115">
        <v>117018</v>
      </c>
      <c r="D160" s="141">
        <v>7797897000062</v>
      </c>
      <c r="E160" s="68" t="s">
        <v>172</v>
      </c>
      <c r="F160" s="84">
        <v>10</v>
      </c>
      <c r="G160" s="5">
        <v>44</v>
      </c>
      <c r="H160" s="84"/>
      <c r="I160" s="35">
        <f t="shared" si="32"/>
        <v>0</v>
      </c>
      <c r="K160" s="5">
        <v>70</v>
      </c>
      <c r="L160" s="50"/>
      <c r="M160" s="31">
        <f t="shared" si="27"/>
        <v>0.37142857142857144</v>
      </c>
      <c r="N160" s="5">
        <f t="shared" si="33"/>
        <v>67.692307692307693</v>
      </c>
      <c r="P160" s="5">
        <v>70</v>
      </c>
      <c r="Q160" s="50"/>
      <c r="R160" s="31">
        <f t="shared" si="28"/>
        <v>0.37142857142857144</v>
      </c>
      <c r="S160" s="5">
        <f t="shared" si="37"/>
        <v>67.692307692307693</v>
      </c>
      <c r="T160" s="132"/>
      <c r="U160" s="5">
        <v>70</v>
      </c>
      <c r="V160" s="50"/>
      <c r="W160" s="31">
        <f t="shared" si="29"/>
        <v>0.37142857142857144</v>
      </c>
      <c r="X160" s="5">
        <f t="shared" si="38"/>
        <v>67.692307692307693</v>
      </c>
      <c r="Y160" s="132"/>
      <c r="Z160" s="5">
        <v>74.465999999999994</v>
      </c>
      <c r="AA160" s="50"/>
      <c r="AB160" s="31">
        <f t="shared" si="30"/>
        <v>0.40912631267961208</v>
      </c>
      <c r="AC160" s="5">
        <f>($G160/0.65)*1.1</f>
        <v>74.461538461538467</v>
      </c>
      <c r="AD160" s="132"/>
      <c r="AE160" s="135"/>
    </row>
    <row r="161" spans="1:31" ht="16.5" customHeight="1">
      <c r="A161" s="190"/>
      <c r="B161" s="107"/>
      <c r="C161" s="115">
        <v>117019</v>
      </c>
      <c r="D161" s="141">
        <v>7797897000079</v>
      </c>
      <c r="E161" s="68" t="s">
        <v>278</v>
      </c>
      <c r="F161" s="84">
        <v>10</v>
      </c>
      <c r="G161" s="5">
        <f>G160</f>
        <v>44</v>
      </c>
      <c r="H161" s="84"/>
      <c r="I161" s="35">
        <f t="shared" si="32"/>
        <v>0</v>
      </c>
      <c r="K161" s="5">
        <f>K160</f>
        <v>70</v>
      </c>
      <c r="L161" s="50"/>
      <c r="M161" s="31">
        <f t="shared" si="27"/>
        <v>0.37142857142857144</v>
      </c>
      <c r="N161" s="5">
        <f t="shared" si="33"/>
        <v>67.692307692307693</v>
      </c>
      <c r="P161" s="5">
        <f>P160</f>
        <v>70</v>
      </c>
      <c r="Q161" s="50"/>
      <c r="R161" s="31">
        <f t="shared" si="28"/>
        <v>0.37142857142857144</v>
      </c>
      <c r="S161" s="5">
        <f t="shared" si="37"/>
        <v>67.692307692307693</v>
      </c>
      <c r="T161" s="132"/>
      <c r="U161" s="5">
        <f>U160</f>
        <v>70</v>
      </c>
      <c r="V161" s="50"/>
      <c r="W161" s="31">
        <f t="shared" si="29"/>
        <v>0.37142857142857144</v>
      </c>
      <c r="X161" s="5">
        <f t="shared" si="38"/>
        <v>67.692307692307693</v>
      </c>
      <c r="Y161" s="132"/>
      <c r="Z161" s="5">
        <f>Z160</f>
        <v>74.465999999999994</v>
      </c>
      <c r="AA161" s="50"/>
      <c r="AB161" s="31">
        <f t="shared" si="30"/>
        <v>0.40912631267961208</v>
      </c>
      <c r="AC161" s="5">
        <f>($G161/0.65)*1.1</f>
        <v>74.461538461538467</v>
      </c>
      <c r="AD161" s="132"/>
      <c r="AE161" s="135"/>
    </row>
    <row r="162" spans="1:31" ht="16.5" customHeight="1">
      <c r="A162" s="182" t="s">
        <v>150</v>
      </c>
      <c r="B162" s="158" t="s">
        <v>151</v>
      </c>
      <c r="C162" s="120">
        <v>111014</v>
      </c>
      <c r="D162" s="141">
        <v>7798101343005</v>
      </c>
      <c r="E162" s="68" t="s">
        <v>144</v>
      </c>
      <c r="F162" s="69"/>
      <c r="G162" s="5">
        <v>18.28</v>
      </c>
      <c r="H162" s="16"/>
      <c r="I162" s="35">
        <f t="shared" si="32"/>
        <v>0</v>
      </c>
      <c r="K162" s="5">
        <v>25.6</v>
      </c>
      <c r="L162" s="50"/>
      <c r="M162" s="31">
        <f t="shared" si="27"/>
        <v>0.28593749999999996</v>
      </c>
      <c r="N162" s="5">
        <f t="shared" si="33"/>
        <v>28.123076923076923</v>
      </c>
      <c r="P162" s="5">
        <v>25.6</v>
      </c>
      <c r="Q162" s="50"/>
      <c r="R162" s="31">
        <f t="shared" si="28"/>
        <v>0.28593749999999996</v>
      </c>
      <c r="S162" s="5">
        <f t="shared" si="37"/>
        <v>28.123076923076923</v>
      </c>
      <c r="T162" s="132"/>
      <c r="U162" s="5">
        <v>25.6</v>
      </c>
      <c r="V162" s="50"/>
      <c r="W162" s="31">
        <f t="shared" si="29"/>
        <v>0.28593749999999996</v>
      </c>
      <c r="X162" s="5">
        <f t="shared" si="38"/>
        <v>28.123076923076923</v>
      </c>
      <c r="Y162" s="132"/>
      <c r="Z162" s="5">
        <v>29.53</v>
      </c>
      <c r="AA162" s="50"/>
      <c r="AB162" s="31">
        <f t="shared" si="30"/>
        <v>0.38096850660345405</v>
      </c>
      <c r="AC162" s="5">
        <f t="shared" ref="AC162:AC170" si="39">($G162/0.65)*1.05</f>
        <v>29.529230769230772</v>
      </c>
      <c r="AD162" s="132"/>
      <c r="AE162" s="135"/>
    </row>
    <row r="163" spans="1:31" ht="16.5" customHeight="1" thickBot="1">
      <c r="A163" s="183"/>
      <c r="B163" s="154"/>
      <c r="C163" s="120">
        <v>111015</v>
      </c>
      <c r="D163" s="141">
        <v>7798101343012</v>
      </c>
      <c r="E163" s="68" t="s">
        <v>145</v>
      </c>
      <c r="F163" s="69"/>
      <c r="G163" s="5">
        <v>15.45</v>
      </c>
      <c r="H163" s="16"/>
      <c r="I163" s="35">
        <f t="shared" si="32"/>
        <v>0</v>
      </c>
      <c r="K163" s="5">
        <v>21.63</v>
      </c>
      <c r="L163" s="50"/>
      <c r="M163" s="31">
        <f t="shared" si="27"/>
        <v>0.2857142857142857</v>
      </c>
      <c r="N163" s="5">
        <f t="shared" si="33"/>
        <v>23.769230769230766</v>
      </c>
      <c r="P163" s="5">
        <v>21.63</v>
      </c>
      <c r="Q163" s="50"/>
      <c r="R163" s="31">
        <f t="shared" si="28"/>
        <v>0.2857142857142857</v>
      </c>
      <c r="S163" s="5">
        <f t="shared" si="37"/>
        <v>23.769230769230766</v>
      </c>
      <c r="T163" s="132"/>
      <c r="U163" s="5">
        <v>21.63</v>
      </c>
      <c r="V163" s="50"/>
      <c r="W163" s="31">
        <f t="shared" si="29"/>
        <v>0.2857142857142857</v>
      </c>
      <c r="X163" s="5">
        <f t="shared" si="38"/>
        <v>23.769230769230766</v>
      </c>
      <c r="Y163" s="132"/>
      <c r="Z163" s="5">
        <v>24.94</v>
      </c>
      <c r="AA163" s="50"/>
      <c r="AB163" s="31">
        <f t="shared" si="30"/>
        <v>0.38051323175621499</v>
      </c>
      <c r="AC163" s="5">
        <f t="shared" si="39"/>
        <v>24.957692307692305</v>
      </c>
      <c r="AD163" s="132"/>
      <c r="AE163" s="135"/>
    </row>
    <row r="164" spans="1:31" ht="16.5" customHeight="1">
      <c r="A164" s="183"/>
      <c r="B164" s="153" t="s">
        <v>152</v>
      </c>
      <c r="C164" s="120">
        <v>111016</v>
      </c>
      <c r="D164" s="141">
        <v>7798101343029</v>
      </c>
      <c r="E164" s="68" t="s">
        <v>146</v>
      </c>
      <c r="F164" s="69"/>
      <c r="G164" s="5">
        <f>G163</f>
        <v>15.45</v>
      </c>
      <c r="H164" s="16"/>
      <c r="I164" s="35">
        <f t="shared" si="32"/>
        <v>0</v>
      </c>
      <c r="K164" s="5">
        <v>21.63</v>
      </c>
      <c r="L164" s="50"/>
      <c r="M164" s="31">
        <f t="shared" si="27"/>
        <v>0.2857142857142857</v>
      </c>
      <c r="N164" s="5">
        <f t="shared" si="33"/>
        <v>23.769230769230766</v>
      </c>
      <c r="P164" s="5">
        <v>21.63</v>
      </c>
      <c r="Q164" s="50"/>
      <c r="R164" s="31">
        <f t="shared" si="28"/>
        <v>0.2857142857142857</v>
      </c>
      <c r="S164" s="5">
        <f t="shared" si="37"/>
        <v>23.769230769230766</v>
      </c>
      <c r="T164" s="132"/>
      <c r="U164" s="5">
        <v>21.63</v>
      </c>
      <c r="V164" s="50"/>
      <c r="W164" s="31">
        <f t="shared" si="29"/>
        <v>0.2857142857142857</v>
      </c>
      <c r="X164" s="5">
        <f t="shared" si="38"/>
        <v>23.769230769230766</v>
      </c>
      <c r="Y164" s="132"/>
      <c r="Z164" s="5">
        <f>Z163</f>
        <v>24.94</v>
      </c>
      <c r="AA164" s="50"/>
      <c r="AB164" s="31">
        <f t="shared" si="30"/>
        <v>0.38051323175621499</v>
      </c>
      <c r="AC164" s="5">
        <f t="shared" si="39"/>
        <v>24.957692307692305</v>
      </c>
      <c r="AD164" s="132"/>
      <c r="AE164" s="135"/>
    </row>
    <row r="165" spans="1:31" ht="16.5" customHeight="1">
      <c r="A165" s="183"/>
      <c r="B165" s="154"/>
      <c r="C165" s="120">
        <v>111017</v>
      </c>
      <c r="D165" s="141">
        <v>7798101343036</v>
      </c>
      <c r="E165" s="68" t="s">
        <v>147</v>
      </c>
      <c r="F165" s="69"/>
      <c r="G165" s="5">
        <f>G164</f>
        <v>15.45</v>
      </c>
      <c r="H165" s="16"/>
      <c r="I165" s="35">
        <f t="shared" si="32"/>
        <v>0</v>
      </c>
      <c r="K165" s="5">
        <f>K164</f>
        <v>21.63</v>
      </c>
      <c r="L165" s="50"/>
      <c r="M165" s="31">
        <f t="shared" si="27"/>
        <v>0.2857142857142857</v>
      </c>
      <c r="N165" s="5">
        <f t="shared" si="33"/>
        <v>23.769230769230766</v>
      </c>
      <c r="P165" s="5">
        <f>P164</f>
        <v>21.63</v>
      </c>
      <c r="Q165" s="50"/>
      <c r="R165" s="31">
        <f t="shared" si="28"/>
        <v>0.2857142857142857</v>
      </c>
      <c r="S165" s="5">
        <f t="shared" si="37"/>
        <v>23.769230769230766</v>
      </c>
      <c r="T165" s="132"/>
      <c r="U165" s="5">
        <f>U164</f>
        <v>21.63</v>
      </c>
      <c r="V165" s="50"/>
      <c r="W165" s="31">
        <f t="shared" si="29"/>
        <v>0.2857142857142857</v>
      </c>
      <c r="X165" s="5">
        <f t="shared" si="38"/>
        <v>23.769230769230766</v>
      </c>
      <c r="Y165" s="132"/>
      <c r="Z165" s="5">
        <f>Z164</f>
        <v>24.94</v>
      </c>
      <c r="AA165" s="50"/>
      <c r="AB165" s="31">
        <f t="shared" si="30"/>
        <v>0.38051323175621499</v>
      </c>
      <c r="AC165" s="5">
        <f t="shared" si="39"/>
        <v>24.957692307692305</v>
      </c>
      <c r="AD165" s="132"/>
      <c r="AE165" s="135"/>
    </row>
    <row r="166" spans="1:31" ht="16.5" customHeight="1">
      <c r="A166" s="183"/>
      <c r="B166" s="154"/>
      <c r="C166" s="120">
        <v>111018</v>
      </c>
      <c r="D166" s="141">
        <v>7798101343043</v>
      </c>
      <c r="E166" s="68" t="s">
        <v>148</v>
      </c>
      <c r="F166" s="69"/>
      <c r="G166" s="5">
        <f>G165</f>
        <v>15.45</v>
      </c>
      <c r="H166" s="16"/>
      <c r="I166" s="35">
        <f t="shared" si="32"/>
        <v>0</v>
      </c>
      <c r="K166" s="5">
        <f>K165</f>
        <v>21.63</v>
      </c>
      <c r="L166" s="50"/>
      <c r="M166" s="31">
        <f t="shared" si="27"/>
        <v>0.2857142857142857</v>
      </c>
      <c r="N166" s="5">
        <f t="shared" si="33"/>
        <v>23.769230769230766</v>
      </c>
      <c r="P166" s="5">
        <f>P165</f>
        <v>21.63</v>
      </c>
      <c r="Q166" s="50"/>
      <c r="R166" s="31">
        <f t="shared" si="28"/>
        <v>0.2857142857142857</v>
      </c>
      <c r="S166" s="5">
        <f t="shared" si="37"/>
        <v>23.769230769230766</v>
      </c>
      <c r="T166" s="132"/>
      <c r="U166" s="5">
        <f>U165</f>
        <v>21.63</v>
      </c>
      <c r="V166" s="50"/>
      <c r="W166" s="31">
        <f t="shared" si="29"/>
        <v>0.2857142857142857</v>
      </c>
      <c r="X166" s="5">
        <f t="shared" si="38"/>
        <v>23.769230769230766</v>
      </c>
      <c r="Y166" s="132"/>
      <c r="Z166" s="5">
        <f>Z165</f>
        <v>24.94</v>
      </c>
      <c r="AA166" s="50"/>
      <c r="AB166" s="31">
        <f t="shared" si="30"/>
        <v>0.38051323175621499</v>
      </c>
      <c r="AC166" s="5">
        <f t="shared" si="39"/>
        <v>24.957692307692305</v>
      </c>
      <c r="AD166" s="132"/>
      <c r="AE166" s="135"/>
    </row>
    <row r="167" spans="1:31" ht="16.5" customHeight="1">
      <c r="A167" s="183"/>
      <c r="B167" s="154"/>
      <c r="C167" s="120">
        <v>111019</v>
      </c>
      <c r="D167" s="141">
        <v>7798101343050</v>
      </c>
      <c r="E167" s="90" t="s">
        <v>149</v>
      </c>
      <c r="F167" s="91"/>
      <c r="G167" s="92">
        <f>G163</f>
        <v>15.45</v>
      </c>
      <c r="H167" s="93"/>
      <c r="I167" s="35">
        <f t="shared" si="32"/>
        <v>0</v>
      </c>
      <c r="K167" s="5">
        <f>K163</f>
        <v>21.63</v>
      </c>
      <c r="L167" s="50"/>
      <c r="M167" s="31">
        <f t="shared" ref="M167:M230" si="40">1-(G167/K167)</f>
        <v>0.2857142857142857</v>
      </c>
      <c r="N167" s="5">
        <f t="shared" si="33"/>
        <v>23.769230769230766</v>
      </c>
      <c r="P167" s="5">
        <f>P163</f>
        <v>21.63</v>
      </c>
      <c r="Q167" s="50"/>
      <c r="R167" s="31">
        <f t="shared" ref="R167:R230" si="41">1-(G167/P167)</f>
        <v>0.2857142857142857</v>
      </c>
      <c r="S167" s="5">
        <f t="shared" si="37"/>
        <v>23.769230769230766</v>
      </c>
      <c r="T167" s="132"/>
      <c r="U167" s="5">
        <f>U163</f>
        <v>21.63</v>
      </c>
      <c r="V167" s="50"/>
      <c r="W167" s="31">
        <f t="shared" ref="W167:W230" si="42">1-(G167/U167)</f>
        <v>0.2857142857142857</v>
      </c>
      <c r="X167" s="5">
        <f t="shared" si="38"/>
        <v>23.769230769230766</v>
      </c>
      <c r="Y167" s="132"/>
      <c r="Z167" s="5">
        <f>Z163</f>
        <v>24.94</v>
      </c>
      <c r="AA167" s="50"/>
      <c r="AB167" s="31">
        <f t="shared" si="30"/>
        <v>0.38051323175621499</v>
      </c>
      <c r="AC167" s="5">
        <f t="shared" si="39"/>
        <v>24.957692307692305</v>
      </c>
      <c r="AD167" s="132"/>
      <c r="AE167" s="135"/>
    </row>
    <row r="168" spans="1:31" ht="16.5" customHeight="1">
      <c r="A168" s="183"/>
      <c r="B168" s="185" t="s">
        <v>232</v>
      </c>
      <c r="C168" s="120">
        <v>111020</v>
      </c>
      <c r="D168" s="142" t="s">
        <v>375</v>
      </c>
      <c r="E168" s="68" t="s">
        <v>233</v>
      </c>
      <c r="F168" s="69"/>
      <c r="G168" s="5">
        <v>62.09</v>
      </c>
      <c r="H168" s="16"/>
      <c r="I168" s="35">
        <f t="shared" si="32"/>
        <v>0</v>
      </c>
      <c r="K168" s="5">
        <v>89</v>
      </c>
      <c r="L168" s="50"/>
      <c r="M168" s="31">
        <f t="shared" si="40"/>
        <v>0.30235955056179775</v>
      </c>
      <c r="N168" s="5">
        <f t="shared" si="33"/>
        <v>95.523076923076928</v>
      </c>
      <c r="P168" s="5">
        <v>87.5</v>
      </c>
      <c r="Q168" s="50"/>
      <c r="R168" s="31">
        <f t="shared" si="41"/>
        <v>0.29039999999999999</v>
      </c>
      <c r="S168" s="5">
        <f t="shared" si="37"/>
        <v>95.523076923076928</v>
      </c>
      <c r="T168" s="132"/>
      <c r="U168" s="5">
        <v>89</v>
      </c>
      <c r="V168" s="50"/>
      <c r="W168" s="31">
        <f t="shared" si="42"/>
        <v>0.30235955056179775</v>
      </c>
      <c r="X168" s="5">
        <f t="shared" si="38"/>
        <v>95.523076923076928</v>
      </c>
      <c r="Y168" s="132"/>
      <c r="Z168" s="5">
        <v>100.3</v>
      </c>
      <c r="AA168" s="50"/>
      <c r="AB168" s="31">
        <f t="shared" ref="AB168:AB231" si="43">1-($G168/Z168)</f>
        <v>0.38095712861415743</v>
      </c>
      <c r="AC168" s="5">
        <f t="shared" si="39"/>
        <v>100.29923076923077</v>
      </c>
      <c r="AD168" s="132"/>
      <c r="AE168" s="135"/>
    </row>
    <row r="169" spans="1:31" ht="16.5" customHeight="1">
      <c r="A169" s="183"/>
      <c r="B169" s="186"/>
      <c r="C169" s="120">
        <v>111021</v>
      </c>
      <c r="D169" s="142" t="s">
        <v>376</v>
      </c>
      <c r="E169" s="68" t="s">
        <v>234</v>
      </c>
      <c r="F169" s="69"/>
      <c r="G169" s="5">
        <v>62.06</v>
      </c>
      <c r="H169" s="16"/>
      <c r="I169" s="35">
        <f t="shared" si="32"/>
        <v>0</v>
      </c>
      <c r="K169" s="5">
        <f>K168</f>
        <v>89</v>
      </c>
      <c r="L169" s="50"/>
      <c r="M169" s="31">
        <f t="shared" si="40"/>
        <v>0.30269662921348317</v>
      </c>
      <c r="N169" s="5">
        <f t="shared" si="33"/>
        <v>95.476923076923072</v>
      </c>
      <c r="P169" s="5">
        <f>P168</f>
        <v>87.5</v>
      </c>
      <c r="Q169" s="50"/>
      <c r="R169" s="31">
        <f t="shared" si="41"/>
        <v>0.29074285714285708</v>
      </c>
      <c r="S169" s="5">
        <f t="shared" si="37"/>
        <v>95.476923076923072</v>
      </c>
      <c r="T169" s="132"/>
      <c r="U169" s="5">
        <f>U168</f>
        <v>89</v>
      </c>
      <c r="V169" s="50"/>
      <c r="W169" s="31">
        <f t="shared" si="42"/>
        <v>0.30269662921348317</v>
      </c>
      <c r="X169" s="5">
        <f t="shared" si="38"/>
        <v>95.476923076923072</v>
      </c>
      <c r="Y169" s="132"/>
      <c r="Z169" s="5">
        <f>Z168</f>
        <v>100.3</v>
      </c>
      <c r="AA169" s="50"/>
      <c r="AB169" s="31">
        <f t="shared" si="43"/>
        <v>0.38125623130608166</v>
      </c>
      <c r="AC169" s="5">
        <f t="shared" si="39"/>
        <v>100.25076923076922</v>
      </c>
      <c r="AD169" s="132"/>
      <c r="AE169" s="135"/>
    </row>
    <row r="170" spans="1:31" ht="16.5" customHeight="1" thickBot="1">
      <c r="A170" s="184"/>
      <c r="B170" s="187"/>
      <c r="C170" s="120">
        <v>111022</v>
      </c>
      <c r="D170" s="142" t="s">
        <v>377</v>
      </c>
      <c r="E170" s="94" t="s">
        <v>235</v>
      </c>
      <c r="F170" s="95"/>
      <c r="G170" s="96">
        <f>G168</f>
        <v>62.09</v>
      </c>
      <c r="H170" s="97"/>
      <c r="I170" s="35">
        <f t="shared" si="32"/>
        <v>0</v>
      </c>
      <c r="K170" s="5">
        <f>K168</f>
        <v>89</v>
      </c>
      <c r="L170" s="50"/>
      <c r="M170" s="31">
        <f t="shared" si="40"/>
        <v>0.30235955056179775</v>
      </c>
      <c r="N170" s="5">
        <f t="shared" si="33"/>
        <v>95.523076923076928</v>
      </c>
      <c r="P170" s="5">
        <f>P168</f>
        <v>87.5</v>
      </c>
      <c r="Q170" s="50"/>
      <c r="R170" s="31">
        <f t="shared" si="41"/>
        <v>0.29039999999999999</v>
      </c>
      <c r="S170" s="5">
        <f t="shared" si="37"/>
        <v>95.523076923076928</v>
      </c>
      <c r="T170" s="132"/>
      <c r="U170" s="5">
        <f>U168</f>
        <v>89</v>
      </c>
      <c r="V170" s="50"/>
      <c r="W170" s="31">
        <f t="shared" si="42"/>
        <v>0.30235955056179775</v>
      </c>
      <c r="X170" s="5">
        <f t="shared" si="38"/>
        <v>95.523076923076928</v>
      </c>
      <c r="Y170" s="132"/>
      <c r="Z170" s="5">
        <f>Z168</f>
        <v>100.3</v>
      </c>
      <c r="AA170" s="50"/>
      <c r="AB170" s="31">
        <f t="shared" si="43"/>
        <v>0.38095712861415743</v>
      </c>
      <c r="AC170" s="5">
        <f t="shared" si="39"/>
        <v>100.29923076923077</v>
      </c>
      <c r="AD170" s="132"/>
      <c r="AE170" s="135"/>
    </row>
    <row r="171" spans="1:31" ht="16.5" customHeight="1" thickBot="1">
      <c r="A171" s="193" t="s">
        <v>183</v>
      </c>
      <c r="B171" s="86"/>
      <c r="C171" s="121">
        <v>118001</v>
      </c>
      <c r="D171" s="141">
        <v>7793482000110</v>
      </c>
      <c r="E171" s="87" t="s">
        <v>236</v>
      </c>
      <c r="F171" s="88">
        <v>30</v>
      </c>
      <c r="G171" s="51">
        <f>47.07*0.85</f>
        <v>40.009500000000003</v>
      </c>
      <c r="H171" s="89"/>
      <c r="I171" s="35">
        <f t="shared" si="32"/>
        <v>0</v>
      </c>
      <c r="J171" s="30"/>
      <c r="K171" s="5">
        <v>59</v>
      </c>
      <c r="L171" s="30"/>
      <c r="M171" s="31">
        <f t="shared" si="40"/>
        <v>0.32187288135593217</v>
      </c>
      <c r="N171" s="5">
        <f t="shared" si="33"/>
        <v>61.553076923076922</v>
      </c>
      <c r="P171" s="5">
        <v>59</v>
      </c>
      <c r="Q171" s="30"/>
      <c r="R171" s="31">
        <f t="shared" si="41"/>
        <v>0.32187288135593217</v>
      </c>
      <c r="S171" s="5">
        <f t="shared" si="37"/>
        <v>61.553076923076922</v>
      </c>
      <c r="T171" s="132"/>
      <c r="U171" s="5">
        <v>59</v>
      </c>
      <c r="V171" s="30"/>
      <c r="W171" s="31">
        <f t="shared" si="42"/>
        <v>0.32187288135593217</v>
      </c>
      <c r="X171" s="5">
        <f t="shared" si="38"/>
        <v>61.553076923076922</v>
      </c>
      <c r="Y171" s="132"/>
      <c r="Z171" s="5">
        <v>59</v>
      </c>
      <c r="AA171" s="30"/>
      <c r="AB171" s="31">
        <f t="shared" si="43"/>
        <v>0.32187288135593217</v>
      </c>
      <c r="AC171" s="5">
        <f t="shared" ref="AC171:AC203" si="44">$G171/0.65</f>
        <v>61.553076923076922</v>
      </c>
      <c r="AD171" s="132"/>
      <c r="AE171" s="135"/>
    </row>
    <row r="172" spans="1:31" s="30" customFormat="1" ht="16.5" customHeight="1">
      <c r="A172" s="194"/>
      <c r="B172" s="162" t="s">
        <v>184</v>
      </c>
      <c r="C172" s="122">
        <v>118002</v>
      </c>
      <c r="D172" s="141">
        <v>7793482000448</v>
      </c>
      <c r="E172" s="2" t="s">
        <v>185</v>
      </c>
      <c r="F172" s="26">
        <v>12</v>
      </c>
      <c r="G172" s="27">
        <f>39.26*0.85</f>
        <v>33.370999999999995</v>
      </c>
      <c r="H172" s="64"/>
      <c r="I172" s="35">
        <f t="shared" si="32"/>
        <v>0</v>
      </c>
      <c r="K172" s="5">
        <v>49</v>
      </c>
      <c r="M172" s="31">
        <f t="shared" si="40"/>
        <v>0.31895918367346954</v>
      </c>
      <c r="N172" s="5">
        <f t="shared" si="33"/>
        <v>51.339999999999989</v>
      </c>
      <c r="P172" s="5">
        <v>49</v>
      </c>
      <c r="R172" s="31">
        <f t="shared" si="41"/>
        <v>0.31895918367346954</v>
      </c>
      <c r="S172" s="5">
        <f t="shared" si="37"/>
        <v>51.339999999999989</v>
      </c>
      <c r="T172" s="132"/>
      <c r="U172" s="5">
        <v>49</v>
      </c>
      <c r="W172" s="31">
        <f t="shared" si="42"/>
        <v>0.31895918367346954</v>
      </c>
      <c r="X172" s="5">
        <f t="shared" si="38"/>
        <v>51.339999999999989</v>
      </c>
      <c r="Y172" s="132"/>
      <c r="Z172" s="5">
        <v>49</v>
      </c>
      <c r="AB172" s="31">
        <f t="shared" si="43"/>
        <v>0.31895918367346954</v>
      </c>
      <c r="AC172" s="5">
        <f t="shared" si="44"/>
        <v>51.339999999999989</v>
      </c>
      <c r="AD172" s="132"/>
      <c r="AE172" s="135"/>
    </row>
    <row r="173" spans="1:31" s="30" customFormat="1" ht="16.5" customHeight="1" thickBot="1">
      <c r="A173" s="194"/>
      <c r="B173" s="163"/>
      <c r="C173" s="121">
        <v>118003</v>
      </c>
      <c r="D173" s="141">
        <v>7793482000608</v>
      </c>
      <c r="E173" s="4" t="s">
        <v>186</v>
      </c>
      <c r="F173" s="33">
        <v>12</v>
      </c>
      <c r="G173" s="1">
        <f>41.21*0.85</f>
        <v>35.028500000000001</v>
      </c>
      <c r="H173" s="65"/>
      <c r="I173" s="35">
        <f t="shared" si="32"/>
        <v>0</v>
      </c>
      <c r="K173" s="5">
        <v>52</v>
      </c>
      <c r="M173" s="31">
        <f t="shared" si="40"/>
        <v>0.32637499999999997</v>
      </c>
      <c r="N173" s="5">
        <f t="shared" si="33"/>
        <v>53.89</v>
      </c>
      <c r="P173" s="5">
        <v>52</v>
      </c>
      <c r="R173" s="31">
        <f t="shared" si="41"/>
        <v>0.32637499999999997</v>
      </c>
      <c r="S173" s="5">
        <f t="shared" si="37"/>
        <v>53.89</v>
      </c>
      <c r="T173" s="132"/>
      <c r="U173" s="5">
        <v>52</v>
      </c>
      <c r="W173" s="31">
        <f t="shared" si="42"/>
        <v>0.32637499999999997</v>
      </c>
      <c r="X173" s="5">
        <f t="shared" si="38"/>
        <v>53.89</v>
      </c>
      <c r="Y173" s="132"/>
      <c r="Z173" s="5">
        <v>52</v>
      </c>
      <c r="AB173" s="31">
        <f t="shared" si="43"/>
        <v>0.32637499999999997</v>
      </c>
      <c r="AC173" s="5">
        <f t="shared" si="44"/>
        <v>53.89</v>
      </c>
      <c r="AD173" s="132"/>
      <c r="AE173" s="135"/>
    </row>
    <row r="174" spans="1:31" s="30" customFormat="1" ht="16.5" customHeight="1">
      <c r="A174" s="194"/>
      <c r="B174" s="163"/>
      <c r="C174" s="122">
        <v>118004</v>
      </c>
      <c r="D174" s="141">
        <v>7793482000332</v>
      </c>
      <c r="E174" s="4" t="s">
        <v>187</v>
      </c>
      <c r="F174" s="33">
        <v>12</v>
      </c>
      <c r="G174" s="1">
        <f>45.81*0.85</f>
        <v>38.938499999999998</v>
      </c>
      <c r="H174" s="65"/>
      <c r="I174" s="35">
        <f t="shared" si="32"/>
        <v>0</v>
      </c>
      <c r="K174" s="5">
        <v>58</v>
      </c>
      <c r="M174" s="31">
        <f t="shared" si="40"/>
        <v>0.32864655172413793</v>
      </c>
      <c r="N174" s="5">
        <f t="shared" si="33"/>
        <v>59.905384615384612</v>
      </c>
      <c r="P174" s="5">
        <v>58</v>
      </c>
      <c r="R174" s="31">
        <f t="shared" si="41"/>
        <v>0.32864655172413793</v>
      </c>
      <c r="S174" s="5">
        <f t="shared" si="37"/>
        <v>59.905384615384612</v>
      </c>
      <c r="T174" s="132"/>
      <c r="U174" s="5">
        <v>58</v>
      </c>
      <c r="W174" s="31">
        <f t="shared" si="42"/>
        <v>0.32864655172413793</v>
      </c>
      <c r="X174" s="5">
        <f t="shared" si="38"/>
        <v>59.905384615384612</v>
      </c>
      <c r="Y174" s="132"/>
      <c r="Z174" s="5">
        <v>58</v>
      </c>
      <c r="AB174" s="31">
        <f t="shared" si="43"/>
        <v>0.32864655172413793</v>
      </c>
      <c r="AC174" s="5">
        <f t="shared" si="44"/>
        <v>59.905384615384612</v>
      </c>
      <c r="AD174" s="132"/>
      <c r="AE174" s="135"/>
    </row>
    <row r="175" spans="1:31" s="30" customFormat="1" ht="16.5" customHeight="1" thickBot="1">
      <c r="A175" s="194"/>
      <c r="B175" s="163"/>
      <c r="C175" s="121">
        <v>118005</v>
      </c>
      <c r="D175" s="141">
        <v>7793482000349</v>
      </c>
      <c r="E175" s="4" t="s">
        <v>188</v>
      </c>
      <c r="F175" s="33">
        <v>12</v>
      </c>
      <c r="G175" s="1">
        <f>37.06*0.85</f>
        <v>31.501000000000001</v>
      </c>
      <c r="H175" s="65"/>
      <c r="I175" s="35">
        <f t="shared" ref="I175:I224" si="45">G175*H175</f>
        <v>0</v>
      </c>
      <c r="K175" s="5">
        <v>46.5</v>
      </c>
      <c r="M175" s="31">
        <f t="shared" si="40"/>
        <v>0.32255913978494621</v>
      </c>
      <c r="N175" s="5">
        <f t="shared" si="33"/>
        <v>48.463076923076926</v>
      </c>
      <c r="P175" s="5">
        <v>46.5</v>
      </c>
      <c r="R175" s="31">
        <f t="shared" si="41"/>
        <v>0.32255913978494621</v>
      </c>
      <c r="S175" s="5">
        <f t="shared" si="37"/>
        <v>48.463076923076926</v>
      </c>
      <c r="T175" s="132"/>
      <c r="U175" s="5">
        <v>46.5</v>
      </c>
      <c r="W175" s="31">
        <f t="shared" si="42"/>
        <v>0.32255913978494621</v>
      </c>
      <c r="X175" s="5">
        <f t="shared" si="38"/>
        <v>48.463076923076926</v>
      </c>
      <c r="Y175" s="132"/>
      <c r="Z175" s="5">
        <v>46.5</v>
      </c>
      <c r="AB175" s="31">
        <f t="shared" si="43"/>
        <v>0.32255913978494621</v>
      </c>
      <c r="AC175" s="5">
        <f t="shared" si="44"/>
        <v>48.463076923076926</v>
      </c>
      <c r="AD175" s="132"/>
      <c r="AE175" s="135"/>
    </row>
    <row r="176" spans="1:31" s="30" customFormat="1" ht="16.5" customHeight="1">
      <c r="A176" s="194"/>
      <c r="B176" s="163"/>
      <c r="C176" s="122">
        <v>118006</v>
      </c>
      <c r="D176" s="141">
        <v>7793482000455</v>
      </c>
      <c r="E176" s="4" t="s">
        <v>189</v>
      </c>
      <c r="F176" s="33">
        <v>12</v>
      </c>
      <c r="G176" s="1">
        <f>34.72*0.85</f>
        <v>29.511999999999997</v>
      </c>
      <c r="H176" s="65"/>
      <c r="I176" s="35">
        <f t="shared" si="45"/>
        <v>0</v>
      </c>
      <c r="K176" s="5">
        <v>43.5</v>
      </c>
      <c r="M176" s="31">
        <f t="shared" si="40"/>
        <v>0.32156321839080471</v>
      </c>
      <c r="N176" s="5">
        <f t="shared" si="33"/>
        <v>45.403076923076917</v>
      </c>
      <c r="P176" s="5">
        <v>43.5</v>
      </c>
      <c r="R176" s="31">
        <f t="shared" si="41"/>
        <v>0.32156321839080471</v>
      </c>
      <c r="S176" s="5">
        <f t="shared" si="37"/>
        <v>45.403076923076917</v>
      </c>
      <c r="T176" s="132"/>
      <c r="U176" s="5">
        <v>43.5</v>
      </c>
      <c r="W176" s="31">
        <f t="shared" si="42"/>
        <v>0.32156321839080471</v>
      </c>
      <c r="X176" s="5">
        <f t="shared" si="38"/>
        <v>45.403076923076917</v>
      </c>
      <c r="Y176" s="132"/>
      <c r="Z176" s="5">
        <v>43.5</v>
      </c>
      <c r="AB176" s="31">
        <f t="shared" si="43"/>
        <v>0.32156321839080471</v>
      </c>
      <c r="AC176" s="5">
        <f t="shared" si="44"/>
        <v>45.403076923076917</v>
      </c>
      <c r="AD176" s="132"/>
      <c r="AE176" s="135"/>
    </row>
    <row r="177" spans="1:31" s="30" customFormat="1" ht="16.5" customHeight="1" thickBot="1">
      <c r="A177" s="194"/>
      <c r="B177" s="164"/>
      <c r="C177" s="121">
        <v>118007</v>
      </c>
      <c r="D177" s="141">
        <v>7793482000356</v>
      </c>
      <c r="E177" s="7" t="s">
        <v>190</v>
      </c>
      <c r="F177" s="43">
        <v>12</v>
      </c>
      <c r="G177" s="1">
        <f>40.95*0.85</f>
        <v>34.807500000000005</v>
      </c>
      <c r="H177" s="70"/>
      <c r="I177" s="35">
        <f t="shared" si="45"/>
        <v>0</v>
      </c>
      <c r="K177" s="5">
        <v>51.5</v>
      </c>
      <c r="M177" s="31">
        <f t="shared" si="40"/>
        <v>0.32412621359223293</v>
      </c>
      <c r="N177" s="5">
        <f t="shared" ref="N177:N203" si="46">$G177/0.65</f>
        <v>53.550000000000004</v>
      </c>
      <c r="P177" s="5">
        <v>51.5</v>
      </c>
      <c r="R177" s="31">
        <f t="shared" si="41"/>
        <v>0.32412621359223293</v>
      </c>
      <c r="S177" s="5">
        <f t="shared" si="37"/>
        <v>53.550000000000004</v>
      </c>
      <c r="T177" s="132"/>
      <c r="U177" s="5">
        <v>51.5</v>
      </c>
      <c r="W177" s="31">
        <f t="shared" si="42"/>
        <v>0.32412621359223293</v>
      </c>
      <c r="X177" s="5">
        <f t="shared" si="38"/>
        <v>53.550000000000004</v>
      </c>
      <c r="Y177" s="132"/>
      <c r="Z177" s="5">
        <v>51.5</v>
      </c>
      <c r="AB177" s="31">
        <f t="shared" si="43"/>
        <v>0.32412621359223293</v>
      </c>
      <c r="AC177" s="5">
        <f t="shared" si="44"/>
        <v>53.550000000000004</v>
      </c>
      <c r="AD177" s="132"/>
      <c r="AE177" s="135"/>
    </row>
    <row r="178" spans="1:31" s="30" customFormat="1" ht="15.75" customHeight="1">
      <c r="A178" s="194"/>
      <c r="B178" s="162" t="s">
        <v>239</v>
      </c>
      <c r="C178" s="122">
        <v>118008</v>
      </c>
      <c r="D178" s="141">
        <v>7793482000622</v>
      </c>
      <c r="E178" s="2" t="s">
        <v>191</v>
      </c>
      <c r="F178" s="26">
        <v>15</v>
      </c>
      <c r="G178" s="27">
        <f>29.66*0.85</f>
        <v>25.210999999999999</v>
      </c>
      <c r="H178" s="64"/>
      <c r="I178" s="35">
        <f t="shared" si="45"/>
        <v>0</v>
      </c>
      <c r="K178" s="5">
        <v>37</v>
      </c>
      <c r="M178" s="31">
        <f t="shared" si="40"/>
        <v>0.31862162162162166</v>
      </c>
      <c r="N178" s="5">
        <f t="shared" si="46"/>
        <v>38.786153846153844</v>
      </c>
      <c r="P178" s="5">
        <v>37</v>
      </c>
      <c r="R178" s="31">
        <f t="shared" si="41"/>
        <v>0.31862162162162166</v>
      </c>
      <c r="S178" s="5">
        <f t="shared" si="37"/>
        <v>38.786153846153844</v>
      </c>
      <c r="T178" s="132"/>
      <c r="U178" s="5">
        <v>37</v>
      </c>
      <c r="W178" s="31">
        <f t="shared" si="42"/>
        <v>0.31862162162162166</v>
      </c>
      <c r="X178" s="5">
        <f t="shared" si="38"/>
        <v>38.786153846153844</v>
      </c>
      <c r="Y178" s="132"/>
      <c r="Z178" s="5">
        <v>37</v>
      </c>
      <c r="AB178" s="31">
        <f t="shared" si="43"/>
        <v>0.31862162162162166</v>
      </c>
      <c r="AC178" s="5">
        <f t="shared" si="44"/>
        <v>38.786153846153844</v>
      </c>
      <c r="AD178" s="132"/>
      <c r="AE178" s="135"/>
    </row>
    <row r="179" spans="1:31" s="30" customFormat="1" ht="15.75" customHeight="1" thickBot="1">
      <c r="A179" s="194"/>
      <c r="B179" s="163"/>
      <c r="C179" s="121">
        <v>118009</v>
      </c>
      <c r="D179" s="141">
        <v>7793482000202</v>
      </c>
      <c r="E179" s="32" t="s">
        <v>192</v>
      </c>
      <c r="F179" s="33">
        <v>15</v>
      </c>
      <c r="G179" s="1">
        <f>28.1*0.85</f>
        <v>23.885000000000002</v>
      </c>
      <c r="H179" s="65"/>
      <c r="I179" s="35">
        <f t="shared" si="45"/>
        <v>0</v>
      </c>
      <c r="K179" s="5">
        <v>35.5</v>
      </c>
      <c r="M179" s="31">
        <f t="shared" si="40"/>
        <v>0.32718309859154926</v>
      </c>
      <c r="N179" s="5">
        <f t="shared" si="46"/>
        <v>36.746153846153845</v>
      </c>
      <c r="P179" s="5">
        <v>35.5</v>
      </c>
      <c r="R179" s="31">
        <f t="shared" si="41"/>
        <v>0.32718309859154926</v>
      </c>
      <c r="S179" s="5">
        <f t="shared" si="37"/>
        <v>36.746153846153845</v>
      </c>
      <c r="T179" s="132"/>
      <c r="U179" s="5">
        <v>35.5</v>
      </c>
      <c r="W179" s="31">
        <f t="shared" si="42"/>
        <v>0.32718309859154926</v>
      </c>
      <c r="X179" s="5">
        <f t="shared" si="38"/>
        <v>36.746153846153845</v>
      </c>
      <c r="Y179" s="132"/>
      <c r="Z179" s="5">
        <v>35.5</v>
      </c>
      <c r="AB179" s="31">
        <f t="shared" si="43"/>
        <v>0.32718309859154926</v>
      </c>
      <c r="AC179" s="5">
        <f t="shared" si="44"/>
        <v>36.746153846153845</v>
      </c>
      <c r="AD179" s="132"/>
      <c r="AE179" s="135"/>
    </row>
    <row r="180" spans="1:31" s="30" customFormat="1" ht="15.75" customHeight="1">
      <c r="A180" s="194"/>
      <c r="B180" s="163"/>
      <c r="C180" s="122">
        <v>118010</v>
      </c>
      <c r="D180" s="141">
        <v>7793482000615</v>
      </c>
      <c r="E180" s="32" t="s">
        <v>193</v>
      </c>
      <c r="F180" s="33">
        <v>15</v>
      </c>
      <c r="G180" s="1">
        <f>29.66*0.85</f>
        <v>25.210999999999999</v>
      </c>
      <c r="H180" s="65"/>
      <c r="I180" s="35">
        <f t="shared" si="45"/>
        <v>0</v>
      </c>
      <c r="K180" s="5">
        <v>37</v>
      </c>
      <c r="M180" s="31">
        <f t="shared" si="40"/>
        <v>0.31862162162162166</v>
      </c>
      <c r="N180" s="5">
        <f t="shared" si="46"/>
        <v>38.786153846153844</v>
      </c>
      <c r="P180" s="5">
        <v>37</v>
      </c>
      <c r="R180" s="31">
        <f t="shared" si="41"/>
        <v>0.31862162162162166</v>
      </c>
      <c r="S180" s="5">
        <f t="shared" si="37"/>
        <v>38.786153846153844</v>
      </c>
      <c r="T180" s="132"/>
      <c r="U180" s="5">
        <v>37</v>
      </c>
      <c r="W180" s="31">
        <f t="shared" si="42"/>
        <v>0.31862162162162166</v>
      </c>
      <c r="X180" s="5">
        <f t="shared" si="38"/>
        <v>38.786153846153844</v>
      </c>
      <c r="Y180" s="132"/>
      <c r="Z180" s="5">
        <v>37</v>
      </c>
      <c r="AB180" s="31">
        <f t="shared" si="43"/>
        <v>0.31862162162162166</v>
      </c>
      <c r="AC180" s="5">
        <f t="shared" si="44"/>
        <v>38.786153846153844</v>
      </c>
      <c r="AD180" s="132"/>
      <c r="AE180" s="135"/>
    </row>
    <row r="181" spans="1:31" s="30" customFormat="1" ht="15.75" customHeight="1" thickBot="1">
      <c r="A181" s="194"/>
      <c r="B181" s="163"/>
      <c r="C181" s="121">
        <v>118011</v>
      </c>
      <c r="D181" s="141">
        <v>7793482000189</v>
      </c>
      <c r="E181" s="32" t="s">
        <v>194</v>
      </c>
      <c r="F181" s="33">
        <v>15</v>
      </c>
      <c r="G181" s="1">
        <f>32.45*0.85</f>
        <v>27.582500000000003</v>
      </c>
      <c r="H181" s="65"/>
      <c r="I181" s="35">
        <f t="shared" si="45"/>
        <v>0</v>
      </c>
      <c r="K181" s="5">
        <v>41</v>
      </c>
      <c r="M181" s="31">
        <f t="shared" si="40"/>
        <v>0.32725609756097551</v>
      </c>
      <c r="N181" s="5">
        <f t="shared" si="46"/>
        <v>42.434615384615391</v>
      </c>
      <c r="P181" s="5">
        <v>41</v>
      </c>
      <c r="R181" s="31">
        <f t="shared" si="41"/>
        <v>0.32725609756097551</v>
      </c>
      <c r="S181" s="5">
        <f t="shared" si="37"/>
        <v>42.434615384615391</v>
      </c>
      <c r="T181" s="132"/>
      <c r="U181" s="5">
        <v>41</v>
      </c>
      <c r="W181" s="31">
        <f t="shared" si="42"/>
        <v>0.32725609756097551</v>
      </c>
      <c r="X181" s="5">
        <f t="shared" si="38"/>
        <v>42.434615384615391</v>
      </c>
      <c r="Y181" s="132"/>
      <c r="Z181" s="5">
        <v>41</v>
      </c>
      <c r="AB181" s="31">
        <f t="shared" si="43"/>
        <v>0.32725609756097551</v>
      </c>
      <c r="AC181" s="5">
        <f t="shared" si="44"/>
        <v>42.434615384615391</v>
      </c>
      <c r="AD181" s="132"/>
      <c r="AE181" s="135"/>
    </row>
    <row r="182" spans="1:31" s="30" customFormat="1" ht="15.75" customHeight="1">
      <c r="A182" s="194"/>
      <c r="B182" s="163"/>
      <c r="C182" s="122">
        <v>118012</v>
      </c>
      <c r="D182" s="141">
        <v>7793482000196</v>
      </c>
      <c r="E182" s="32" t="s">
        <v>195</v>
      </c>
      <c r="F182" s="33">
        <v>15</v>
      </c>
      <c r="G182" s="1">
        <f>27.97*0.85</f>
        <v>23.7745</v>
      </c>
      <c r="H182" s="65"/>
      <c r="I182" s="35">
        <f t="shared" si="45"/>
        <v>0</v>
      </c>
      <c r="K182" s="5">
        <v>35</v>
      </c>
      <c r="M182" s="31">
        <f t="shared" si="40"/>
        <v>0.32072857142857147</v>
      </c>
      <c r="N182" s="5">
        <f t="shared" si="46"/>
        <v>36.576153846153844</v>
      </c>
      <c r="P182" s="5">
        <v>35</v>
      </c>
      <c r="R182" s="31">
        <f t="shared" si="41"/>
        <v>0.32072857142857147</v>
      </c>
      <c r="S182" s="5">
        <f t="shared" si="37"/>
        <v>36.576153846153844</v>
      </c>
      <c r="T182" s="132"/>
      <c r="U182" s="5">
        <v>35</v>
      </c>
      <c r="W182" s="31">
        <f t="shared" si="42"/>
        <v>0.32072857142857147</v>
      </c>
      <c r="X182" s="5">
        <f t="shared" si="38"/>
        <v>36.576153846153844</v>
      </c>
      <c r="Y182" s="132"/>
      <c r="Z182" s="5">
        <v>35</v>
      </c>
      <c r="AB182" s="31">
        <f t="shared" si="43"/>
        <v>0.32072857142857147</v>
      </c>
      <c r="AC182" s="5">
        <f t="shared" si="44"/>
        <v>36.576153846153844</v>
      </c>
      <c r="AD182" s="132"/>
      <c r="AE182" s="135"/>
    </row>
    <row r="183" spans="1:31" s="30" customFormat="1" ht="15.75" customHeight="1" thickBot="1">
      <c r="A183" s="194"/>
      <c r="B183" s="163"/>
      <c r="C183" s="121">
        <v>118013</v>
      </c>
      <c r="D183" s="141">
        <v>7793482000264</v>
      </c>
      <c r="E183" s="32" t="s">
        <v>196</v>
      </c>
      <c r="F183" s="33">
        <v>15</v>
      </c>
      <c r="G183" s="1">
        <f>26.74*0.85</f>
        <v>22.728999999999999</v>
      </c>
      <c r="H183" s="65"/>
      <c r="I183" s="35">
        <f t="shared" si="45"/>
        <v>0</v>
      </c>
      <c r="K183" s="5">
        <v>33.5</v>
      </c>
      <c r="M183" s="31">
        <f t="shared" si="40"/>
        <v>0.32152238805970157</v>
      </c>
      <c r="N183" s="5">
        <f t="shared" si="46"/>
        <v>34.967692307692303</v>
      </c>
      <c r="P183" s="5">
        <v>33.5</v>
      </c>
      <c r="R183" s="31">
        <f t="shared" si="41"/>
        <v>0.32152238805970157</v>
      </c>
      <c r="S183" s="5">
        <f t="shared" si="37"/>
        <v>34.967692307692303</v>
      </c>
      <c r="T183" s="132"/>
      <c r="U183" s="5">
        <v>33.5</v>
      </c>
      <c r="W183" s="31">
        <f t="shared" si="42"/>
        <v>0.32152238805970157</v>
      </c>
      <c r="X183" s="5">
        <f t="shared" si="38"/>
        <v>34.967692307692303</v>
      </c>
      <c r="Y183" s="132"/>
      <c r="Z183" s="5">
        <v>33.5</v>
      </c>
      <c r="AB183" s="31">
        <f t="shared" si="43"/>
        <v>0.32152238805970157</v>
      </c>
      <c r="AC183" s="5">
        <f t="shared" si="44"/>
        <v>34.967692307692303</v>
      </c>
      <c r="AD183" s="132"/>
      <c r="AE183" s="135"/>
    </row>
    <row r="184" spans="1:31" s="30" customFormat="1" ht="15.75" customHeight="1" thickBot="1">
      <c r="A184" s="194"/>
      <c r="B184" s="164"/>
      <c r="C184" s="122">
        <v>118014</v>
      </c>
      <c r="D184" s="141">
        <v>7793482000240</v>
      </c>
      <c r="E184" s="32" t="s">
        <v>197</v>
      </c>
      <c r="F184" s="33">
        <v>15</v>
      </c>
      <c r="G184" s="1">
        <f>28.43*0.85</f>
        <v>24.165499999999998</v>
      </c>
      <c r="H184" s="65"/>
      <c r="I184" s="35">
        <f t="shared" si="45"/>
        <v>0</v>
      </c>
      <c r="K184" s="5">
        <v>35.5</v>
      </c>
      <c r="M184" s="31">
        <f t="shared" si="40"/>
        <v>0.31928169014084518</v>
      </c>
      <c r="N184" s="5">
        <f t="shared" si="46"/>
        <v>37.177692307692304</v>
      </c>
      <c r="P184" s="5">
        <v>35.5</v>
      </c>
      <c r="R184" s="31">
        <f t="shared" si="41"/>
        <v>0.31928169014084518</v>
      </c>
      <c r="S184" s="5">
        <f t="shared" si="37"/>
        <v>37.177692307692304</v>
      </c>
      <c r="T184" s="132"/>
      <c r="U184" s="5">
        <v>35.5</v>
      </c>
      <c r="W184" s="31">
        <f t="shared" si="42"/>
        <v>0.31928169014084518</v>
      </c>
      <c r="X184" s="5">
        <f t="shared" si="38"/>
        <v>37.177692307692304</v>
      </c>
      <c r="Y184" s="132"/>
      <c r="Z184" s="5">
        <v>35.5</v>
      </c>
      <c r="AB184" s="31">
        <f t="shared" si="43"/>
        <v>0.31928169014084518</v>
      </c>
      <c r="AC184" s="5">
        <f t="shared" si="44"/>
        <v>37.177692307692304</v>
      </c>
      <c r="AD184" s="132"/>
      <c r="AE184" s="135"/>
    </row>
    <row r="185" spans="1:31" s="30" customFormat="1" ht="15.75" customHeight="1" thickBot="1">
      <c r="A185" s="194"/>
      <c r="B185" s="162" t="s">
        <v>287</v>
      </c>
      <c r="C185" s="121">
        <v>118015</v>
      </c>
      <c r="D185" s="121"/>
      <c r="E185" s="2" t="s">
        <v>288</v>
      </c>
      <c r="F185" s="26">
        <v>12</v>
      </c>
      <c r="G185" s="27">
        <f>44.1*0.85</f>
        <v>37.484999999999999</v>
      </c>
      <c r="H185" s="64"/>
      <c r="I185" s="35">
        <f t="shared" si="45"/>
        <v>0</v>
      </c>
      <c r="K185" s="5">
        <v>55</v>
      </c>
      <c r="M185" s="31">
        <f t="shared" si="40"/>
        <v>0.31845454545454543</v>
      </c>
      <c r="N185" s="5">
        <f t="shared" si="46"/>
        <v>57.669230769230765</v>
      </c>
      <c r="P185" s="5">
        <v>55</v>
      </c>
      <c r="R185" s="31">
        <f t="shared" si="41"/>
        <v>0.31845454545454543</v>
      </c>
      <c r="S185" s="5">
        <f t="shared" si="37"/>
        <v>57.669230769230765</v>
      </c>
      <c r="T185" s="132"/>
      <c r="U185" s="5">
        <v>55</v>
      </c>
      <c r="W185" s="31">
        <f t="shared" si="42"/>
        <v>0.31845454545454543</v>
      </c>
      <c r="X185" s="5">
        <f t="shared" si="38"/>
        <v>57.669230769230765</v>
      </c>
      <c r="Y185" s="132"/>
      <c r="Z185" s="5">
        <v>55</v>
      </c>
      <c r="AB185" s="31">
        <f t="shared" si="43"/>
        <v>0.31845454545454543</v>
      </c>
      <c r="AC185" s="5">
        <f t="shared" si="44"/>
        <v>57.669230769230765</v>
      </c>
      <c r="AD185" s="132"/>
      <c r="AE185" s="135"/>
    </row>
    <row r="186" spans="1:31" s="30" customFormat="1" ht="15.75" customHeight="1">
      <c r="A186" s="194"/>
      <c r="B186" s="163"/>
      <c r="C186" s="122">
        <v>118016</v>
      </c>
      <c r="D186" s="121"/>
      <c r="E186" s="4" t="s">
        <v>289</v>
      </c>
      <c r="F186" s="33">
        <v>12</v>
      </c>
      <c r="G186" s="1">
        <f>44.1*0.85</f>
        <v>37.484999999999999</v>
      </c>
      <c r="H186" s="65"/>
      <c r="I186" s="35">
        <f t="shared" si="45"/>
        <v>0</v>
      </c>
      <c r="K186" s="5">
        <v>55</v>
      </c>
      <c r="M186" s="31">
        <f t="shared" si="40"/>
        <v>0.31845454545454543</v>
      </c>
      <c r="N186" s="5">
        <f t="shared" si="46"/>
        <v>57.669230769230765</v>
      </c>
      <c r="P186" s="5">
        <v>55</v>
      </c>
      <c r="R186" s="31">
        <f t="shared" si="41"/>
        <v>0.31845454545454543</v>
      </c>
      <c r="S186" s="5">
        <f t="shared" si="37"/>
        <v>57.669230769230765</v>
      </c>
      <c r="T186" s="132"/>
      <c r="U186" s="5">
        <v>55</v>
      </c>
      <c r="W186" s="31">
        <f t="shared" si="42"/>
        <v>0.31845454545454543</v>
      </c>
      <c r="X186" s="5">
        <f t="shared" si="38"/>
        <v>57.669230769230765</v>
      </c>
      <c r="Y186" s="132"/>
      <c r="Z186" s="5">
        <v>55</v>
      </c>
      <c r="AB186" s="31">
        <f t="shared" si="43"/>
        <v>0.31845454545454543</v>
      </c>
      <c r="AC186" s="5">
        <f t="shared" si="44"/>
        <v>57.669230769230765</v>
      </c>
      <c r="AD186" s="132"/>
      <c r="AE186" s="135"/>
    </row>
    <row r="187" spans="1:31" s="30" customFormat="1" ht="15.75" customHeight="1" thickBot="1">
      <c r="A187" s="194"/>
      <c r="B187" s="163"/>
      <c r="C187" s="121">
        <v>118017</v>
      </c>
      <c r="D187" s="121"/>
      <c r="E187" s="4" t="s">
        <v>290</v>
      </c>
      <c r="F187" s="33">
        <v>12</v>
      </c>
      <c r="G187" s="1">
        <f>44.1*0.85</f>
        <v>37.484999999999999</v>
      </c>
      <c r="H187" s="65"/>
      <c r="I187" s="35">
        <f t="shared" si="45"/>
        <v>0</v>
      </c>
      <c r="K187" s="5">
        <v>55</v>
      </c>
      <c r="M187" s="31">
        <f t="shared" si="40"/>
        <v>0.31845454545454543</v>
      </c>
      <c r="N187" s="5">
        <f t="shared" si="46"/>
        <v>57.669230769230765</v>
      </c>
      <c r="P187" s="5">
        <v>55</v>
      </c>
      <c r="R187" s="31">
        <f t="shared" si="41"/>
        <v>0.31845454545454543</v>
      </c>
      <c r="S187" s="5">
        <f t="shared" si="37"/>
        <v>57.669230769230765</v>
      </c>
      <c r="T187" s="132"/>
      <c r="U187" s="5">
        <v>55</v>
      </c>
      <c r="W187" s="31">
        <f t="shared" si="42"/>
        <v>0.31845454545454543</v>
      </c>
      <c r="X187" s="5">
        <f t="shared" si="38"/>
        <v>57.669230769230765</v>
      </c>
      <c r="Y187" s="132"/>
      <c r="Z187" s="5">
        <v>55</v>
      </c>
      <c r="AB187" s="31">
        <f t="shared" si="43"/>
        <v>0.31845454545454543</v>
      </c>
      <c r="AC187" s="5">
        <f t="shared" si="44"/>
        <v>57.669230769230765</v>
      </c>
      <c r="AD187" s="132"/>
      <c r="AE187" s="135"/>
    </row>
    <row r="188" spans="1:31" s="30" customFormat="1" ht="15.75" customHeight="1">
      <c r="A188" s="194"/>
      <c r="B188" s="163"/>
      <c r="C188" s="122">
        <v>118018</v>
      </c>
      <c r="D188" s="121"/>
      <c r="E188" s="4" t="s">
        <v>291</v>
      </c>
      <c r="F188" s="33">
        <v>12</v>
      </c>
      <c r="G188" s="1">
        <f>50.4*0.85</f>
        <v>42.839999999999996</v>
      </c>
      <c r="H188" s="65"/>
      <c r="I188" s="35">
        <f>G188*H188</f>
        <v>0</v>
      </c>
      <c r="K188" s="5">
        <v>63</v>
      </c>
      <c r="M188" s="31">
        <f t="shared" si="40"/>
        <v>0.32000000000000006</v>
      </c>
      <c r="N188" s="5">
        <f t="shared" si="46"/>
        <v>65.907692307692301</v>
      </c>
      <c r="P188" s="5">
        <v>63</v>
      </c>
      <c r="R188" s="31">
        <f t="shared" si="41"/>
        <v>0.32000000000000006</v>
      </c>
      <c r="S188" s="5">
        <f t="shared" si="37"/>
        <v>65.907692307692301</v>
      </c>
      <c r="T188" s="132"/>
      <c r="U188" s="5">
        <v>63</v>
      </c>
      <c r="W188" s="31">
        <f t="shared" si="42"/>
        <v>0.32000000000000006</v>
      </c>
      <c r="X188" s="5">
        <f t="shared" si="38"/>
        <v>65.907692307692301</v>
      </c>
      <c r="Y188" s="132"/>
      <c r="Z188" s="5">
        <v>63</v>
      </c>
      <c r="AB188" s="31">
        <f t="shared" si="43"/>
        <v>0.32000000000000006</v>
      </c>
      <c r="AC188" s="5">
        <f t="shared" si="44"/>
        <v>65.907692307692301</v>
      </c>
      <c r="AD188" s="132"/>
      <c r="AE188" s="135"/>
    </row>
    <row r="189" spans="1:31" s="30" customFormat="1" ht="15.75" customHeight="1" thickBot="1">
      <c r="A189" s="194"/>
      <c r="B189" s="163"/>
      <c r="C189" s="121">
        <v>118019</v>
      </c>
      <c r="D189" s="121"/>
      <c r="E189" s="4" t="s">
        <v>292</v>
      </c>
      <c r="F189" s="33">
        <v>12</v>
      </c>
      <c r="G189" s="1">
        <f>50.4*0.85</f>
        <v>42.839999999999996</v>
      </c>
      <c r="H189" s="65"/>
      <c r="I189" s="35">
        <f>G189*H189</f>
        <v>0</v>
      </c>
      <c r="K189" s="5">
        <v>63</v>
      </c>
      <c r="M189" s="31">
        <f t="shared" si="40"/>
        <v>0.32000000000000006</v>
      </c>
      <c r="N189" s="5">
        <f t="shared" si="46"/>
        <v>65.907692307692301</v>
      </c>
      <c r="P189" s="5">
        <v>63</v>
      </c>
      <c r="R189" s="31">
        <f t="shared" si="41"/>
        <v>0.32000000000000006</v>
      </c>
      <c r="S189" s="5">
        <f t="shared" si="37"/>
        <v>65.907692307692301</v>
      </c>
      <c r="T189" s="132"/>
      <c r="U189" s="5">
        <v>63</v>
      </c>
      <c r="W189" s="31">
        <f t="shared" si="42"/>
        <v>0.32000000000000006</v>
      </c>
      <c r="X189" s="5">
        <f t="shared" si="38"/>
        <v>65.907692307692301</v>
      </c>
      <c r="Y189" s="132"/>
      <c r="Z189" s="5">
        <v>63</v>
      </c>
      <c r="AB189" s="31">
        <f t="shared" si="43"/>
        <v>0.32000000000000006</v>
      </c>
      <c r="AC189" s="5">
        <f t="shared" si="44"/>
        <v>65.907692307692301</v>
      </c>
      <c r="AD189" s="132"/>
      <c r="AE189" s="135"/>
    </row>
    <row r="190" spans="1:31" s="30" customFormat="1" ht="15.75" customHeight="1" thickBot="1">
      <c r="A190" s="194"/>
      <c r="B190" s="164"/>
      <c r="C190" s="122">
        <v>118020</v>
      </c>
      <c r="D190" s="123"/>
      <c r="E190" s="7" t="s">
        <v>293</v>
      </c>
      <c r="F190" s="43">
        <v>12</v>
      </c>
      <c r="G190" s="1">
        <f>44.1*0.85</f>
        <v>37.484999999999999</v>
      </c>
      <c r="H190" s="70"/>
      <c r="I190" s="35">
        <f>G190*H190</f>
        <v>0</v>
      </c>
      <c r="K190" s="5">
        <v>55</v>
      </c>
      <c r="M190" s="31">
        <f t="shared" si="40"/>
        <v>0.31845454545454543</v>
      </c>
      <c r="N190" s="5">
        <f t="shared" si="46"/>
        <v>57.669230769230765</v>
      </c>
      <c r="P190" s="5">
        <v>55</v>
      </c>
      <c r="R190" s="31">
        <f t="shared" si="41"/>
        <v>0.31845454545454543</v>
      </c>
      <c r="S190" s="5">
        <f t="shared" si="37"/>
        <v>57.669230769230765</v>
      </c>
      <c r="T190" s="132"/>
      <c r="U190" s="5">
        <v>55</v>
      </c>
      <c r="W190" s="31">
        <f t="shared" si="42"/>
        <v>0.31845454545454543</v>
      </c>
      <c r="X190" s="5">
        <f t="shared" si="38"/>
        <v>57.669230769230765</v>
      </c>
      <c r="Y190" s="132"/>
      <c r="Z190" s="5">
        <v>55</v>
      </c>
      <c r="AB190" s="31">
        <f t="shared" si="43"/>
        <v>0.31845454545454543</v>
      </c>
      <c r="AC190" s="5">
        <f t="shared" si="44"/>
        <v>57.669230769230765</v>
      </c>
      <c r="AD190" s="132"/>
      <c r="AE190" s="135"/>
    </row>
    <row r="191" spans="1:31" s="30" customFormat="1" ht="15.75" customHeight="1" thickBot="1">
      <c r="A191" s="194"/>
      <c r="B191" s="162" t="s">
        <v>198</v>
      </c>
      <c r="C191" s="121">
        <v>118021</v>
      </c>
      <c r="D191" s="141">
        <v>7793482000486</v>
      </c>
      <c r="E191" s="2" t="s">
        <v>199</v>
      </c>
      <c r="F191" s="26">
        <v>12</v>
      </c>
      <c r="G191" s="27">
        <f>57.34*0.85</f>
        <v>48.739000000000004</v>
      </c>
      <c r="H191" s="64"/>
      <c r="I191" s="35">
        <f t="shared" si="45"/>
        <v>0</v>
      </c>
      <c r="K191" s="5">
        <v>72</v>
      </c>
      <c r="M191" s="31">
        <f t="shared" si="40"/>
        <v>0.32306944444444441</v>
      </c>
      <c r="N191" s="5">
        <f t="shared" si="46"/>
        <v>74.983076923076922</v>
      </c>
      <c r="O191" s="30">
        <v>124</v>
      </c>
      <c r="P191" s="5">
        <v>72</v>
      </c>
      <c r="R191" s="31">
        <f t="shared" si="41"/>
        <v>0.32306944444444441</v>
      </c>
      <c r="S191" s="5">
        <f t="shared" si="37"/>
        <v>74.983076923076922</v>
      </c>
      <c r="T191" s="132"/>
      <c r="U191" s="5">
        <v>72</v>
      </c>
      <c r="W191" s="31">
        <f t="shared" si="42"/>
        <v>0.32306944444444441</v>
      </c>
      <c r="X191" s="5">
        <f t="shared" si="38"/>
        <v>74.983076923076922</v>
      </c>
      <c r="Y191" s="132"/>
      <c r="Z191" s="5">
        <v>72</v>
      </c>
      <c r="AB191" s="31">
        <f t="shared" si="43"/>
        <v>0.32306944444444441</v>
      </c>
      <c r="AC191" s="5">
        <f t="shared" si="44"/>
        <v>74.983076923076922</v>
      </c>
      <c r="AD191" s="132"/>
      <c r="AE191" s="135"/>
    </row>
    <row r="192" spans="1:31" s="30" customFormat="1" ht="15.75" customHeight="1">
      <c r="A192" s="194"/>
      <c r="B192" s="163"/>
      <c r="C192" s="122">
        <v>118022</v>
      </c>
      <c r="D192" s="141">
        <v>7793482000042</v>
      </c>
      <c r="E192" s="32" t="s">
        <v>200</v>
      </c>
      <c r="F192" s="33">
        <v>12</v>
      </c>
      <c r="G192" s="1">
        <f>51.67*0.85</f>
        <v>43.919499999999999</v>
      </c>
      <c r="H192" s="65"/>
      <c r="I192" s="35">
        <f t="shared" si="45"/>
        <v>0</v>
      </c>
      <c r="K192" s="5">
        <v>65</v>
      </c>
      <c r="M192" s="31">
        <f t="shared" si="40"/>
        <v>0.32431538461538467</v>
      </c>
      <c r="N192" s="5">
        <f t="shared" si="46"/>
        <v>67.568461538461534</v>
      </c>
      <c r="O192" s="30">
        <v>116</v>
      </c>
      <c r="P192" s="5">
        <v>65</v>
      </c>
      <c r="R192" s="31">
        <f t="shared" si="41"/>
        <v>0.32431538461538467</v>
      </c>
      <c r="S192" s="5">
        <f t="shared" si="37"/>
        <v>67.568461538461534</v>
      </c>
      <c r="T192" s="132"/>
      <c r="U192" s="5">
        <v>65</v>
      </c>
      <c r="W192" s="31">
        <f t="shared" si="42"/>
        <v>0.32431538461538467</v>
      </c>
      <c r="X192" s="5">
        <f t="shared" si="38"/>
        <v>67.568461538461534</v>
      </c>
      <c r="Y192" s="132"/>
      <c r="Z192" s="5">
        <v>65</v>
      </c>
      <c r="AB192" s="31">
        <f t="shared" si="43"/>
        <v>0.32431538461538467</v>
      </c>
      <c r="AC192" s="5">
        <f t="shared" si="44"/>
        <v>67.568461538461534</v>
      </c>
      <c r="AD192" s="132"/>
      <c r="AE192" s="135"/>
    </row>
    <row r="193" spans="1:31" s="30" customFormat="1" ht="15.75" customHeight="1" thickBot="1">
      <c r="A193" s="194"/>
      <c r="B193" s="163"/>
      <c r="C193" s="121">
        <v>118023</v>
      </c>
      <c r="D193" s="141">
        <v>7793482300074</v>
      </c>
      <c r="E193" s="32" t="s">
        <v>201</v>
      </c>
      <c r="F193" s="33">
        <v>12</v>
      </c>
      <c r="G193" s="1">
        <f>57.34*0.85</f>
        <v>48.739000000000004</v>
      </c>
      <c r="H193" s="65"/>
      <c r="I193" s="35">
        <f t="shared" si="45"/>
        <v>0</v>
      </c>
      <c r="K193" s="5">
        <v>72</v>
      </c>
      <c r="M193" s="31">
        <f t="shared" si="40"/>
        <v>0.32306944444444441</v>
      </c>
      <c r="N193" s="5">
        <f t="shared" si="46"/>
        <v>74.983076923076922</v>
      </c>
      <c r="O193" s="30">
        <v>124</v>
      </c>
      <c r="P193" s="5">
        <v>72</v>
      </c>
      <c r="R193" s="31">
        <f t="shared" si="41"/>
        <v>0.32306944444444441</v>
      </c>
      <c r="S193" s="5">
        <f t="shared" si="37"/>
        <v>74.983076923076922</v>
      </c>
      <c r="T193" s="132"/>
      <c r="U193" s="5">
        <v>72</v>
      </c>
      <c r="W193" s="31">
        <f t="shared" si="42"/>
        <v>0.32306944444444441</v>
      </c>
      <c r="X193" s="5">
        <f t="shared" si="38"/>
        <v>74.983076923076922</v>
      </c>
      <c r="Y193" s="132"/>
      <c r="Z193" s="5">
        <v>72</v>
      </c>
      <c r="AB193" s="31">
        <f t="shared" si="43"/>
        <v>0.32306944444444441</v>
      </c>
      <c r="AC193" s="5">
        <f t="shared" si="44"/>
        <v>74.983076923076922</v>
      </c>
      <c r="AD193" s="132"/>
      <c r="AE193" s="135"/>
    </row>
    <row r="194" spans="1:31" s="30" customFormat="1" ht="15.75" customHeight="1">
      <c r="A194" s="194"/>
      <c r="B194" s="163"/>
      <c r="C194" s="122">
        <v>118024</v>
      </c>
      <c r="D194" s="141">
        <v>7793482000011</v>
      </c>
      <c r="E194" s="32" t="s">
        <v>202</v>
      </c>
      <c r="F194" s="33">
        <v>12</v>
      </c>
      <c r="G194" s="1">
        <f>62.2*0.85</f>
        <v>52.870000000000005</v>
      </c>
      <c r="H194" s="65"/>
      <c r="I194" s="35">
        <f t="shared" si="45"/>
        <v>0</v>
      </c>
      <c r="K194" s="5">
        <v>78</v>
      </c>
      <c r="M194" s="31">
        <f t="shared" si="40"/>
        <v>0.32217948717948708</v>
      </c>
      <c r="N194" s="5">
        <f t="shared" si="46"/>
        <v>81.338461538461544</v>
      </c>
      <c r="O194" s="30">
        <v>139</v>
      </c>
      <c r="P194" s="5">
        <v>78</v>
      </c>
      <c r="R194" s="31">
        <f t="shared" si="41"/>
        <v>0.32217948717948708</v>
      </c>
      <c r="S194" s="5">
        <f t="shared" si="37"/>
        <v>81.338461538461544</v>
      </c>
      <c r="T194" s="132"/>
      <c r="U194" s="5">
        <v>78</v>
      </c>
      <c r="W194" s="31">
        <f t="shared" si="42"/>
        <v>0.32217948717948708</v>
      </c>
      <c r="X194" s="5">
        <f t="shared" si="38"/>
        <v>81.338461538461544</v>
      </c>
      <c r="Y194" s="132"/>
      <c r="Z194" s="5">
        <v>78</v>
      </c>
      <c r="AB194" s="31">
        <f t="shared" si="43"/>
        <v>0.32217948717948708</v>
      </c>
      <c r="AC194" s="5">
        <f t="shared" si="44"/>
        <v>81.338461538461544</v>
      </c>
      <c r="AD194" s="132"/>
      <c r="AE194" s="135"/>
    </row>
    <row r="195" spans="1:31" s="30" customFormat="1" ht="15.75" customHeight="1" thickBot="1">
      <c r="A195" s="194"/>
      <c r="B195" s="163"/>
      <c r="C195" s="121">
        <v>118025</v>
      </c>
      <c r="D195" s="141">
        <v>7793482000028</v>
      </c>
      <c r="E195" s="32" t="s">
        <v>203</v>
      </c>
      <c r="F195" s="33">
        <v>12</v>
      </c>
      <c r="G195" s="1">
        <f>51.34*0.85</f>
        <v>43.639000000000003</v>
      </c>
      <c r="H195" s="65"/>
      <c r="I195" s="35">
        <f t="shared" si="45"/>
        <v>0</v>
      </c>
      <c r="K195" s="5">
        <v>65</v>
      </c>
      <c r="M195" s="31">
        <f t="shared" si="40"/>
        <v>0.32863076923076917</v>
      </c>
      <c r="N195" s="5">
        <f t="shared" si="46"/>
        <v>67.136923076923082</v>
      </c>
      <c r="O195" s="30">
        <v>115</v>
      </c>
      <c r="P195" s="5">
        <v>65</v>
      </c>
      <c r="R195" s="31">
        <f t="shared" si="41"/>
        <v>0.32863076923076917</v>
      </c>
      <c r="S195" s="5">
        <f t="shared" si="37"/>
        <v>67.136923076923082</v>
      </c>
      <c r="T195" s="132"/>
      <c r="U195" s="5">
        <v>65</v>
      </c>
      <c r="W195" s="31">
        <f t="shared" si="42"/>
        <v>0.32863076923076917</v>
      </c>
      <c r="X195" s="5">
        <f t="shared" si="38"/>
        <v>67.136923076923082</v>
      </c>
      <c r="Y195" s="132"/>
      <c r="Z195" s="5">
        <v>65</v>
      </c>
      <c r="AB195" s="31">
        <f t="shared" si="43"/>
        <v>0.32863076923076917</v>
      </c>
      <c r="AC195" s="5">
        <f t="shared" si="44"/>
        <v>67.136923076923082</v>
      </c>
      <c r="AD195" s="132"/>
      <c r="AE195" s="135"/>
    </row>
    <row r="196" spans="1:31" s="30" customFormat="1" ht="15.75" customHeight="1">
      <c r="A196" s="194"/>
      <c r="B196" s="163"/>
      <c r="C196" s="122">
        <v>118026</v>
      </c>
      <c r="D196" s="141"/>
      <c r="E196" s="32" t="s">
        <v>237</v>
      </c>
      <c r="F196" s="33">
        <v>12</v>
      </c>
      <c r="G196" s="1">
        <f>54.2*0.85</f>
        <v>46.07</v>
      </c>
      <c r="H196" s="65"/>
      <c r="I196" s="35">
        <f t="shared" si="45"/>
        <v>0</v>
      </c>
      <c r="K196" s="5">
        <v>68</v>
      </c>
      <c r="M196" s="31">
        <f t="shared" si="40"/>
        <v>0.32250000000000001</v>
      </c>
      <c r="N196" s="5">
        <f t="shared" si="46"/>
        <v>70.876923076923077</v>
      </c>
      <c r="O196" s="30">
        <v>123</v>
      </c>
      <c r="P196" s="5">
        <v>68</v>
      </c>
      <c r="R196" s="31">
        <f t="shared" si="41"/>
        <v>0.32250000000000001</v>
      </c>
      <c r="S196" s="5">
        <f t="shared" si="37"/>
        <v>70.876923076923077</v>
      </c>
      <c r="T196" s="132"/>
      <c r="U196" s="5">
        <v>68</v>
      </c>
      <c r="W196" s="31">
        <f t="shared" si="42"/>
        <v>0.32250000000000001</v>
      </c>
      <c r="X196" s="5">
        <f t="shared" si="38"/>
        <v>70.876923076923077</v>
      </c>
      <c r="Y196" s="132"/>
      <c r="Z196" s="5">
        <v>68</v>
      </c>
      <c r="AB196" s="31">
        <f t="shared" si="43"/>
        <v>0.32250000000000001</v>
      </c>
      <c r="AC196" s="5">
        <f t="shared" si="44"/>
        <v>70.876923076923077</v>
      </c>
      <c r="AD196" s="132"/>
      <c r="AE196" s="135"/>
    </row>
    <row r="197" spans="1:31" s="30" customFormat="1" ht="15.75" customHeight="1" thickBot="1">
      <c r="A197" s="194"/>
      <c r="B197" s="163"/>
      <c r="C197" s="121">
        <v>118027</v>
      </c>
      <c r="D197" s="141">
        <v>7793482000097</v>
      </c>
      <c r="E197" s="32" t="s">
        <v>204</v>
      </c>
      <c r="F197" s="33">
        <v>12</v>
      </c>
      <c r="G197" s="1">
        <f>51.54*0.85</f>
        <v>43.808999999999997</v>
      </c>
      <c r="H197" s="65"/>
      <c r="I197" s="35">
        <f t="shared" si="45"/>
        <v>0</v>
      </c>
      <c r="K197" s="5">
        <v>65</v>
      </c>
      <c r="M197" s="31">
        <f t="shared" si="40"/>
        <v>0.32601538461538471</v>
      </c>
      <c r="N197" s="5">
        <f t="shared" si="46"/>
        <v>67.398461538461532</v>
      </c>
      <c r="O197" s="30">
        <v>107</v>
      </c>
      <c r="P197" s="5">
        <v>65</v>
      </c>
      <c r="R197" s="31">
        <f t="shared" si="41"/>
        <v>0.32601538461538471</v>
      </c>
      <c r="S197" s="5">
        <f t="shared" si="37"/>
        <v>67.398461538461532</v>
      </c>
      <c r="T197" s="132"/>
      <c r="U197" s="5">
        <v>65</v>
      </c>
      <c r="W197" s="31">
        <f t="shared" si="42"/>
        <v>0.32601538461538471</v>
      </c>
      <c r="X197" s="5">
        <f t="shared" si="38"/>
        <v>67.398461538461532</v>
      </c>
      <c r="Y197" s="132"/>
      <c r="Z197" s="5">
        <v>65</v>
      </c>
      <c r="AB197" s="31">
        <f t="shared" si="43"/>
        <v>0.32601538461538471</v>
      </c>
      <c r="AC197" s="5">
        <f t="shared" si="44"/>
        <v>67.398461538461532</v>
      </c>
      <c r="AD197" s="132"/>
      <c r="AE197" s="135"/>
    </row>
    <row r="198" spans="1:31" s="30" customFormat="1" ht="15.75" customHeight="1">
      <c r="A198" s="194"/>
      <c r="B198" s="163"/>
      <c r="C198" s="122">
        <v>118028</v>
      </c>
      <c r="D198" s="141">
        <v>7793482000073</v>
      </c>
      <c r="E198" s="32" t="s">
        <v>205</v>
      </c>
      <c r="F198" s="33">
        <v>12</v>
      </c>
      <c r="G198" s="1">
        <f>53.74*0.85</f>
        <v>45.679000000000002</v>
      </c>
      <c r="H198" s="65"/>
      <c r="I198" s="35">
        <f t="shared" si="45"/>
        <v>0</v>
      </c>
      <c r="K198" s="5">
        <v>68</v>
      </c>
      <c r="M198" s="31">
        <f t="shared" si="40"/>
        <v>0.32824999999999993</v>
      </c>
      <c r="N198" s="5">
        <f t="shared" si="46"/>
        <v>70.27538461538461</v>
      </c>
      <c r="O198" s="30">
        <v>113</v>
      </c>
      <c r="P198" s="5">
        <v>68</v>
      </c>
      <c r="R198" s="31">
        <f t="shared" si="41"/>
        <v>0.32824999999999993</v>
      </c>
      <c r="S198" s="5">
        <f t="shared" si="37"/>
        <v>70.27538461538461</v>
      </c>
      <c r="T198" s="132"/>
      <c r="U198" s="5">
        <v>68</v>
      </c>
      <c r="W198" s="31">
        <f t="shared" si="42"/>
        <v>0.32824999999999993</v>
      </c>
      <c r="X198" s="5">
        <f t="shared" si="38"/>
        <v>70.27538461538461</v>
      </c>
      <c r="Y198" s="132"/>
      <c r="Z198" s="5">
        <v>68</v>
      </c>
      <c r="AB198" s="31">
        <f t="shared" si="43"/>
        <v>0.32824999999999993</v>
      </c>
      <c r="AC198" s="5">
        <f t="shared" si="44"/>
        <v>70.27538461538461</v>
      </c>
      <c r="AD198" s="132"/>
      <c r="AE198" s="135"/>
    </row>
    <row r="199" spans="1:31" s="30" customFormat="1" ht="15.75" customHeight="1" thickBot="1">
      <c r="A199" s="194"/>
      <c r="B199" s="164"/>
      <c r="C199" s="121">
        <v>118029</v>
      </c>
      <c r="D199" s="141">
        <v>7793482000080</v>
      </c>
      <c r="E199" s="42" t="s">
        <v>206</v>
      </c>
      <c r="F199" s="43">
        <v>12</v>
      </c>
      <c r="G199" s="44">
        <f>57.87*0.85</f>
        <v>49.189499999999995</v>
      </c>
      <c r="H199" s="70"/>
      <c r="I199" s="35">
        <f t="shared" si="45"/>
        <v>0</v>
      </c>
      <c r="K199" s="5">
        <v>72</v>
      </c>
      <c r="M199" s="31">
        <f t="shared" si="40"/>
        <v>0.31681250000000005</v>
      </c>
      <c r="N199" s="5">
        <f t="shared" si="46"/>
        <v>75.676153846153838</v>
      </c>
      <c r="O199" s="30">
        <v>127</v>
      </c>
      <c r="P199" s="5">
        <v>72</v>
      </c>
      <c r="R199" s="31">
        <f t="shared" si="41"/>
        <v>0.31681250000000005</v>
      </c>
      <c r="S199" s="5">
        <f t="shared" si="37"/>
        <v>75.676153846153838</v>
      </c>
      <c r="T199" s="132"/>
      <c r="U199" s="5">
        <v>72</v>
      </c>
      <c r="W199" s="31">
        <f t="shared" si="42"/>
        <v>0.31681250000000005</v>
      </c>
      <c r="X199" s="5">
        <f t="shared" si="38"/>
        <v>75.676153846153838</v>
      </c>
      <c r="Y199" s="132"/>
      <c r="Z199" s="5">
        <v>72</v>
      </c>
      <c r="AB199" s="31">
        <f t="shared" si="43"/>
        <v>0.31681250000000005</v>
      </c>
      <c r="AC199" s="5">
        <f t="shared" si="44"/>
        <v>75.676153846153838</v>
      </c>
      <c r="AD199" s="132"/>
      <c r="AE199" s="135"/>
    </row>
    <row r="200" spans="1:31" s="30" customFormat="1" ht="15.75" customHeight="1">
      <c r="A200" s="194"/>
      <c r="B200" s="211" t="s">
        <v>207</v>
      </c>
      <c r="C200" s="122">
        <v>118030</v>
      </c>
      <c r="D200" s="141">
        <v>7793482000400</v>
      </c>
      <c r="E200" s="39" t="s">
        <v>208</v>
      </c>
      <c r="F200" s="40">
        <v>12</v>
      </c>
      <c r="G200" s="6">
        <f>66.65*0.85</f>
        <v>56.652500000000003</v>
      </c>
      <c r="H200" s="66"/>
      <c r="I200" s="35">
        <f t="shared" si="45"/>
        <v>0</v>
      </c>
      <c r="K200" s="5">
        <v>84</v>
      </c>
      <c r="M200" s="31">
        <f t="shared" si="40"/>
        <v>0.32556547619047616</v>
      </c>
      <c r="N200" s="5">
        <f t="shared" si="46"/>
        <v>87.157692307692315</v>
      </c>
      <c r="P200" s="5">
        <v>84</v>
      </c>
      <c r="R200" s="31">
        <f t="shared" si="41"/>
        <v>0.32556547619047616</v>
      </c>
      <c r="S200" s="5">
        <f t="shared" si="37"/>
        <v>87.157692307692315</v>
      </c>
      <c r="T200" s="132"/>
      <c r="U200" s="5">
        <v>84</v>
      </c>
      <c r="W200" s="31">
        <f t="shared" si="42"/>
        <v>0.32556547619047616</v>
      </c>
      <c r="X200" s="5">
        <f t="shared" si="38"/>
        <v>87.157692307692315</v>
      </c>
      <c r="Y200" s="132"/>
      <c r="Z200" s="5">
        <v>84</v>
      </c>
      <c r="AB200" s="31">
        <f t="shared" si="43"/>
        <v>0.32556547619047616</v>
      </c>
      <c r="AC200" s="5">
        <f t="shared" si="44"/>
        <v>87.157692307692315</v>
      </c>
      <c r="AD200" s="132"/>
      <c r="AE200" s="135"/>
    </row>
    <row r="201" spans="1:31" s="30" customFormat="1" ht="15.75" customHeight="1" thickBot="1">
      <c r="A201" s="194"/>
      <c r="B201" s="212"/>
      <c r="C201" s="121">
        <v>118031</v>
      </c>
      <c r="D201" s="141">
        <v>7793482000172</v>
      </c>
      <c r="E201" s="32" t="s">
        <v>209</v>
      </c>
      <c r="F201" s="33">
        <v>12</v>
      </c>
      <c r="G201" s="1">
        <f>82.19*0.85</f>
        <v>69.861499999999992</v>
      </c>
      <c r="H201" s="65"/>
      <c r="I201" s="35">
        <f t="shared" si="45"/>
        <v>0</v>
      </c>
      <c r="K201" s="5">
        <v>103</v>
      </c>
      <c r="M201" s="31">
        <f t="shared" si="40"/>
        <v>0.32173300970873797</v>
      </c>
      <c r="N201" s="5">
        <f t="shared" si="46"/>
        <v>107.47923076923075</v>
      </c>
      <c r="P201" s="5">
        <v>103</v>
      </c>
      <c r="R201" s="31">
        <f t="shared" si="41"/>
        <v>0.32173300970873797</v>
      </c>
      <c r="S201" s="5">
        <f t="shared" si="37"/>
        <v>107.47923076923075</v>
      </c>
      <c r="T201" s="132"/>
      <c r="U201" s="5">
        <v>103</v>
      </c>
      <c r="W201" s="31">
        <f t="shared" si="42"/>
        <v>0.32173300970873797</v>
      </c>
      <c r="X201" s="5">
        <f t="shared" si="38"/>
        <v>107.47923076923075</v>
      </c>
      <c r="Y201" s="132"/>
      <c r="Z201" s="5">
        <v>103</v>
      </c>
      <c r="AB201" s="31">
        <f t="shared" si="43"/>
        <v>0.32173300970873797</v>
      </c>
      <c r="AC201" s="5">
        <f t="shared" si="44"/>
        <v>107.47923076923075</v>
      </c>
      <c r="AD201" s="132"/>
      <c r="AE201" s="135"/>
    </row>
    <row r="202" spans="1:31" s="30" customFormat="1" ht="15.75" customHeight="1">
      <c r="A202" s="194"/>
      <c r="B202" s="212"/>
      <c r="C202" s="122">
        <v>118032</v>
      </c>
      <c r="D202" s="141">
        <v>7793482000639</v>
      </c>
      <c r="E202" s="56" t="s">
        <v>238</v>
      </c>
      <c r="F202" s="53">
        <v>12</v>
      </c>
      <c r="G202" s="54">
        <f>75.28*0.85</f>
        <v>63.988</v>
      </c>
      <c r="H202" s="71"/>
      <c r="I202" s="35">
        <f t="shared" si="45"/>
        <v>0</v>
      </c>
      <c r="K202" s="5">
        <v>95</v>
      </c>
      <c r="M202" s="31">
        <f t="shared" si="40"/>
        <v>0.32644210526315787</v>
      </c>
      <c r="N202" s="5">
        <f t="shared" si="46"/>
        <v>98.443076923076916</v>
      </c>
      <c r="P202" s="5">
        <v>95</v>
      </c>
      <c r="R202" s="31">
        <f t="shared" si="41"/>
        <v>0.32644210526315787</v>
      </c>
      <c r="S202" s="5">
        <f t="shared" si="37"/>
        <v>98.443076923076916</v>
      </c>
      <c r="T202" s="132"/>
      <c r="U202" s="5">
        <v>95</v>
      </c>
      <c r="W202" s="31">
        <f t="shared" si="42"/>
        <v>0.32644210526315787</v>
      </c>
      <c r="X202" s="5">
        <f t="shared" si="38"/>
        <v>98.443076923076916</v>
      </c>
      <c r="Y202" s="132"/>
      <c r="Z202" s="5">
        <v>95</v>
      </c>
      <c r="AB202" s="31">
        <f t="shared" si="43"/>
        <v>0.32644210526315787</v>
      </c>
      <c r="AC202" s="5">
        <f t="shared" si="44"/>
        <v>98.443076923076916</v>
      </c>
      <c r="AD202" s="132"/>
      <c r="AE202" s="135"/>
    </row>
    <row r="203" spans="1:31" s="30" customFormat="1" ht="15.75" customHeight="1" thickBot="1">
      <c r="A203" s="195"/>
      <c r="B203" s="213"/>
      <c r="C203" s="121">
        <v>118033</v>
      </c>
      <c r="D203" s="141">
        <v>7793482000417</v>
      </c>
      <c r="E203" s="42" t="s">
        <v>210</v>
      </c>
      <c r="F203" s="43">
        <v>12</v>
      </c>
      <c r="G203" s="44">
        <f>62.16*0.85</f>
        <v>52.835999999999999</v>
      </c>
      <c r="H203" s="70"/>
      <c r="I203" s="35">
        <f t="shared" si="45"/>
        <v>0</v>
      </c>
      <c r="K203" s="5">
        <v>78</v>
      </c>
      <c r="M203" s="31">
        <f t="shared" si="40"/>
        <v>0.32261538461538464</v>
      </c>
      <c r="N203" s="5">
        <f t="shared" si="46"/>
        <v>81.286153846153837</v>
      </c>
      <c r="P203" s="5">
        <v>78</v>
      </c>
      <c r="R203" s="31">
        <f t="shared" si="41"/>
        <v>0.32261538461538464</v>
      </c>
      <c r="S203" s="5">
        <f t="shared" si="37"/>
        <v>81.286153846153837</v>
      </c>
      <c r="T203" s="132"/>
      <c r="U203" s="5">
        <v>78</v>
      </c>
      <c r="W203" s="31">
        <f t="shared" si="42"/>
        <v>0.32261538461538464</v>
      </c>
      <c r="X203" s="5">
        <f t="shared" si="38"/>
        <v>81.286153846153837</v>
      </c>
      <c r="Y203" s="132"/>
      <c r="Z203" s="5">
        <v>78</v>
      </c>
      <c r="AB203" s="31">
        <f t="shared" si="43"/>
        <v>0.32261538461538464</v>
      </c>
      <c r="AC203" s="5">
        <f t="shared" si="44"/>
        <v>81.286153846153837</v>
      </c>
      <c r="AD203" s="132"/>
      <c r="AE203" s="135"/>
    </row>
    <row r="204" spans="1:31" s="30" customFormat="1" ht="15.75" customHeight="1">
      <c r="A204" s="162" t="s">
        <v>211</v>
      </c>
      <c r="B204" s="165" t="s">
        <v>212</v>
      </c>
      <c r="C204" s="122">
        <v>119001</v>
      </c>
      <c r="D204" s="141">
        <v>7798165590315</v>
      </c>
      <c r="E204" s="25" t="s">
        <v>259</v>
      </c>
      <c r="F204" s="26">
        <v>7</v>
      </c>
      <c r="G204" s="27">
        <v>29.17</v>
      </c>
      <c r="H204" s="64"/>
      <c r="I204" s="35">
        <f t="shared" si="45"/>
        <v>0</v>
      </c>
      <c r="K204" s="5">
        <v>41.5</v>
      </c>
      <c r="M204" s="31">
        <f t="shared" si="40"/>
        <v>0.29710843373493967</v>
      </c>
      <c r="N204" s="5">
        <f>$G204/0.7</f>
        <v>41.671428571428578</v>
      </c>
      <c r="P204" s="5">
        <v>39.5</v>
      </c>
      <c r="R204" s="31">
        <f t="shared" si="41"/>
        <v>0.26151898734177215</v>
      </c>
      <c r="S204" s="5">
        <f>$G204/0.74</f>
        <v>39.418918918918919</v>
      </c>
      <c r="T204" s="132"/>
      <c r="U204" s="5">
        <v>41.5</v>
      </c>
      <c r="W204" s="31">
        <f t="shared" si="42"/>
        <v>0.29710843373493967</v>
      </c>
      <c r="X204" s="5">
        <f>$G204/0.74</f>
        <v>39.418918918918919</v>
      </c>
      <c r="Y204" s="132"/>
      <c r="Z204" s="5">
        <v>43.76</v>
      </c>
      <c r="AB204" s="31">
        <f t="shared" si="43"/>
        <v>0.33340950639853739</v>
      </c>
      <c r="AC204" s="5">
        <f t="shared" ref="AC204:AC235" si="47">($G204/0.7)*1.05</f>
        <v>43.75500000000001</v>
      </c>
      <c r="AD204" s="132"/>
      <c r="AE204" s="135"/>
    </row>
    <row r="205" spans="1:31" s="30" customFormat="1" ht="15.75" customHeight="1">
      <c r="A205" s="163"/>
      <c r="B205" s="166"/>
      <c r="C205" s="121">
        <v>119002</v>
      </c>
      <c r="D205" s="141">
        <v>7798165590339</v>
      </c>
      <c r="E205" s="39" t="s">
        <v>260</v>
      </c>
      <c r="F205" s="40">
        <v>12</v>
      </c>
      <c r="G205" s="6">
        <v>24</v>
      </c>
      <c r="H205" s="66"/>
      <c r="I205" s="35">
        <f t="shared" si="45"/>
        <v>0</v>
      </c>
      <c r="K205" s="5">
        <v>34.5</v>
      </c>
      <c r="M205" s="31">
        <f t="shared" si="40"/>
        <v>0.30434782608695654</v>
      </c>
      <c r="N205" s="5">
        <f t="shared" ref="N205:N216" si="48">$G205/0.7</f>
        <v>34.285714285714285</v>
      </c>
      <c r="P205" s="5">
        <v>32</v>
      </c>
      <c r="R205" s="31">
        <f t="shared" si="41"/>
        <v>0.25</v>
      </c>
      <c r="S205" s="5">
        <f>$G205/0.74</f>
        <v>32.432432432432435</v>
      </c>
      <c r="T205" s="132"/>
      <c r="U205" s="5">
        <v>34.5</v>
      </c>
      <c r="W205" s="31">
        <f t="shared" si="42"/>
        <v>0.30434782608695654</v>
      </c>
      <c r="X205" s="5">
        <f t="shared" ref="X205:X216" si="49">$G205/0.74</f>
        <v>32.432432432432435</v>
      </c>
      <c r="Y205" s="132"/>
      <c r="Z205" s="5">
        <v>36</v>
      </c>
      <c r="AB205" s="31">
        <f t="shared" si="43"/>
        <v>0.33333333333333337</v>
      </c>
      <c r="AC205" s="5">
        <f t="shared" si="47"/>
        <v>36</v>
      </c>
      <c r="AD205" s="132"/>
      <c r="AE205" s="135"/>
    </row>
    <row r="206" spans="1:31" s="30" customFormat="1" ht="15.75" customHeight="1">
      <c r="A206" s="163"/>
      <c r="B206" s="166"/>
      <c r="C206" s="120">
        <v>108006</v>
      </c>
      <c r="D206" s="141">
        <v>7798165590216</v>
      </c>
      <c r="E206" s="32" t="s">
        <v>213</v>
      </c>
      <c r="F206" s="33">
        <v>6</v>
      </c>
      <c r="G206" s="1">
        <v>61.2</v>
      </c>
      <c r="H206" s="65"/>
      <c r="I206" s="35">
        <f t="shared" si="45"/>
        <v>0</v>
      </c>
      <c r="K206" s="5">
        <v>87.5</v>
      </c>
      <c r="M206" s="31">
        <f t="shared" si="40"/>
        <v>0.30057142857142849</v>
      </c>
      <c r="N206" s="5">
        <f t="shared" si="48"/>
        <v>87.428571428571445</v>
      </c>
      <c r="P206" s="5">
        <v>82.5</v>
      </c>
      <c r="R206" s="31">
        <f t="shared" si="41"/>
        <v>0.25818181818181818</v>
      </c>
      <c r="S206" s="5">
        <f t="shared" ref="S206:S216" si="50">$G206/0.74</f>
        <v>82.702702702702709</v>
      </c>
      <c r="T206" s="132"/>
      <c r="U206" s="5">
        <v>87.5</v>
      </c>
      <c r="W206" s="31">
        <f t="shared" si="42"/>
        <v>0.30057142857142849</v>
      </c>
      <c r="X206" s="5">
        <f t="shared" si="49"/>
        <v>82.702702702702709</v>
      </c>
      <c r="Y206" s="132"/>
      <c r="Z206" s="5">
        <v>91.8</v>
      </c>
      <c r="AB206" s="31">
        <f t="shared" si="43"/>
        <v>0.33333333333333326</v>
      </c>
      <c r="AC206" s="5">
        <f t="shared" si="47"/>
        <v>91.800000000000026</v>
      </c>
      <c r="AD206" s="132"/>
      <c r="AE206" s="135"/>
    </row>
    <row r="207" spans="1:31" s="30" customFormat="1" ht="15.75" customHeight="1">
      <c r="A207" s="163"/>
      <c r="B207" s="166"/>
      <c r="C207" s="120">
        <v>108006</v>
      </c>
      <c r="D207" s="148">
        <v>7798165590223</v>
      </c>
      <c r="E207" s="32" t="s">
        <v>214</v>
      </c>
      <c r="F207" s="33"/>
      <c r="G207" s="1">
        <v>56.4</v>
      </c>
      <c r="H207" s="65"/>
      <c r="I207" s="35">
        <f t="shared" si="45"/>
        <v>0</v>
      </c>
      <c r="K207" s="5">
        <v>80.5</v>
      </c>
      <c r="M207" s="31">
        <f t="shared" si="40"/>
        <v>0.29937888198757767</v>
      </c>
      <c r="N207" s="5">
        <f t="shared" si="48"/>
        <v>80.571428571428569</v>
      </c>
      <c r="P207" s="5">
        <v>75.95</v>
      </c>
      <c r="R207" s="31">
        <f t="shared" si="41"/>
        <v>0.25740618828176431</v>
      </c>
      <c r="S207" s="5">
        <f t="shared" si="50"/>
        <v>76.21621621621621</v>
      </c>
      <c r="T207" s="132"/>
      <c r="U207" s="5">
        <v>80.5</v>
      </c>
      <c r="W207" s="31">
        <f t="shared" si="42"/>
        <v>0.29937888198757767</v>
      </c>
      <c r="X207" s="5">
        <f t="shared" si="49"/>
        <v>76.21621621621621</v>
      </c>
      <c r="Y207" s="132"/>
      <c r="Z207" s="5">
        <v>84.6</v>
      </c>
      <c r="AB207" s="31">
        <f t="shared" si="43"/>
        <v>0.33333333333333326</v>
      </c>
      <c r="AC207" s="5">
        <f t="shared" si="47"/>
        <v>84.600000000000009</v>
      </c>
      <c r="AD207" s="132"/>
      <c r="AE207" s="135"/>
    </row>
    <row r="208" spans="1:31" s="30" customFormat="1" ht="15.75" customHeight="1">
      <c r="A208" s="163"/>
      <c r="B208" s="166"/>
      <c r="C208" s="120">
        <v>108006</v>
      </c>
      <c r="D208" s="141">
        <v>7798165590193</v>
      </c>
      <c r="E208" s="4" t="s">
        <v>215</v>
      </c>
      <c r="F208" s="33">
        <v>12</v>
      </c>
      <c r="G208" s="1">
        <v>36.840000000000003</v>
      </c>
      <c r="H208" s="65"/>
      <c r="I208" s="35">
        <f t="shared" si="45"/>
        <v>0</v>
      </c>
      <c r="K208" s="5">
        <v>52.5</v>
      </c>
      <c r="M208" s="31">
        <f t="shared" si="40"/>
        <v>0.29828571428571427</v>
      </c>
      <c r="N208" s="5">
        <f t="shared" si="48"/>
        <v>52.628571428571433</v>
      </c>
      <c r="P208" s="5">
        <v>49.5</v>
      </c>
      <c r="R208" s="31">
        <f t="shared" si="41"/>
        <v>0.25575757575757574</v>
      </c>
      <c r="S208" s="5">
        <f t="shared" si="50"/>
        <v>49.78378378378379</v>
      </c>
      <c r="T208" s="132"/>
      <c r="U208" s="5">
        <v>52.5</v>
      </c>
      <c r="W208" s="31">
        <f t="shared" si="42"/>
        <v>0.29828571428571427</v>
      </c>
      <c r="X208" s="5">
        <f t="shared" si="49"/>
        <v>49.78378378378379</v>
      </c>
      <c r="Y208" s="132"/>
      <c r="Z208" s="5">
        <v>55.26</v>
      </c>
      <c r="AB208" s="31">
        <f t="shared" si="43"/>
        <v>0.33333333333333326</v>
      </c>
      <c r="AC208" s="5">
        <f t="shared" si="47"/>
        <v>55.260000000000005</v>
      </c>
      <c r="AD208" s="132"/>
      <c r="AE208" s="135"/>
    </row>
    <row r="209" spans="1:31" s="30" customFormat="1" ht="15.75" customHeight="1" thickBot="1">
      <c r="A209" s="164"/>
      <c r="B209" s="166"/>
      <c r="C209" s="120">
        <v>108006</v>
      </c>
      <c r="D209" s="141">
        <v>7798165590230</v>
      </c>
      <c r="E209" s="8" t="s">
        <v>216</v>
      </c>
      <c r="F209" s="53">
        <v>12</v>
      </c>
      <c r="G209" s="54">
        <v>32.4</v>
      </c>
      <c r="H209" s="71"/>
      <c r="I209" s="35">
        <f t="shared" si="45"/>
        <v>0</v>
      </c>
      <c r="K209" s="5">
        <v>46.5</v>
      </c>
      <c r="M209" s="31">
        <f t="shared" si="40"/>
        <v>0.3032258064516129</v>
      </c>
      <c r="N209" s="5">
        <f t="shared" si="48"/>
        <v>46.285714285714285</v>
      </c>
      <c r="P209" s="5">
        <v>43.5</v>
      </c>
      <c r="R209" s="31">
        <f t="shared" si="41"/>
        <v>0.25517241379310351</v>
      </c>
      <c r="S209" s="5">
        <f t="shared" si="50"/>
        <v>43.783783783783782</v>
      </c>
      <c r="T209" s="132"/>
      <c r="U209" s="5">
        <v>46.5</v>
      </c>
      <c r="W209" s="31">
        <f t="shared" si="42"/>
        <v>0.3032258064516129</v>
      </c>
      <c r="X209" s="5">
        <f t="shared" si="49"/>
        <v>43.783783783783782</v>
      </c>
      <c r="Y209" s="132"/>
      <c r="Z209" s="5">
        <v>48.6</v>
      </c>
      <c r="AB209" s="31">
        <f t="shared" si="43"/>
        <v>0.33333333333333337</v>
      </c>
      <c r="AC209" s="5">
        <f t="shared" si="47"/>
        <v>48.6</v>
      </c>
      <c r="AD209" s="132"/>
      <c r="AE209" s="135"/>
    </row>
    <row r="210" spans="1:31" s="30" customFormat="1" ht="15.75" customHeight="1">
      <c r="A210" s="162" t="s">
        <v>217</v>
      </c>
      <c r="B210" s="155" t="s">
        <v>261</v>
      </c>
      <c r="C210" s="120">
        <v>108006</v>
      </c>
      <c r="D210" s="141">
        <v>7798165590056</v>
      </c>
      <c r="E210" s="4" t="s">
        <v>227</v>
      </c>
      <c r="F210" s="33">
        <v>6</v>
      </c>
      <c r="G210" s="1">
        <v>51.6</v>
      </c>
      <c r="H210" s="85"/>
      <c r="I210" s="35">
        <f t="shared" si="45"/>
        <v>0</v>
      </c>
      <c r="K210" s="5">
        <v>74</v>
      </c>
      <c r="M210" s="31">
        <f t="shared" si="40"/>
        <v>0.30270270270270272</v>
      </c>
      <c r="N210" s="5">
        <f t="shared" si="48"/>
        <v>73.714285714285722</v>
      </c>
      <c r="P210" s="5">
        <v>69.5</v>
      </c>
      <c r="R210" s="31">
        <f t="shared" si="41"/>
        <v>0.2575539568345323</v>
      </c>
      <c r="S210" s="5">
        <f t="shared" si="50"/>
        <v>69.729729729729726</v>
      </c>
      <c r="T210" s="132"/>
      <c r="U210" s="5">
        <v>74</v>
      </c>
      <c r="W210" s="31">
        <f t="shared" si="42"/>
        <v>0.30270270270270272</v>
      </c>
      <c r="X210" s="5">
        <f t="shared" si="49"/>
        <v>69.729729729729726</v>
      </c>
      <c r="Y210" s="132"/>
      <c r="Z210" s="5">
        <v>77.400000000000006</v>
      </c>
      <c r="AB210" s="31">
        <f t="shared" si="43"/>
        <v>0.33333333333333337</v>
      </c>
      <c r="AC210" s="5">
        <f t="shared" si="47"/>
        <v>77.400000000000006</v>
      </c>
      <c r="AD210" s="132"/>
      <c r="AE210" s="135"/>
    </row>
    <row r="211" spans="1:31" s="30" customFormat="1" ht="15.75" customHeight="1">
      <c r="A211" s="163"/>
      <c r="B211" s="156"/>
      <c r="C211" s="120">
        <v>108006</v>
      </c>
      <c r="D211" s="148">
        <v>7798165590285</v>
      </c>
      <c r="E211" s="4" t="s">
        <v>218</v>
      </c>
      <c r="F211" s="33"/>
      <c r="G211" s="1">
        <v>49.2</v>
      </c>
      <c r="H211" s="65"/>
      <c r="I211" s="35">
        <f t="shared" si="45"/>
        <v>0</v>
      </c>
      <c r="K211" s="5">
        <v>69.5</v>
      </c>
      <c r="M211" s="31">
        <f t="shared" si="40"/>
        <v>0.29208633093525171</v>
      </c>
      <c r="N211" s="5">
        <f t="shared" si="48"/>
        <v>70.285714285714292</v>
      </c>
      <c r="P211" s="5">
        <v>66.5</v>
      </c>
      <c r="R211" s="31">
        <f t="shared" si="41"/>
        <v>0.26015037593984958</v>
      </c>
      <c r="S211" s="5">
        <f t="shared" si="50"/>
        <v>66.486486486486484</v>
      </c>
      <c r="T211" s="132"/>
      <c r="U211" s="5">
        <v>69.5</v>
      </c>
      <c r="W211" s="31">
        <f t="shared" si="42"/>
        <v>0.29208633093525171</v>
      </c>
      <c r="X211" s="5">
        <f t="shared" si="49"/>
        <v>66.486486486486484</v>
      </c>
      <c r="Y211" s="132"/>
      <c r="Z211" s="5">
        <v>77</v>
      </c>
      <c r="AB211" s="31">
        <f t="shared" si="43"/>
        <v>0.36103896103896105</v>
      </c>
      <c r="AC211" s="5">
        <f t="shared" si="47"/>
        <v>73.800000000000011</v>
      </c>
      <c r="AD211" s="132"/>
      <c r="AE211" s="135"/>
    </row>
    <row r="212" spans="1:31" s="30" customFormat="1" ht="15.75" customHeight="1">
      <c r="A212" s="163"/>
      <c r="B212" s="156"/>
      <c r="C212" s="120">
        <v>108006</v>
      </c>
      <c r="D212" s="141">
        <v>7798165590049</v>
      </c>
      <c r="E212" s="4" t="s">
        <v>228</v>
      </c>
      <c r="F212" s="33">
        <v>12</v>
      </c>
      <c r="G212" s="1">
        <v>27.6</v>
      </c>
      <c r="H212" s="65"/>
      <c r="I212" s="35">
        <f t="shared" si="45"/>
        <v>0</v>
      </c>
      <c r="K212" s="5">
        <v>39.5</v>
      </c>
      <c r="M212" s="31">
        <f t="shared" si="40"/>
        <v>0.30126582278481007</v>
      </c>
      <c r="N212" s="5">
        <f t="shared" si="48"/>
        <v>39.428571428571431</v>
      </c>
      <c r="P212" s="5">
        <v>36.9</v>
      </c>
      <c r="R212" s="31">
        <f t="shared" si="41"/>
        <v>0.25203252032520318</v>
      </c>
      <c r="S212" s="5">
        <f t="shared" si="50"/>
        <v>37.297297297297298</v>
      </c>
      <c r="T212" s="132"/>
      <c r="U212" s="5">
        <v>39.5</v>
      </c>
      <c r="W212" s="31">
        <f t="shared" si="42"/>
        <v>0.30126582278481007</v>
      </c>
      <c r="X212" s="5">
        <f t="shared" si="49"/>
        <v>37.297297297297298</v>
      </c>
      <c r="Y212" s="132"/>
      <c r="Z212" s="5">
        <v>42</v>
      </c>
      <c r="AB212" s="31">
        <f t="shared" si="43"/>
        <v>0.34285714285714286</v>
      </c>
      <c r="AC212" s="5">
        <f t="shared" si="47"/>
        <v>41.400000000000006</v>
      </c>
      <c r="AD212" s="132"/>
      <c r="AE212" s="135"/>
    </row>
    <row r="213" spans="1:31" s="30" customFormat="1" ht="15.75" customHeight="1">
      <c r="A213" s="163"/>
      <c r="B213" s="156"/>
      <c r="C213" s="120">
        <v>108006</v>
      </c>
      <c r="D213" s="141">
        <v>7798165590018</v>
      </c>
      <c r="E213" s="4" t="s">
        <v>229</v>
      </c>
      <c r="F213" s="33">
        <v>12</v>
      </c>
      <c r="G213" s="1">
        <v>25.8</v>
      </c>
      <c r="H213" s="65"/>
      <c r="I213" s="35">
        <f t="shared" si="45"/>
        <v>0</v>
      </c>
      <c r="K213" s="5">
        <v>36.5</v>
      </c>
      <c r="M213" s="31">
        <f t="shared" si="40"/>
        <v>0.29315068493150687</v>
      </c>
      <c r="N213" s="5">
        <f t="shared" si="48"/>
        <v>36.857142857142861</v>
      </c>
      <c r="P213" s="5">
        <v>34.5</v>
      </c>
      <c r="R213" s="31">
        <f t="shared" si="41"/>
        <v>0.25217391304347825</v>
      </c>
      <c r="S213" s="5">
        <f t="shared" si="50"/>
        <v>34.864864864864863</v>
      </c>
      <c r="T213" s="132"/>
      <c r="U213" s="5">
        <v>36.5</v>
      </c>
      <c r="W213" s="31">
        <f t="shared" si="42"/>
        <v>0.29315068493150687</v>
      </c>
      <c r="X213" s="5">
        <f t="shared" si="49"/>
        <v>34.864864864864863</v>
      </c>
      <c r="Y213" s="132"/>
      <c r="Z213" s="5">
        <v>41</v>
      </c>
      <c r="AB213" s="31">
        <f t="shared" si="43"/>
        <v>0.37073170731707317</v>
      </c>
      <c r="AC213" s="5">
        <f t="shared" si="47"/>
        <v>38.700000000000003</v>
      </c>
      <c r="AD213" s="132"/>
      <c r="AE213" s="135"/>
    </row>
    <row r="214" spans="1:31" s="30" customFormat="1" ht="15.75" customHeight="1">
      <c r="A214" s="163"/>
      <c r="B214" s="156"/>
      <c r="C214" s="120">
        <v>108006</v>
      </c>
      <c r="D214" s="141">
        <v>7798165590032</v>
      </c>
      <c r="E214" s="9" t="s">
        <v>219</v>
      </c>
      <c r="F214" s="72"/>
      <c r="G214" s="1"/>
      <c r="H214" s="65"/>
      <c r="I214" s="35">
        <f t="shared" si="45"/>
        <v>0</v>
      </c>
      <c r="K214" s="5"/>
      <c r="M214" s="31" t="e">
        <f t="shared" si="40"/>
        <v>#DIV/0!</v>
      </c>
      <c r="N214" s="5">
        <f t="shared" si="48"/>
        <v>0</v>
      </c>
      <c r="P214" s="5">
        <v>0</v>
      </c>
      <c r="R214" s="31" t="e">
        <f t="shared" si="41"/>
        <v>#DIV/0!</v>
      </c>
      <c r="S214" s="5">
        <f t="shared" si="50"/>
        <v>0</v>
      </c>
      <c r="T214" s="132"/>
      <c r="U214" s="5"/>
      <c r="W214" s="31" t="e">
        <f t="shared" si="42"/>
        <v>#DIV/0!</v>
      </c>
      <c r="X214" s="5">
        <f t="shared" si="49"/>
        <v>0</v>
      </c>
      <c r="Y214" s="132"/>
      <c r="Z214" s="5">
        <v>0</v>
      </c>
      <c r="AB214" s="31" t="e">
        <f t="shared" si="43"/>
        <v>#DIV/0!</v>
      </c>
      <c r="AC214" s="5">
        <f t="shared" si="47"/>
        <v>0</v>
      </c>
      <c r="AD214" s="132"/>
      <c r="AE214" s="135"/>
    </row>
    <row r="215" spans="1:31" s="30" customFormat="1" ht="15.75" customHeight="1">
      <c r="A215" s="163"/>
      <c r="B215" s="156"/>
      <c r="C215" s="120">
        <v>108006</v>
      </c>
      <c r="D215" s="120"/>
      <c r="E215" s="4" t="s">
        <v>230</v>
      </c>
      <c r="F215" s="33">
        <v>12</v>
      </c>
      <c r="G215" s="1">
        <f>16*0.95</f>
        <v>15.2</v>
      </c>
      <c r="H215" s="65"/>
      <c r="I215" s="35">
        <f t="shared" si="45"/>
        <v>0</v>
      </c>
      <c r="K215" s="5">
        <v>21.5</v>
      </c>
      <c r="M215" s="31">
        <f t="shared" si="40"/>
        <v>0.2930232558139535</v>
      </c>
      <c r="N215" s="5">
        <f t="shared" si="48"/>
        <v>21.714285714285715</v>
      </c>
      <c r="P215" s="5">
        <v>21.5</v>
      </c>
      <c r="R215" s="31">
        <f t="shared" si="41"/>
        <v>0.2930232558139535</v>
      </c>
      <c r="S215" s="5">
        <f t="shared" si="50"/>
        <v>20.54054054054054</v>
      </c>
      <c r="T215" s="132"/>
      <c r="U215" s="5">
        <v>21.5</v>
      </c>
      <c r="W215" s="31">
        <f t="shared" si="42"/>
        <v>0.2930232558139535</v>
      </c>
      <c r="X215" s="5">
        <f t="shared" si="49"/>
        <v>20.54054054054054</v>
      </c>
      <c r="Y215" s="132"/>
      <c r="Z215" s="5">
        <v>27</v>
      </c>
      <c r="AB215" s="31">
        <f t="shared" si="43"/>
        <v>0.43703703703703711</v>
      </c>
      <c r="AC215" s="5">
        <f t="shared" si="47"/>
        <v>22.8</v>
      </c>
      <c r="AD215" s="132"/>
      <c r="AE215" s="135"/>
    </row>
    <row r="216" spans="1:31" s="30" customFormat="1" ht="15.75" customHeight="1" thickBot="1">
      <c r="A216" s="164"/>
      <c r="B216" s="157"/>
      <c r="C216" s="120">
        <v>108006</v>
      </c>
      <c r="D216" s="141">
        <v>7798165590292</v>
      </c>
      <c r="E216" s="4" t="s">
        <v>220</v>
      </c>
      <c r="F216" s="33">
        <v>12</v>
      </c>
      <c r="G216" s="1">
        <v>20.399999999999999</v>
      </c>
      <c r="H216" s="65"/>
      <c r="I216" s="35">
        <f t="shared" si="45"/>
        <v>0</v>
      </c>
      <c r="K216" s="5">
        <v>28.5</v>
      </c>
      <c r="M216" s="31">
        <f t="shared" si="40"/>
        <v>0.28421052631578947</v>
      </c>
      <c r="N216" s="5">
        <f t="shared" si="48"/>
        <v>29.142857142857142</v>
      </c>
      <c r="P216" s="5">
        <v>28.5</v>
      </c>
      <c r="R216" s="31">
        <f t="shared" si="41"/>
        <v>0.28421052631578947</v>
      </c>
      <c r="S216" s="5">
        <f t="shared" si="50"/>
        <v>27.567567567567565</v>
      </c>
      <c r="T216" s="132"/>
      <c r="U216" s="5">
        <v>28.5</v>
      </c>
      <c r="W216" s="31">
        <f t="shared" si="42"/>
        <v>0.28421052631578947</v>
      </c>
      <c r="X216" s="5">
        <f t="shared" si="49"/>
        <v>27.567567567567565</v>
      </c>
      <c r="Y216" s="132"/>
      <c r="Z216" s="5">
        <v>31.4</v>
      </c>
      <c r="AB216" s="31">
        <f t="shared" si="43"/>
        <v>0.35031847133757965</v>
      </c>
      <c r="AC216" s="5">
        <f t="shared" si="47"/>
        <v>30.6</v>
      </c>
      <c r="AD216" s="132"/>
      <c r="AE216" s="135"/>
    </row>
    <row r="217" spans="1:31" s="30" customFormat="1" ht="15.75" customHeight="1">
      <c r="A217" s="162" t="s">
        <v>244</v>
      </c>
      <c r="B217" s="155" t="s">
        <v>262</v>
      </c>
      <c r="C217" s="115">
        <v>120001</v>
      </c>
      <c r="D217" s="149">
        <v>7798195510055</v>
      </c>
      <c r="E217" s="4" t="s">
        <v>248</v>
      </c>
      <c r="F217" s="33">
        <v>12</v>
      </c>
      <c r="G217" s="1">
        <v>7.25</v>
      </c>
      <c r="H217" s="65"/>
      <c r="I217" s="35">
        <f t="shared" si="45"/>
        <v>0</v>
      </c>
      <c r="K217" s="5">
        <v>10.5</v>
      </c>
      <c r="M217" s="31">
        <f t="shared" si="40"/>
        <v>0.30952380952380953</v>
      </c>
      <c r="N217" s="5">
        <f t="shared" ref="N217:N244" si="51">$G217/0.65</f>
        <v>11.153846153846153</v>
      </c>
      <c r="P217" s="5">
        <v>10.5</v>
      </c>
      <c r="R217" s="31">
        <f t="shared" si="41"/>
        <v>0.30952380952380953</v>
      </c>
      <c r="S217" s="5">
        <f t="shared" ref="S217:S237" si="52">$G217/0.65</f>
        <v>11.153846153846153</v>
      </c>
      <c r="T217" s="132"/>
      <c r="U217" s="5">
        <v>10.5</v>
      </c>
      <c r="W217" s="31">
        <f t="shared" si="42"/>
        <v>0.30952380952380953</v>
      </c>
      <c r="X217" s="5">
        <f t="shared" ref="X217:X237" si="53">$G217/0.65</f>
        <v>11.153846153846153</v>
      </c>
      <c r="Y217" s="132"/>
      <c r="Z217" s="5">
        <v>10.5</v>
      </c>
      <c r="AB217" s="31">
        <f t="shared" si="43"/>
        <v>0.30952380952380953</v>
      </c>
      <c r="AC217" s="5">
        <f t="shared" si="47"/>
        <v>10.875000000000002</v>
      </c>
      <c r="AD217" s="132"/>
      <c r="AE217" s="135"/>
    </row>
    <row r="218" spans="1:31" s="30" customFormat="1" ht="15.75" customHeight="1">
      <c r="A218" s="163"/>
      <c r="B218" s="156"/>
      <c r="C218" s="115">
        <v>120002</v>
      </c>
      <c r="D218" s="149">
        <v>7798195510109</v>
      </c>
      <c r="E218" s="4" t="s">
        <v>247</v>
      </c>
      <c r="F218" s="33">
        <v>12</v>
      </c>
      <c r="G218" s="1">
        <v>7.25</v>
      </c>
      <c r="H218" s="65"/>
      <c r="I218" s="35">
        <f t="shared" si="45"/>
        <v>0</v>
      </c>
      <c r="K218" s="5">
        <v>10.5</v>
      </c>
      <c r="M218" s="31">
        <f t="shared" si="40"/>
        <v>0.30952380952380953</v>
      </c>
      <c r="N218" s="5">
        <f t="shared" si="51"/>
        <v>11.153846153846153</v>
      </c>
      <c r="P218" s="5">
        <v>10.5</v>
      </c>
      <c r="R218" s="31">
        <f t="shared" si="41"/>
        <v>0.30952380952380953</v>
      </c>
      <c r="S218" s="5">
        <f t="shared" si="52"/>
        <v>11.153846153846153</v>
      </c>
      <c r="T218" s="132"/>
      <c r="U218" s="5">
        <v>10.5</v>
      </c>
      <c r="W218" s="31">
        <f t="shared" si="42"/>
        <v>0.30952380952380953</v>
      </c>
      <c r="X218" s="5">
        <f t="shared" si="53"/>
        <v>11.153846153846153</v>
      </c>
      <c r="Y218" s="132"/>
      <c r="Z218" s="5">
        <v>10.5</v>
      </c>
      <c r="AB218" s="31">
        <f t="shared" si="43"/>
        <v>0.30952380952380953</v>
      </c>
      <c r="AC218" s="5">
        <f t="shared" si="47"/>
        <v>10.875000000000002</v>
      </c>
      <c r="AD218" s="132"/>
      <c r="AE218" s="135"/>
    </row>
    <row r="219" spans="1:31" s="30" customFormat="1" ht="15.75" customHeight="1">
      <c r="A219" s="163"/>
      <c r="B219" s="156"/>
      <c r="C219" s="115">
        <v>120003</v>
      </c>
      <c r="D219" s="149">
        <v>7798195510130</v>
      </c>
      <c r="E219" s="4" t="s">
        <v>246</v>
      </c>
      <c r="F219" s="33">
        <v>12</v>
      </c>
      <c r="G219" s="1">
        <v>7.25</v>
      </c>
      <c r="H219" s="65"/>
      <c r="I219" s="35">
        <f t="shared" si="45"/>
        <v>0</v>
      </c>
      <c r="K219" s="5">
        <v>10.5</v>
      </c>
      <c r="M219" s="31">
        <f t="shared" si="40"/>
        <v>0.30952380952380953</v>
      </c>
      <c r="N219" s="5">
        <f t="shared" si="51"/>
        <v>11.153846153846153</v>
      </c>
      <c r="P219" s="5">
        <v>10.5</v>
      </c>
      <c r="R219" s="31">
        <f t="shared" si="41"/>
        <v>0.30952380952380953</v>
      </c>
      <c r="S219" s="5">
        <f t="shared" si="52"/>
        <v>11.153846153846153</v>
      </c>
      <c r="T219" s="132"/>
      <c r="U219" s="5">
        <v>10.5</v>
      </c>
      <c r="W219" s="31">
        <f t="shared" si="42"/>
        <v>0.30952380952380953</v>
      </c>
      <c r="X219" s="5">
        <f t="shared" si="53"/>
        <v>11.153846153846153</v>
      </c>
      <c r="Y219" s="132"/>
      <c r="Z219" s="5">
        <v>10.5</v>
      </c>
      <c r="AB219" s="31">
        <f t="shared" si="43"/>
        <v>0.30952380952380953</v>
      </c>
      <c r="AC219" s="5">
        <f t="shared" si="47"/>
        <v>10.875000000000002</v>
      </c>
      <c r="AD219" s="132"/>
      <c r="AE219" s="135"/>
    </row>
    <row r="220" spans="1:31" s="30" customFormat="1" ht="15.75" customHeight="1">
      <c r="A220" s="163"/>
      <c r="B220" s="156"/>
      <c r="C220" s="115">
        <v>120004</v>
      </c>
      <c r="D220" s="149">
        <v>7798195510123</v>
      </c>
      <c r="E220" s="4" t="s">
        <v>245</v>
      </c>
      <c r="F220" s="33">
        <v>12</v>
      </c>
      <c r="G220" s="1">
        <v>7.25</v>
      </c>
      <c r="H220" s="65"/>
      <c r="I220" s="35">
        <f t="shared" si="45"/>
        <v>0</v>
      </c>
      <c r="K220" s="5">
        <v>10.5</v>
      </c>
      <c r="M220" s="31">
        <f t="shared" si="40"/>
        <v>0.30952380952380953</v>
      </c>
      <c r="N220" s="5">
        <f t="shared" si="51"/>
        <v>11.153846153846153</v>
      </c>
      <c r="P220" s="5">
        <v>10.5</v>
      </c>
      <c r="R220" s="31">
        <f t="shared" si="41"/>
        <v>0.30952380952380953</v>
      </c>
      <c r="S220" s="5">
        <f t="shared" si="52"/>
        <v>11.153846153846153</v>
      </c>
      <c r="T220" s="132"/>
      <c r="U220" s="5">
        <v>10.5</v>
      </c>
      <c r="W220" s="31">
        <f t="shared" si="42"/>
        <v>0.30952380952380953</v>
      </c>
      <c r="X220" s="5">
        <f t="shared" si="53"/>
        <v>11.153846153846153</v>
      </c>
      <c r="Y220" s="132"/>
      <c r="Z220" s="5">
        <v>10.5</v>
      </c>
      <c r="AB220" s="31">
        <f t="shared" si="43"/>
        <v>0.30952380952380953</v>
      </c>
      <c r="AC220" s="5">
        <f t="shared" si="47"/>
        <v>10.875000000000002</v>
      </c>
      <c r="AD220" s="132"/>
      <c r="AE220" s="135"/>
    </row>
    <row r="221" spans="1:31" s="30" customFormat="1" ht="15.75" customHeight="1">
      <c r="A221" s="163"/>
      <c r="B221" s="156"/>
      <c r="C221" s="115">
        <v>120005</v>
      </c>
      <c r="D221" s="150">
        <v>7798148380643</v>
      </c>
      <c r="E221" s="4" t="s">
        <v>281</v>
      </c>
      <c r="F221" s="33">
        <v>24</v>
      </c>
      <c r="G221" s="1">
        <v>15</v>
      </c>
      <c r="H221" s="65"/>
      <c r="I221" s="35">
        <f t="shared" si="45"/>
        <v>0</v>
      </c>
      <c r="K221" s="5">
        <v>22</v>
      </c>
      <c r="M221" s="31">
        <f t="shared" si="40"/>
        <v>0.31818181818181823</v>
      </c>
      <c r="N221" s="5">
        <f t="shared" si="51"/>
        <v>23.076923076923077</v>
      </c>
      <c r="P221" s="5">
        <v>22</v>
      </c>
      <c r="R221" s="31">
        <f t="shared" si="41"/>
        <v>0.31818181818181823</v>
      </c>
      <c r="S221" s="5">
        <f t="shared" si="52"/>
        <v>23.076923076923077</v>
      </c>
      <c r="T221" s="132"/>
      <c r="U221" s="5">
        <v>22</v>
      </c>
      <c r="W221" s="31">
        <f t="shared" si="42"/>
        <v>0.31818181818181823</v>
      </c>
      <c r="X221" s="5">
        <f t="shared" si="53"/>
        <v>23.076923076923077</v>
      </c>
      <c r="Y221" s="132"/>
      <c r="Z221" s="5">
        <v>22</v>
      </c>
      <c r="AB221" s="31">
        <f t="shared" si="43"/>
        <v>0.31818181818181823</v>
      </c>
      <c r="AC221" s="5">
        <f t="shared" si="47"/>
        <v>22.500000000000004</v>
      </c>
      <c r="AD221" s="132"/>
      <c r="AE221" s="135"/>
    </row>
    <row r="222" spans="1:31" s="30" customFormat="1" ht="15.75" customHeight="1">
      <c r="A222" s="163"/>
      <c r="B222" s="156"/>
      <c r="C222" s="115">
        <v>120006</v>
      </c>
      <c r="D222" s="149">
        <v>7798195510161</v>
      </c>
      <c r="E222" s="4" t="s">
        <v>249</v>
      </c>
      <c r="F222" s="33">
        <v>12</v>
      </c>
      <c r="G222" s="1">
        <v>10.25</v>
      </c>
      <c r="H222" s="65"/>
      <c r="I222" s="35">
        <f t="shared" si="45"/>
        <v>0</v>
      </c>
      <c r="K222" s="5">
        <v>14.7</v>
      </c>
      <c r="M222" s="31">
        <f t="shared" si="40"/>
        <v>0.30272108843537415</v>
      </c>
      <c r="N222" s="5">
        <f t="shared" si="51"/>
        <v>15.769230769230768</v>
      </c>
      <c r="P222" s="5">
        <v>14.7</v>
      </c>
      <c r="R222" s="31">
        <f t="shared" si="41"/>
        <v>0.30272108843537415</v>
      </c>
      <c r="S222" s="5">
        <f t="shared" si="52"/>
        <v>15.769230769230768</v>
      </c>
      <c r="T222" s="132"/>
      <c r="U222" s="5">
        <v>14.7</v>
      </c>
      <c r="W222" s="31">
        <f t="shared" si="42"/>
        <v>0.30272108843537415</v>
      </c>
      <c r="X222" s="5">
        <f t="shared" si="53"/>
        <v>15.769230769230768</v>
      </c>
      <c r="Y222" s="132"/>
      <c r="Z222" s="5">
        <v>15.44</v>
      </c>
      <c r="AB222" s="31">
        <f t="shared" si="43"/>
        <v>0.33613989637305697</v>
      </c>
      <c r="AC222" s="5">
        <f t="shared" si="47"/>
        <v>15.375000000000002</v>
      </c>
      <c r="AD222" s="132"/>
      <c r="AE222" s="135"/>
    </row>
    <row r="223" spans="1:31" s="30" customFormat="1" ht="15.75" customHeight="1">
      <c r="A223" s="163"/>
      <c r="B223" s="156"/>
      <c r="C223" s="115">
        <v>120007</v>
      </c>
      <c r="D223" s="149">
        <v>7798195510178</v>
      </c>
      <c r="E223" s="4" t="s">
        <v>250</v>
      </c>
      <c r="F223" s="33">
        <v>12</v>
      </c>
      <c r="G223" s="1">
        <v>10.25</v>
      </c>
      <c r="H223" s="65"/>
      <c r="I223" s="35">
        <f t="shared" si="45"/>
        <v>0</v>
      </c>
      <c r="K223" s="5">
        <v>14.7</v>
      </c>
      <c r="M223" s="31">
        <f t="shared" si="40"/>
        <v>0.30272108843537415</v>
      </c>
      <c r="N223" s="5">
        <f t="shared" si="51"/>
        <v>15.769230769230768</v>
      </c>
      <c r="P223" s="5">
        <v>14.7</v>
      </c>
      <c r="R223" s="31">
        <f t="shared" si="41"/>
        <v>0.30272108843537415</v>
      </c>
      <c r="S223" s="5">
        <f t="shared" si="52"/>
        <v>15.769230769230768</v>
      </c>
      <c r="T223" s="132"/>
      <c r="U223" s="5">
        <v>14.7</v>
      </c>
      <c r="W223" s="31">
        <f t="shared" si="42"/>
        <v>0.30272108843537415</v>
      </c>
      <c r="X223" s="5">
        <f t="shared" si="53"/>
        <v>15.769230769230768</v>
      </c>
      <c r="Y223" s="132"/>
      <c r="Z223" s="5">
        <f>Z222</f>
        <v>15.44</v>
      </c>
      <c r="AB223" s="31">
        <f t="shared" si="43"/>
        <v>0.33613989637305697</v>
      </c>
      <c r="AC223" s="5">
        <f t="shared" si="47"/>
        <v>15.375000000000002</v>
      </c>
      <c r="AD223" s="132"/>
      <c r="AE223" s="135"/>
    </row>
    <row r="224" spans="1:31" s="30" customFormat="1" ht="15.75" customHeight="1">
      <c r="A224" s="199" t="s">
        <v>254</v>
      </c>
      <c r="B224" s="197" t="s">
        <v>258</v>
      </c>
      <c r="C224" s="117">
        <v>116020</v>
      </c>
      <c r="D224" s="150">
        <v>7798053651296</v>
      </c>
      <c r="E224" s="4" t="s">
        <v>263</v>
      </c>
      <c r="F224" s="33">
        <v>24</v>
      </c>
      <c r="G224" s="1">
        <f>45*0.8</f>
        <v>36</v>
      </c>
      <c r="H224" s="65"/>
      <c r="I224" s="35">
        <f t="shared" si="45"/>
        <v>0</v>
      </c>
      <c r="K224" s="5">
        <v>49.5</v>
      </c>
      <c r="M224" s="31">
        <f t="shared" si="40"/>
        <v>0.27272727272727271</v>
      </c>
      <c r="N224" s="5">
        <f t="shared" si="51"/>
        <v>55.38461538461538</v>
      </c>
      <c r="P224" s="5">
        <v>49.5</v>
      </c>
      <c r="R224" s="31">
        <f t="shared" si="41"/>
        <v>0.27272727272727271</v>
      </c>
      <c r="S224" s="5">
        <f t="shared" si="52"/>
        <v>55.38461538461538</v>
      </c>
      <c r="T224" s="132"/>
      <c r="U224" s="5">
        <v>49.5</v>
      </c>
      <c r="W224" s="31">
        <f t="shared" si="42"/>
        <v>0.27272727272727271</v>
      </c>
      <c r="X224" s="5">
        <f t="shared" si="53"/>
        <v>55.38461538461538</v>
      </c>
      <c r="Y224" s="132"/>
      <c r="Z224" s="5">
        <v>54</v>
      </c>
      <c r="AB224" s="31">
        <f t="shared" si="43"/>
        <v>0.33333333333333337</v>
      </c>
      <c r="AC224" s="5">
        <f t="shared" si="47"/>
        <v>54.000000000000007</v>
      </c>
      <c r="AD224" s="132"/>
      <c r="AE224" s="135"/>
    </row>
    <row r="225" spans="1:31" s="30" customFormat="1" ht="15.75" customHeight="1">
      <c r="A225" s="200"/>
      <c r="B225" s="198"/>
      <c r="C225" s="115">
        <v>116021</v>
      </c>
      <c r="D225" s="150">
        <v>7798053651302</v>
      </c>
      <c r="E225" s="4" t="s">
        <v>264</v>
      </c>
      <c r="F225" s="33">
        <v>24</v>
      </c>
      <c r="G225" s="1">
        <f>G224</f>
        <v>36</v>
      </c>
      <c r="H225" s="65"/>
      <c r="I225" s="35">
        <f t="shared" ref="I225:I238" si="54">G225*H225</f>
        <v>0</v>
      </c>
      <c r="K225" s="5">
        <f>K224</f>
        <v>49.5</v>
      </c>
      <c r="M225" s="31">
        <f t="shared" si="40"/>
        <v>0.27272727272727271</v>
      </c>
      <c r="N225" s="5">
        <f t="shared" si="51"/>
        <v>55.38461538461538</v>
      </c>
      <c r="P225" s="5">
        <f>P224</f>
        <v>49.5</v>
      </c>
      <c r="R225" s="31">
        <f t="shared" si="41"/>
        <v>0.27272727272727271</v>
      </c>
      <c r="S225" s="5">
        <f t="shared" si="52"/>
        <v>55.38461538461538</v>
      </c>
      <c r="T225" s="132"/>
      <c r="U225" s="5">
        <f>U224</f>
        <v>49.5</v>
      </c>
      <c r="W225" s="31">
        <f t="shared" si="42"/>
        <v>0.27272727272727271</v>
      </c>
      <c r="X225" s="5">
        <f t="shared" si="53"/>
        <v>55.38461538461538</v>
      </c>
      <c r="Y225" s="132"/>
      <c r="Z225" s="5">
        <f>Z224</f>
        <v>54</v>
      </c>
      <c r="AB225" s="31">
        <f t="shared" si="43"/>
        <v>0.33333333333333337</v>
      </c>
      <c r="AC225" s="5">
        <f t="shared" si="47"/>
        <v>54.000000000000007</v>
      </c>
      <c r="AD225" s="132"/>
      <c r="AE225" s="135"/>
    </row>
    <row r="226" spans="1:31" s="30" customFormat="1" ht="15.75" customHeight="1">
      <c r="A226" s="200"/>
      <c r="B226" s="198"/>
      <c r="C226" s="117">
        <v>116022</v>
      </c>
      <c r="D226" s="150">
        <v>7798053651425</v>
      </c>
      <c r="E226" s="4" t="s">
        <v>265</v>
      </c>
      <c r="F226" s="33">
        <v>24</v>
      </c>
      <c r="G226" s="1">
        <f>G225</f>
        <v>36</v>
      </c>
      <c r="H226" s="65"/>
      <c r="I226" s="35">
        <f t="shared" si="54"/>
        <v>0</v>
      </c>
      <c r="K226" s="5">
        <f>K225</f>
        <v>49.5</v>
      </c>
      <c r="M226" s="31">
        <f t="shared" si="40"/>
        <v>0.27272727272727271</v>
      </c>
      <c r="N226" s="5">
        <f t="shared" si="51"/>
        <v>55.38461538461538</v>
      </c>
      <c r="P226" s="5">
        <f>P225</f>
        <v>49.5</v>
      </c>
      <c r="R226" s="31">
        <f t="shared" si="41"/>
        <v>0.27272727272727271</v>
      </c>
      <c r="S226" s="5">
        <f t="shared" si="52"/>
        <v>55.38461538461538</v>
      </c>
      <c r="T226" s="132"/>
      <c r="U226" s="5">
        <f>U225</f>
        <v>49.5</v>
      </c>
      <c r="W226" s="31">
        <f t="shared" si="42"/>
        <v>0.27272727272727271</v>
      </c>
      <c r="X226" s="5">
        <f t="shared" si="53"/>
        <v>55.38461538461538</v>
      </c>
      <c r="Y226" s="132"/>
      <c r="Z226" s="5">
        <f>Z225</f>
        <v>54</v>
      </c>
      <c r="AB226" s="31">
        <f t="shared" si="43"/>
        <v>0.33333333333333337</v>
      </c>
      <c r="AC226" s="5">
        <f t="shared" si="47"/>
        <v>54.000000000000007</v>
      </c>
      <c r="AD226" s="132"/>
      <c r="AE226" s="135"/>
    </row>
    <row r="227" spans="1:31" s="30" customFormat="1" ht="15.75" customHeight="1">
      <c r="A227" s="200"/>
      <c r="B227" s="198"/>
      <c r="C227" s="115">
        <v>116023</v>
      </c>
      <c r="D227" s="150">
        <v>7798053651319</v>
      </c>
      <c r="E227" s="4" t="s">
        <v>266</v>
      </c>
      <c r="F227" s="33">
        <v>24</v>
      </c>
      <c r="G227" s="1">
        <f>G226</f>
        <v>36</v>
      </c>
      <c r="H227" s="65"/>
      <c r="I227" s="35">
        <f t="shared" si="54"/>
        <v>0</v>
      </c>
      <c r="K227" s="5">
        <f>K226</f>
        <v>49.5</v>
      </c>
      <c r="M227" s="31">
        <f t="shared" si="40"/>
        <v>0.27272727272727271</v>
      </c>
      <c r="N227" s="5">
        <f t="shared" si="51"/>
        <v>55.38461538461538</v>
      </c>
      <c r="P227" s="5">
        <f>P226</f>
        <v>49.5</v>
      </c>
      <c r="R227" s="31">
        <f t="shared" si="41"/>
        <v>0.27272727272727271</v>
      </c>
      <c r="S227" s="5">
        <f t="shared" si="52"/>
        <v>55.38461538461538</v>
      </c>
      <c r="T227" s="132"/>
      <c r="U227" s="5">
        <f>U226</f>
        <v>49.5</v>
      </c>
      <c r="W227" s="31">
        <f t="shared" si="42"/>
        <v>0.27272727272727271</v>
      </c>
      <c r="X227" s="5">
        <f t="shared" si="53"/>
        <v>55.38461538461538</v>
      </c>
      <c r="Y227" s="132"/>
      <c r="Z227" s="5">
        <f>Z226</f>
        <v>54</v>
      </c>
      <c r="AB227" s="31">
        <f t="shared" si="43"/>
        <v>0.33333333333333337</v>
      </c>
      <c r="AC227" s="5">
        <f t="shared" si="47"/>
        <v>54.000000000000007</v>
      </c>
      <c r="AD227" s="132"/>
      <c r="AE227" s="135"/>
    </row>
    <row r="228" spans="1:31" s="30" customFormat="1" ht="15.75" customHeight="1">
      <c r="A228" s="200"/>
      <c r="B228" s="198"/>
      <c r="C228" s="117">
        <v>116024</v>
      </c>
      <c r="D228" s="150">
        <v>7798053651241</v>
      </c>
      <c r="E228" s="4" t="s">
        <v>267</v>
      </c>
      <c r="F228" s="33">
        <v>24</v>
      </c>
      <c r="G228" s="1">
        <f>50*0.8</f>
        <v>40</v>
      </c>
      <c r="H228" s="65"/>
      <c r="I228" s="35">
        <f t="shared" si="54"/>
        <v>0</v>
      </c>
      <c r="K228" s="5">
        <v>57</v>
      </c>
      <c r="M228" s="31">
        <f t="shared" si="40"/>
        <v>0.29824561403508776</v>
      </c>
      <c r="N228" s="5">
        <f t="shared" si="51"/>
        <v>61.538461538461533</v>
      </c>
      <c r="P228" s="5">
        <v>57</v>
      </c>
      <c r="R228" s="31">
        <f t="shared" si="41"/>
        <v>0.29824561403508776</v>
      </c>
      <c r="S228" s="5">
        <f t="shared" si="52"/>
        <v>61.538461538461533</v>
      </c>
      <c r="T228" s="132"/>
      <c r="U228" s="5">
        <v>57</v>
      </c>
      <c r="W228" s="31">
        <f t="shared" si="42"/>
        <v>0.29824561403508776</v>
      </c>
      <c r="X228" s="5">
        <f t="shared" si="53"/>
        <v>61.538461538461533</v>
      </c>
      <c r="Y228" s="132"/>
      <c r="Z228" s="5">
        <v>60</v>
      </c>
      <c r="AB228" s="31">
        <f t="shared" si="43"/>
        <v>0.33333333333333337</v>
      </c>
      <c r="AC228" s="5">
        <f t="shared" si="47"/>
        <v>60.000000000000007</v>
      </c>
      <c r="AD228" s="132"/>
      <c r="AE228" s="135"/>
    </row>
    <row r="229" spans="1:31" s="30" customFormat="1" ht="15.75" customHeight="1">
      <c r="A229" s="200"/>
      <c r="B229" s="198"/>
      <c r="C229" s="115">
        <v>116025</v>
      </c>
      <c r="D229" s="150">
        <v>7798053651234</v>
      </c>
      <c r="E229" s="4" t="s">
        <v>268</v>
      </c>
      <c r="F229" s="33">
        <v>24</v>
      </c>
      <c r="G229" s="1">
        <f>G228</f>
        <v>40</v>
      </c>
      <c r="H229" s="65"/>
      <c r="I229" s="35">
        <f t="shared" si="54"/>
        <v>0</v>
      </c>
      <c r="K229" s="5">
        <f>K228</f>
        <v>57</v>
      </c>
      <c r="M229" s="31">
        <f t="shared" si="40"/>
        <v>0.29824561403508776</v>
      </c>
      <c r="N229" s="5">
        <f t="shared" si="51"/>
        <v>61.538461538461533</v>
      </c>
      <c r="P229" s="5">
        <f>P228</f>
        <v>57</v>
      </c>
      <c r="R229" s="31">
        <f t="shared" si="41"/>
        <v>0.29824561403508776</v>
      </c>
      <c r="S229" s="5">
        <f t="shared" si="52"/>
        <v>61.538461538461533</v>
      </c>
      <c r="T229" s="132"/>
      <c r="U229" s="5">
        <f>U228</f>
        <v>57</v>
      </c>
      <c r="W229" s="31">
        <f t="shared" si="42"/>
        <v>0.29824561403508776</v>
      </c>
      <c r="X229" s="5">
        <f t="shared" si="53"/>
        <v>61.538461538461533</v>
      </c>
      <c r="Y229" s="132"/>
      <c r="Z229" s="5">
        <f>Z228</f>
        <v>60</v>
      </c>
      <c r="AB229" s="31">
        <f t="shared" si="43"/>
        <v>0.33333333333333337</v>
      </c>
      <c r="AC229" s="5">
        <f t="shared" si="47"/>
        <v>60.000000000000007</v>
      </c>
      <c r="AD229" s="132"/>
      <c r="AE229" s="135"/>
    </row>
    <row r="230" spans="1:31" s="30" customFormat="1" ht="15.75" customHeight="1">
      <c r="A230" s="200"/>
      <c r="B230" s="198"/>
      <c r="C230" s="117">
        <v>116026</v>
      </c>
      <c r="D230" s="150">
        <v>7798053651265</v>
      </c>
      <c r="E230" s="4" t="s">
        <v>269</v>
      </c>
      <c r="F230" s="33">
        <v>24</v>
      </c>
      <c r="G230" s="1">
        <f>G227</f>
        <v>36</v>
      </c>
      <c r="H230" s="65"/>
      <c r="I230" s="35">
        <f t="shared" si="54"/>
        <v>0</v>
      </c>
      <c r="K230" s="5">
        <f>K224</f>
        <v>49.5</v>
      </c>
      <c r="M230" s="31">
        <f t="shared" si="40"/>
        <v>0.27272727272727271</v>
      </c>
      <c r="N230" s="5">
        <f t="shared" si="51"/>
        <v>55.38461538461538</v>
      </c>
      <c r="P230" s="5">
        <f>P224</f>
        <v>49.5</v>
      </c>
      <c r="R230" s="31">
        <f t="shared" si="41"/>
        <v>0.27272727272727271</v>
      </c>
      <c r="S230" s="5">
        <f t="shared" si="52"/>
        <v>55.38461538461538</v>
      </c>
      <c r="T230" s="132"/>
      <c r="U230" s="5">
        <f>U224</f>
        <v>49.5</v>
      </c>
      <c r="W230" s="31">
        <f t="shared" si="42"/>
        <v>0.27272727272727271</v>
      </c>
      <c r="X230" s="5">
        <f t="shared" si="53"/>
        <v>55.38461538461538</v>
      </c>
      <c r="Y230" s="132"/>
      <c r="Z230" s="5">
        <f>Z224</f>
        <v>54</v>
      </c>
      <c r="AB230" s="31">
        <f t="shared" si="43"/>
        <v>0.33333333333333337</v>
      </c>
      <c r="AC230" s="5">
        <f t="shared" si="47"/>
        <v>54.000000000000007</v>
      </c>
      <c r="AD230" s="132"/>
      <c r="AE230" s="135"/>
    </row>
    <row r="231" spans="1:31" s="30" customFormat="1" ht="15.75" customHeight="1">
      <c r="A231" s="200"/>
      <c r="B231" s="198"/>
      <c r="C231" s="115">
        <v>116027</v>
      </c>
      <c r="D231" s="150">
        <v>7798053651463</v>
      </c>
      <c r="E231" s="4" t="s">
        <v>270</v>
      </c>
      <c r="F231" s="33">
        <v>24</v>
      </c>
      <c r="G231" s="1">
        <f>G230</f>
        <v>36</v>
      </c>
      <c r="H231" s="65"/>
      <c r="I231" s="35">
        <f t="shared" si="54"/>
        <v>0</v>
      </c>
      <c r="K231" s="5">
        <f>K225</f>
        <v>49.5</v>
      </c>
      <c r="M231" s="31">
        <f t="shared" ref="M231:M252" si="55">1-(G231/K231)</f>
        <v>0.27272727272727271</v>
      </c>
      <c r="N231" s="5">
        <f t="shared" si="51"/>
        <v>55.38461538461538</v>
      </c>
      <c r="P231" s="5">
        <f>P225</f>
        <v>49.5</v>
      </c>
      <c r="R231" s="31">
        <f t="shared" ref="R231:R252" si="56">1-(G231/P231)</f>
        <v>0.27272727272727271</v>
      </c>
      <c r="S231" s="5">
        <f t="shared" si="52"/>
        <v>55.38461538461538</v>
      </c>
      <c r="T231" s="132"/>
      <c r="U231" s="5">
        <f>U225</f>
        <v>49.5</v>
      </c>
      <c r="W231" s="31">
        <f t="shared" ref="W231:W244" si="57">1-(G231/U231)</f>
        <v>0.27272727272727271</v>
      </c>
      <c r="X231" s="5">
        <f t="shared" si="53"/>
        <v>55.38461538461538</v>
      </c>
      <c r="Y231" s="132"/>
      <c r="Z231" s="5">
        <f>Z225</f>
        <v>54</v>
      </c>
      <c r="AB231" s="31">
        <f t="shared" si="43"/>
        <v>0.33333333333333337</v>
      </c>
      <c r="AC231" s="5">
        <f t="shared" si="47"/>
        <v>54.000000000000007</v>
      </c>
      <c r="AD231" s="132"/>
      <c r="AE231" s="135"/>
    </row>
    <row r="232" spans="1:31" s="30" customFormat="1" ht="15.75" customHeight="1">
      <c r="A232" s="200"/>
      <c r="B232" s="198"/>
      <c r="C232" s="117">
        <v>116028</v>
      </c>
      <c r="D232" s="150">
        <v>7798053650114</v>
      </c>
      <c r="E232" s="4" t="s">
        <v>271</v>
      </c>
      <c r="F232" s="33">
        <v>24</v>
      </c>
      <c r="G232" s="1">
        <f>G231</f>
        <v>36</v>
      </c>
      <c r="H232" s="65"/>
      <c r="I232" s="35">
        <f t="shared" si="54"/>
        <v>0</v>
      </c>
      <c r="K232" s="5">
        <f>K226</f>
        <v>49.5</v>
      </c>
      <c r="M232" s="31">
        <f t="shared" si="55"/>
        <v>0.27272727272727271</v>
      </c>
      <c r="N232" s="5">
        <f t="shared" si="51"/>
        <v>55.38461538461538</v>
      </c>
      <c r="P232" s="5">
        <f>P226</f>
        <v>49.5</v>
      </c>
      <c r="R232" s="31">
        <f t="shared" si="56"/>
        <v>0.27272727272727271</v>
      </c>
      <c r="S232" s="5">
        <f t="shared" si="52"/>
        <v>55.38461538461538</v>
      </c>
      <c r="T232" s="132"/>
      <c r="U232" s="5">
        <f>U226</f>
        <v>49.5</v>
      </c>
      <c r="W232" s="31">
        <f t="shared" si="57"/>
        <v>0.27272727272727271</v>
      </c>
      <c r="X232" s="5">
        <f t="shared" si="53"/>
        <v>55.38461538461538</v>
      </c>
      <c r="Y232" s="132"/>
      <c r="Z232" s="5">
        <f>Z226</f>
        <v>54</v>
      </c>
      <c r="AB232" s="31">
        <f t="shared" ref="AB232:AB245" si="58">1-($G232/Z232)</f>
        <v>0.33333333333333337</v>
      </c>
      <c r="AC232" s="5">
        <f t="shared" si="47"/>
        <v>54.000000000000007</v>
      </c>
      <c r="AD232" s="132"/>
      <c r="AE232" s="135"/>
    </row>
    <row r="233" spans="1:31" s="30" customFormat="1" ht="15.75" customHeight="1">
      <c r="A233" s="200"/>
      <c r="B233" s="198"/>
      <c r="C233" s="115">
        <v>116029</v>
      </c>
      <c r="D233" s="150">
        <v>7798053650367</v>
      </c>
      <c r="E233" s="4" t="s">
        <v>272</v>
      </c>
      <c r="F233" s="33">
        <v>24</v>
      </c>
      <c r="G233" s="1">
        <f>G232</f>
        <v>36</v>
      </c>
      <c r="H233" s="65"/>
      <c r="I233" s="35">
        <f t="shared" si="54"/>
        <v>0</v>
      </c>
      <c r="K233" s="5">
        <f>K227</f>
        <v>49.5</v>
      </c>
      <c r="M233" s="31">
        <f t="shared" si="55"/>
        <v>0.27272727272727271</v>
      </c>
      <c r="N233" s="5">
        <f t="shared" si="51"/>
        <v>55.38461538461538</v>
      </c>
      <c r="P233" s="5">
        <f>P227</f>
        <v>49.5</v>
      </c>
      <c r="R233" s="31">
        <f t="shared" si="56"/>
        <v>0.27272727272727271</v>
      </c>
      <c r="S233" s="5">
        <f t="shared" si="52"/>
        <v>55.38461538461538</v>
      </c>
      <c r="T233" s="132"/>
      <c r="U233" s="5">
        <f>U227</f>
        <v>49.5</v>
      </c>
      <c r="W233" s="31">
        <f t="shared" si="57"/>
        <v>0.27272727272727271</v>
      </c>
      <c r="X233" s="5">
        <f t="shared" si="53"/>
        <v>55.38461538461538</v>
      </c>
      <c r="Y233" s="132"/>
      <c r="Z233" s="5">
        <f>Z227</f>
        <v>54</v>
      </c>
      <c r="AB233" s="31">
        <f t="shared" si="58"/>
        <v>0.33333333333333337</v>
      </c>
      <c r="AC233" s="5">
        <f t="shared" si="47"/>
        <v>54.000000000000007</v>
      </c>
      <c r="AD233" s="132"/>
      <c r="AE233" s="135"/>
    </row>
    <row r="234" spans="1:31" s="30" customFormat="1" ht="15.75" customHeight="1">
      <c r="A234" s="200"/>
      <c r="B234" s="198"/>
      <c r="C234" s="117">
        <v>116030</v>
      </c>
      <c r="D234" s="150">
        <v>7798053650268</v>
      </c>
      <c r="E234" s="4" t="s">
        <v>273</v>
      </c>
      <c r="F234" s="33">
        <v>24</v>
      </c>
      <c r="G234" s="1">
        <f>G233</f>
        <v>36</v>
      </c>
      <c r="H234" s="65"/>
      <c r="I234" s="35">
        <f t="shared" si="54"/>
        <v>0</v>
      </c>
      <c r="K234" s="5">
        <f>K233</f>
        <v>49.5</v>
      </c>
      <c r="M234" s="31">
        <f t="shared" si="55"/>
        <v>0.27272727272727271</v>
      </c>
      <c r="N234" s="5">
        <f t="shared" si="51"/>
        <v>55.38461538461538</v>
      </c>
      <c r="P234" s="5">
        <f>P233</f>
        <v>49.5</v>
      </c>
      <c r="R234" s="31">
        <f t="shared" si="56"/>
        <v>0.27272727272727271</v>
      </c>
      <c r="S234" s="5">
        <f t="shared" si="52"/>
        <v>55.38461538461538</v>
      </c>
      <c r="T234" s="132"/>
      <c r="U234" s="5">
        <f>U233</f>
        <v>49.5</v>
      </c>
      <c r="W234" s="31">
        <f t="shared" si="57"/>
        <v>0.27272727272727271</v>
      </c>
      <c r="X234" s="5">
        <f t="shared" si="53"/>
        <v>55.38461538461538</v>
      </c>
      <c r="Y234" s="132"/>
      <c r="Z234" s="5">
        <f>Z233</f>
        <v>54</v>
      </c>
      <c r="AB234" s="31">
        <f t="shared" si="58"/>
        <v>0.33333333333333337</v>
      </c>
      <c r="AC234" s="5">
        <f t="shared" si="47"/>
        <v>54.000000000000007</v>
      </c>
      <c r="AD234" s="132"/>
      <c r="AE234" s="135"/>
    </row>
    <row r="235" spans="1:31" s="30" customFormat="1" ht="15.75" customHeight="1">
      <c r="A235" s="200"/>
      <c r="B235" s="198"/>
      <c r="C235" s="115">
        <v>116031</v>
      </c>
      <c r="D235" s="150">
        <v>7798053651432</v>
      </c>
      <c r="E235" s="4" t="s">
        <v>274</v>
      </c>
      <c r="F235" s="33">
        <v>24</v>
      </c>
      <c r="G235" s="1">
        <f>G234</f>
        <v>36</v>
      </c>
      <c r="H235" s="65"/>
      <c r="I235" s="35">
        <f t="shared" si="54"/>
        <v>0</v>
      </c>
      <c r="K235" s="5">
        <f>K234</f>
        <v>49.5</v>
      </c>
      <c r="M235" s="31">
        <f t="shared" si="55"/>
        <v>0.27272727272727271</v>
      </c>
      <c r="N235" s="5">
        <f t="shared" si="51"/>
        <v>55.38461538461538</v>
      </c>
      <c r="P235" s="5">
        <f>P234</f>
        <v>49.5</v>
      </c>
      <c r="R235" s="31">
        <f t="shared" si="56"/>
        <v>0.27272727272727271</v>
      </c>
      <c r="S235" s="5">
        <f t="shared" si="52"/>
        <v>55.38461538461538</v>
      </c>
      <c r="T235" s="132"/>
      <c r="U235" s="5">
        <f>U234</f>
        <v>49.5</v>
      </c>
      <c r="W235" s="31">
        <f t="shared" si="57"/>
        <v>0.27272727272727271</v>
      </c>
      <c r="X235" s="5">
        <f t="shared" si="53"/>
        <v>55.38461538461538</v>
      </c>
      <c r="Y235" s="132"/>
      <c r="Z235" s="5">
        <f>Z234</f>
        <v>54</v>
      </c>
      <c r="AB235" s="31">
        <f t="shared" si="58"/>
        <v>0.33333333333333337</v>
      </c>
      <c r="AC235" s="5">
        <f t="shared" si="47"/>
        <v>54.000000000000007</v>
      </c>
      <c r="AD235" s="132"/>
      <c r="AE235" s="135"/>
    </row>
    <row r="236" spans="1:31" s="30" customFormat="1" ht="15.75" customHeight="1">
      <c r="A236" s="200"/>
      <c r="B236" s="198"/>
      <c r="C236" s="117">
        <v>116032</v>
      </c>
      <c r="D236" s="150">
        <v>7798053651268</v>
      </c>
      <c r="E236" s="4" t="s">
        <v>275</v>
      </c>
      <c r="F236" s="33">
        <v>24</v>
      </c>
      <c r="G236" s="1">
        <f>G228</f>
        <v>40</v>
      </c>
      <c r="H236" s="65"/>
      <c r="I236" s="35">
        <f t="shared" si="54"/>
        <v>0</v>
      </c>
      <c r="K236" s="5">
        <f>K228</f>
        <v>57</v>
      </c>
      <c r="M236" s="31">
        <f t="shared" si="55"/>
        <v>0.29824561403508776</v>
      </c>
      <c r="N236" s="5">
        <f t="shared" si="51"/>
        <v>61.538461538461533</v>
      </c>
      <c r="P236" s="5">
        <f>P228</f>
        <v>57</v>
      </c>
      <c r="R236" s="31">
        <f t="shared" si="56"/>
        <v>0.29824561403508776</v>
      </c>
      <c r="S236" s="5">
        <f t="shared" si="52"/>
        <v>61.538461538461533</v>
      </c>
      <c r="T236" s="132"/>
      <c r="U236" s="5">
        <f>U228</f>
        <v>57</v>
      </c>
      <c r="W236" s="31">
        <f t="shared" si="57"/>
        <v>0.29824561403508776</v>
      </c>
      <c r="X236" s="5">
        <f t="shared" si="53"/>
        <v>61.538461538461533</v>
      </c>
      <c r="Y236" s="132"/>
      <c r="Z236" s="5">
        <f>Z228</f>
        <v>60</v>
      </c>
      <c r="AB236" s="31">
        <f t="shared" si="58"/>
        <v>0.33333333333333337</v>
      </c>
      <c r="AC236" s="5">
        <f t="shared" ref="AC236:AC252" si="59">($G236/0.7)*1.05</f>
        <v>60.000000000000007</v>
      </c>
      <c r="AD236" s="132"/>
      <c r="AE236" s="135"/>
    </row>
    <row r="237" spans="1:31" s="30" customFormat="1" ht="15.75" customHeight="1">
      <c r="A237" s="200"/>
      <c r="B237" s="198"/>
      <c r="C237" s="115">
        <v>116033</v>
      </c>
      <c r="D237" s="150">
        <v>7798053651401</v>
      </c>
      <c r="E237" s="4" t="s">
        <v>276</v>
      </c>
      <c r="F237" s="33">
        <v>24</v>
      </c>
      <c r="G237" s="1">
        <f>G235</f>
        <v>36</v>
      </c>
      <c r="H237" s="65"/>
      <c r="I237" s="35">
        <f t="shared" si="54"/>
        <v>0</v>
      </c>
      <c r="K237" s="5">
        <f>K235</f>
        <v>49.5</v>
      </c>
      <c r="M237" s="31">
        <f t="shared" si="55"/>
        <v>0.27272727272727271</v>
      </c>
      <c r="N237" s="5">
        <f t="shared" si="51"/>
        <v>55.38461538461538</v>
      </c>
      <c r="P237" s="5">
        <f>P235</f>
        <v>49.5</v>
      </c>
      <c r="R237" s="31">
        <f t="shared" si="56"/>
        <v>0.27272727272727271</v>
      </c>
      <c r="S237" s="5">
        <f t="shared" si="52"/>
        <v>55.38461538461538</v>
      </c>
      <c r="T237" s="132"/>
      <c r="U237" s="5">
        <f>U235</f>
        <v>49.5</v>
      </c>
      <c r="W237" s="31">
        <f t="shared" si="57"/>
        <v>0.27272727272727271</v>
      </c>
      <c r="X237" s="5">
        <f t="shared" si="53"/>
        <v>55.38461538461538</v>
      </c>
      <c r="Y237" s="132"/>
      <c r="Z237" s="5">
        <f>Z235</f>
        <v>54</v>
      </c>
      <c r="AB237" s="31">
        <f t="shared" si="58"/>
        <v>0.33333333333333337</v>
      </c>
      <c r="AC237" s="5">
        <f t="shared" si="59"/>
        <v>54.000000000000007</v>
      </c>
      <c r="AD237" s="132"/>
      <c r="AE237" s="135"/>
    </row>
    <row r="238" spans="1:31" s="30" customFormat="1" ht="15.75" customHeight="1">
      <c r="A238" s="199" t="s">
        <v>255</v>
      </c>
      <c r="B238" s="197" t="s">
        <v>256</v>
      </c>
      <c r="C238" s="115">
        <v>121001</v>
      </c>
      <c r="D238" s="141">
        <v>7798161720266</v>
      </c>
      <c r="E238" s="4" t="s">
        <v>257</v>
      </c>
      <c r="F238" s="33">
        <v>12</v>
      </c>
      <c r="G238" s="1">
        <f>21.95*0.72*(1+1%)+(15/12)</f>
        <v>17.212039999999998</v>
      </c>
      <c r="H238" s="65"/>
      <c r="I238" s="35">
        <f t="shared" si="54"/>
        <v>0</v>
      </c>
      <c r="K238" s="5">
        <v>25</v>
      </c>
      <c r="M238" s="31">
        <f t="shared" si="55"/>
        <v>0.31151840000000008</v>
      </c>
      <c r="N238" s="5">
        <f t="shared" si="51"/>
        <v>26.480061538461534</v>
      </c>
      <c r="P238" s="5">
        <v>23.5</v>
      </c>
      <c r="R238" s="31">
        <f t="shared" si="56"/>
        <v>0.26757276595744683</v>
      </c>
      <c r="S238" s="5">
        <f>$G238/0.74</f>
        <v>23.259513513513511</v>
      </c>
      <c r="T238" s="132"/>
      <c r="U238" s="5">
        <v>23.5</v>
      </c>
      <c r="W238" s="31">
        <f t="shared" si="57"/>
        <v>0.26757276595744683</v>
      </c>
      <c r="X238" s="5">
        <f>$G238/0.74</f>
        <v>23.259513513513511</v>
      </c>
      <c r="Y238" s="132"/>
      <c r="Z238" s="5">
        <v>26.25</v>
      </c>
      <c r="AB238" s="31">
        <f t="shared" si="58"/>
        <v>0.34430323809523822</v>
      </c>
      <c r="AC238" s="5">
        <f t="shared" si="59"/>
        <v>25.818060000000003</v>
      </c>
      <c r="AD238" s="132"/>
      <c r="AE238" s="135"/>
    </row>
    <row r="239" spans="1:31" s="30" customFormat="1" ht="15.75" customHeight="1">
      <c r="A239" s="200"/>
      <c r="B239" s="198"/>
      <c r="C239" s="115">
        <v>121002</v>
      </c>
      <c r="D239" s="141">
        <v>7798161720044</v>
      </c>
      <c r="E239" s="4" t="s">
        <v>279</v>
      </c>
      <c r="F239" s="33">
        <v>12</v>
      </c>
      <c r="G239" s="1">
        <f>22.36*0.72*(1+1%)+(15/12)</f>
        <v>17.510192</v>
      </c>
      <c r="H239" s="65"/>
      <c r="I239" s="35">
        <f t="shared" ref="I239:I244" si="60">G239*H239</f>
        <v>0</v>
      </c>
      <c r="K239" s="5">
        <v>26</v>
      </c>
      <c r="M239" s="31">
        <f t="shared" si="55"/>
        <v>0.32653107692307692</v>
      </c>
      <c r="N239" s="5">
        <f t="shared" si="51"/>
        <v>26.938756923076923</v>
      </c>
      <c r="P239" s="5">
        <f>P238</f>
        <v>23.5</v>
      </c>
      <c r="R239" s="31">
        <f t="shared" si="56"/>
        <v>0.25488544680851066</v>
      </c>
      <c r="S239" s="5">
        <f t="shared" ref="S239:S244" si="61">$G239/0.74</f>
        <v>23.662421621621622</v>
      </c>
      <c r="T239" s="132"/>
      <c r="U239" s="5">
        <f>U238</f>
        <v>23.5</v>
      </c>
      <c r="W239" s="31">
        <f t="shared" si="57"/>
        <v>0.25488544680851066</v>
      </c>
      <c r="X239" s="5">
        <f t="shared" ref="X239:X244" si="62">$G239/0.74</f>
        <v>23.662421621621622</v>
      </c>
      <c r="Y239" s="132"/>
      <c r="Z239" s="5">
        <v>27.3</v>
      </c>
      <c r="AB239" s="31">
        <f t="shared" si="58"/>
        <v>0.35860102564102569</v>
      </c>
      <c r="AC239" s="5">
        <f t="shared" si="59"/>
        <v>26.265288000000005</v>
      </c>
      <c r="AD239" s="132"/>
      <c r="AE239" s="135"/>
    </row>
    <row r="240" spans="1:31" s="30" customFormat="1" ht="15.75" customHeight="1">
      <c r="A240" s="200"/>
      <c r="B240" s="198"/>
      <c r="C240" s="115">
        <v>121003</v>
      </c>
      <c r="D240" s="141">
        <v>7798161720877</v>
      </c>
      <c r="E240" s="4" t="s">
        <v>280</v>
      </c>
      <c r="F240" s="33">
        <v>12</v>
      </c>
      <c r="G240" s="1">
        <f>26.774*0.72*(1+1%)+(15/12)</f>
        <v>20.720052800000001</v>
      </c>
      <c r="H240" s="65"/>
      <c r="I240" s="35">
        <f t="shared" si="60"/>
        <v>0</v>
      </c>
      <c r="K240" s="5">
        <v>30</v>
      </c>
      <c r="M240" s="31">
        <f t="shared" si="55"/>
        <v>0.30933157333333328</v>
      </c>
      <c r="N240" s="5">
        <f t="shared" si="51"/>
        <v>31.87700430769231</v>
      </c>
      <c r="P240" s="5">
        <v>28</v>
      </c>
      <c r="R240" s="31">
        <f t="shared" si="56"/>
        <v>0.25999811428571429</v>
      </c>
      <c r="S240" s="5">
        <f t="shared" si="61"/>
        <v>28.000071351351352</v>
      </c>
      <c r="T240" s="132"/>
      <c r="U240" s="5">
        <v>28</v>
      </c>
      <c r="W240" s="31">
        <f t="shared" si="57"/>
        <v>0.25999811428571429</v>
      </c>
      <c r="X240" s="5">
        <f t="shared" si="62"/>
        <v>28.000071351351352</v>
      </c>
      <c r="Y240" s="132"/>
      <c r="Z240" s="5">
        <v>31.5</v>
      </c>
      <c r="AB240" s="31">
        <f t="shared" si="58"/>
        <v>0.34222054603174601</v>
      </c>
      <c r="AC240" s="5">
        <f t="shared" si="59"/>
        <v>31.080079200000007</v>
      </c>
      <c r="AD240" s="132"/>
      <c r="AE240" s="135"/>
    </row>
    <row r="241" spans="1:31" s="30" customFormat="1" ht="15.75" customHeight="1">
      <c r="A241" s="200"/>
      <c r="B241" s="198"/>
      <c r="C241" s="115">
        <v>121004</v>
      </c>
      <c r="D241" s="141">
        <v>7798161721102</v>
      </c>
      <c r="E241" s="4" t="s">
        <v>282</v>
      </c>
      <c r="F241" s="33">
        <v>12</v>
      </c>
      <c r="G241" s="1">
        <f>30.87*0.72*(1+1%)+(15/12)</f>
        <v>23.698663999999997</v>
      </c>
      <c r="H241" s="65"/>
      <c r="I241" s="35">
        <f t="shared" si="60"/>
        <v>0</v>
      </c>
      <c r="K241" s="5">
        <v>34</v>
      </c>
      <c r="M241" s="31">
        <f t="shared" si="55"/>
        <v>0.30298047058823541</v>
      </c>
      <c r="N241" s="5">
        <f t="shared" si="51"/>
        <v>36.459483076923071</v>
      </c>
      <c r="P241" s="5">
        <v>31.9</v>
      </c>
      <c r="R241" s="31">
        <f t="shared" si="56"/>
        <v>0.2570951724137932</v>
      </c>
      <c r="S241" s="5">
        <f t="shared" si="61"/>
        <v>32.025221621621618</v>
      </c>
      <c r="T241" s="132"/>
      <c r="U241" s="5">
        <v>31.9</v>
      </c>
      <c r="W241" s="31">
        <f t="shared" si="57"/>
        <v>0.2570951724137932</v>
      </c>
      <c r="X241" s="5">
        <f t="shared" si="62"/>
        <v>32.025221621621618</v>
      </c>
      <c r="Y241" s="132"/>
      <c r="Z241" s="5">
        <v>35.700000000000003</v>
      </c>
      <c r="AB241" s="31">
        <f t="shared" si="58"/>
        <v>0.33617187675070037</v>
      </c>
      <c r="AC241" s="5">
        <f t="shared" si="59"/>
        <v>35.547995999999998</v>
      </c>
      <c r="AD241" s="132"/>
      <c r="AE241" s="135"/>
    </row>
    <row r="242" spans="1:31" s="30" customFormat="1" ht="15.75" customHeight="1">
      <c r="A242" s="200"/>
      <c r="B242" s="198"/>
      <c r="C242" s="115">
        <v>121005</v>
      </c>
      <c r="D242" s="141">
        <v>779816171096</v>
      </c>
      <c r="E242" s="4" t="s">
        <v>283</v>
      </c>
      <c r="F242" s="33">
        <v>12</v>
      </c>
      <c r="G242" s="1">
        <f>30.87*0.72*(1+1%)+(15/12)</f>
        <v>23.698663999999997</v>
      </c>
      <c r="H242" s="65"/>
      <c r="I242" s="35">
        <f t="shared" si="60"/>
        <v>0</v>
      </c>
      <c r="K242" s="5">
        <v>34</v>
      </c>
      <c r="M242" s="31">
        <f t="shared" si="55"/>
        <v>0.30298047058823541</v>
      </c>
      <c r="N242" s="5">
        <f t="shared" si="51"/>
        <v>36.459483076923071</v>
      </c>
      <c r="P242" s="5">
        <f>P241</f>
        <v>31.9</v>
      </c>
      <c r="R242" s="31">
        <f t="shared" si="56"/>
        <v>0.2570951724137932</v>
      </c>
      <c r="S242" s="5">
        <f t="shared" si="61"/>
        <v>32.025221621621618</v>
      </c>
      <c r="T242" s="132"/>
      <c r="U242" s="5">
        <f>U241</f>
        <v>31.9</v>
      </c>
      <c r="W242" s="31">
        <f t="shared" si="57"/>
        <v>0.2570951724137932</v>
      </c>
      <c r="X242" s="5">
        <f t="shared" si="62"/>
        <v>32.025221621621618</v>
      </c>
      <c r="Y242" s="132"/>
      <c r="Z242" s="5">
        <v>35.549999999999997</v>
      </c>
      <c r="AB242" s="31">
        <f t="shared" si="58"/>
        <v>0.33337091420534459</v>
      </c>
      <c r="AC242" s="5">
        <f t="shared" si="59"/>
        <v>35.547995999999998</v>
      </c>
      <c r="AD242" s="132"/>
      <c r="AE242" s="135"/>
    </row>
    <row r="243" spans="1:31" s="30" customFormat="1" ht="15.75" customHeight="1">
      <c r="A243" s="200"/>
      <c r="B243" s="198"/>
      <c r="C243" s="115">
        <v>121006</v>
      </c>
      <c r="D243" s="141">
        <v>7798161721119</v>
      </c>
      <c r="E243" s="4" t="s">
        <v>284</v>
      </c>
      <c r="F243" s="33">
        <v>12</v>
      </c>
      <c r="G243" s="1">
        <f>29.52*0.72*(1+1%)+(15/12)</f>
        <v>22.716944000000002</v>
      </c>
      <c r="H243" s="65"/>
      <c r="I243" s="35">
        <f t="shared" si="60"/>
        <v>0</v>
      </c>
      <c r="K243" s="5">
        <v>33</v>
      </c>
      <c r="M243" s="31">
        <f t="shared" si="55"/>
        <v>0.31160775757575754</v>
      </c>
      <c r="N243" s="5">
        <f t="shared" si="51"/>
        <v>34.949144615384618</v>
      </c>
      <c r="P243" s="5">
        <v>30.5</v>
      </c>
      <c r="R243" s="31">
        <f t="shared" si="56"/>
        <v>0.25518216393442616</v>
      </c>
      <c r="S243" s="5">
        <f t="shared" si="61"/>
        <v>30.698572972972975</v>
      </c>
      <c r="T243" s="132"/>
      <c r="U243" s="5">
        <v>30.5</v>
      </c>
      <c r="W243" s="31">
        <f t="shared" si="57"/>
        <v>0.25518216393442616</v>
      </c>
      <c r="X243" s="5">
        <f t="shared" si="62"/>
        <v>30.698572972972975</v>
      </c>
      <c r="Y243" s="132"/>
      <c r="Z243" s="5">
        <v>34.65</v>
      </c>
      <c r="AB243" s="31">
        <f t="shared" si="58"/>
        <v>0.34438834054834044</v>
      </c>
      <c r="AC243" s="5">
        <f t="shared" si="59"/>
        <v>34.075416000000004</v>
      </c>
      <c r="AD243" s="132"/>
      <c r="AE243" s="135"/>
    </row>
    <row r="244" spans="1:31" s="30" customFormat="1" ht="15.75" customHeight="1">
      <c r="A244" s="101"/>
      <c r="B244" s="108"/>
      <c r="C244" s="115">
        <v>121007</v>
      </c>
      <c r="D244" s="115"/>
      <c r="E244" s="4" t="s">
        <v>277</v>
      </c>
      <c r="F244" s="33">
        <v>6</v>
      </c>
      <c r="G244" s="1">
        <f>43.89*0.77</f>
        <v>33.795300000000005</v>
      </c>
      <c r="H244" s="65"/>
      <c r="I244" s="35">
        <f t="shared" si="60"/>
        <v>0</v>
      </c>
      <c r="K244" s="5">
        <v>33</v>
      </c>
      <c r="M244" s="31">
        <f t="shared" si="55"/>
        <v>-2.4100000000000232E-2</v>
      </c>
      <c r="N244" s="5">
        <f t="shared" si="51"/>
        <v>51.992769230769234</v>
      </c>
      <c r="P244" s="5">
        <v>30.5</v>
      </c>
      <c r="R244" s="31">
        <f t="shared" si="56"/>
        <v>-0.10804262295081979</v>
      </c>
      <c r="S244" s="5">
        <f t="shared" si="61"/>
        <v>45.669324324324329</v>
      </c>
      <c r="T244" s="132"/>
      <c r="U244" s="5">
        <v>30.5</v>
      </c>
      <c r="W244" s="31">
        <f t="shared" si="57"/>
        <v>-0.10804262295081979</v>
      </c>
      <c r="X244" s="5">
        <f t="shared" si="62"/>
        <v>45.669324324324329</v>
      </c>
      <c r="Y244" s="132"/>
      <c r="Z244" s="5">
        <v>0</v>
      </c>
      <c r="AB244" s="31" t="e">
        <f t="shared" si="58"/>
        <v>#DIV/0!</v>
      </c>
      <c r="AC244" s="5">
        <f t="shared" si="59"/>
        <v>50.69295000000001</v>
      </c>
      <c r="AD244" s="132"/>
      <c r="AE244" s="135"/>
    </row>
    <row r="245" spans="1:31" s="30" customFormat="1" ht="15.75" customHeight="1">
      <c r="A245" s="199" t="s">
        <v>294</v>
      </c>
      <c r="B245" s="197" t="s">
        <v>334</v>
      </c>
      <c r="C245" s="115">
        <v>122001</v>
      </c>
      <c r="D245" s="115"/>
      <c r="E245" s="110" t="s">
        <v>296</v>
      </c>
      <c r="F245" s="33">
        <v>12</v>
      </c>
      <c r="G245" s="1">
        <f>10.65*0.92</f>
        <v>9.798</v>
      </c>
      <c r="H245" s="65"/>
      <c r="I245" s="35">
        <f t="shared" ref="I245:I252" si="63">G245*H245</f>
        <v>0</v>
      </c>
      <c r="K245" s="5">
        <v>14</v>
      </c>
      <c r="M245" s="31">
        <f t="shared" si="55"/>
        <v>0.30014285714285716</v>
      </c>
      <c r="N245" s="5">
        <f>$G245/0.7</f>
        <v>13.997142857142858</v>
      </c>
      <c r="P245" s="5">
        <v>14</v>
      </c>
      <c r="R245" s="31">
        <f t="shared" si="56"/>
        <v>0.30014285714285716</v>
      </c>
      <c r="S245" s="5">
        <f>$G245/0.7</f>
        <v>13.997142857142858</v>
      </c>
      <c r="T245" s="132"/>
      <c r="U245" s="5">
        <v>14</v>
      </c>
      <c r="W245" s="31">
        <f t="shared" ref="W245:W252" si="64">1-(Q245/U245)</f>
        <v>1</v>
      </c>
      <c r="X245" s="5">
        <f>$G245/0.7</f>
        <v>13.997142857142858</v>
      </c>
      <c r="Y245" s="132"/>
      <c r="Z245" s="5">
        <v>14.7</v>
      </c>
      <c r="AB245" s="31">
        <f t="shared" si="58"/>
        <v>0.33346938775510204</v>
      </c>
      <c r="AC245" s="5">
        <f t="shared" si="59"/>
        <v>14.697000000000001</v>
      </c>
      <c r="AD245" s="132"/>
      <c r="AE245" s="135"/>
    </row>
    <row r="246" spans="1:31" s="30" customFormat="1" ht="15.75" customHeight="1">
      <c r="A246" s="200"/>
      <c r="B246" s="198"/>
      <c r="C246" s="115">
        <v>122002</v>
      </c>
      <c r="D246" s="115"/>
      <c r="E246" s="111" t="s">
        <v>297</v>
      </c>
      <c r="F246" s="33">
        <v>12</v>
      </c>
      <c r="G246" s="1">
        <f>10.65*0.92</f>
        <v>9.798</v>
      </c>
      <c r="H246" s="65"/>
      <c r="I246" s="35">
        <f t="shared" si="63"/>
        <v>0</v>
      </c>
      <c r="K246" s="5">
        <f>K245</f>
        <v>14</v>
      </c>
      <c r="M246" s="31">
        <f t="shared" si="55"/>
        <v>0.30014285714285716</v>
      </c>
      <c r="N246" s="5">
        <f t="shared" ref="N246:N252" si="65">$G246/0.7</f>
        <v>13.997142857142858</v>
      </c>
      <c r="P246" s="5">
        <f>P245</f>
        <v>14</v>
      </c>
      <c r="R246" s="31">
        <f t="shared" si="56"/>
        <v>0.30014285714285716</v>
      </c>
      <c r="S246" s="5">
        <f t="shared" ref="S246:S252" si="66">$G246/0.7</f>
        <v>13.997142857142858</v>
      </c>
      <c r="T246" s="132"/>
      <c r="U246" s="5">
        <f>U245</f>
        <v>14</v>
      </c>
      <c r="W246" s="31">
        <f t="shared" si="64"/>
        <v>1</v>
      </c>
      <c r="X246" s="5">
        <f t="shared" ref="X246:X252" si="67">$G246/0.7</f>
        <v>13.997142857142858</v>
      </c>
      <c r="Y246" s="132"/>
      <c r="Z246" s="5">
        <f>Z245</f>
        <v>14.7</v>
      </c>
      <c r="AB246" s="31">
        <f t="shared" ref="AB246:AB252" si="68">1-($G246/Z246)</f>
        <v>0.33346938775510204</v>
      </c>
      <c r="AC246" s="5">
        <f t="shared" si="59"/>
        <v>14.697000000000001</v>
      </c>
      <c r="AD246" s="132"/>
      <c r="AE246" s="135"/>
    </row>
    <row r="247" spans="1:31" s="30" customFormat="1" ht="15.75" customHeight="1">
      <c r="A247" s="200"/>
      <c r="B247" s="198"/>
      <c r="C247" s="115">
        <v>122003</v>
      </c>
      <c r="D247" s="115"/>
      <c r="E247" s="111" t="s">
        <v>298</v>
      </c>
      <c r="F247" s="33">
        <v>12</v>
      </c>
      <c r="G247" s="1">
        <f>10.65*0.92</f>
        <v>9.798</v>
      </c>
      <c r="H247" s="65"/>
      <c r="I247" s="35">
        <f t="shared" si="63"/>
        <v>0</v>
      </c>
      <c r="K247" s="5">
        <f>K245</f>
        <v>14</v>
      </c>
      <c r="M247" s="31">
        <f t="shared" si="55"/>
        <v>0.30014285714285716</v>
      </c>
      <c r="N247" s="5">
        <f t="shared" si="65"/>
        <v>13.997142857142858</v>
      </c>
      <c r="P247" s="5">
        <f>P245</f>
        <v>14</v>
      </c>
      <c r="R247" s="31">
        <f t="shared" si="56"/>
        <v>0.30014285714285716</v>
      </c>
      <c r="S247" s="5">
        <f t="shared" si="66"/>
        <v>13.997142857142858</v>
      </c>
      <c r="T247" s="132"/>
      <c r="U247" s="5">
        <f>U245</f>
        <v>14</v>
      </c>
      <c r="W247" s="31">
        <f t="shared" si="64"/>
        <v>1</v>
      </c>
      <c r="X247" s="5">
        <f t="shared" si="67"/>
        <v>13.997142857142858</v>
      </c>
      <c r="Y247" s="132"/>
      <c r="Z247" s="5">
        <f>Z245</f>
        <v>14.7</v>
      </c>
      <c r="AB247" s="31">
        <f t="shared" si="68"/>
        <v>0.33346938775510204</v>
      </c>
      <c r="AC247" s="5">
        <f t="shared" si="59"/>
        <v>14.697000000000001</v>
      </c>
      <c r="AD247" s="132"/>
      <c r="AE247" s="135"/>
    </row>
    <row r="248" spans="1:31" s="30" customFormat="1" ht="15.75" customHeight="1">
      <c r="A248" s="200"/>
      <c r="B248" s="198"/>
      <c r="C248" s="115">
        <v>122004</v>
      </c>
      <c r="D248" s="115"/>
      <c r="E248" s="111" t="s">
        <v>299</v>
      </c>
      <c r="F248" s="33">
        <v>12</v>
      </c>
      <c r="G248" s="1">
        <f>10.65*0.92</f>
        <v>9.798</v>
      </c>
      <c r="H248" s="65"/>
      <c r="I248" s="35">
        <f t="shared" si="63"/>
        <v>0</v>
      </c>
      <c r="K248" s="5">
        <f>K245</f>
        <v>14</v>
      </c>
      <c r="M248" s="31">
        <f t="shared" si="55"/>
        <v>0.30014285714285716</v>
      </c>
      <c r="N248" s="5">
        <f t="shared" si="65"/>
        <v>13.997142857142858</v>
      </c>
      <c r="P248" s="5">
        <f>P245</f>
        <v>14</v>
      </c>
      <c r="R248" s="31">
        <f t="shared" si="56"/>
        <v>0.30014285714285716</v>
      </c>
      <c r="S248" s="5">
        <f t="shared" si="66"/>
        <v>13.997142857142858</v>
      </c>
      <c r="T248" s="132"/>
      <c r="U248" s="5">
        <f>U245</f>
        <v>14</v>
      </c>
      <c r="W248" s="31">
        <f t="shared" si="64"/>
        <v>1</v>
      </c>
      <c r="X248" s="5">
        <f t="shared" si="67"/>
        <v>13.997142857142858</v>
      </c>
      <c r="Y248" s="132"/>
      <c r="Z248" s="5">
        <f>Z245</f>
        <v>14.7</v>
      </c>
      <c r="AB248" s="31">
        <f t="shared" si="68"/>
        <v>0.33346938775510204</v>
      </c>
      <c r="AC248" s="5">
        <f t="shared" si="59"/>
        <v>14.697000000000001</v>
      </c>
      <c r="AD248" s="132"/>
      <c r="AE248" s="135"/>
    </row>
    <row r="249" spans="1:31" s="30" customFormat="1" ht="15.75" customHeight="1">
      <c r="A249" s="200"/>
      <c r="B249" s="197" t="s">
        <v>295</v>
      </c>
      <c r="C249" s="115">
        <v>122005</v>
      </c>
      <c r="D249" s="115"/>
      <c r="E249" s="111" t="s">
        <v>300</v>
      </c>
      <c r="F249" s="33">
        <v>20</v>
      </c>
      <c r="G249" s="1">
        <f>10.1*0.92</f>
        <v>9.2919999999999998</v>
      </c>
      <c r="H249" s="65"/>
      <c r="I249" s="35">
        <f t="shared" si="63"/>
        <v>0</v>
      </c>
      <c r="K249" s="5">
        <v>13.3</v>
      </c>
      <c r="M249" s="31">
        <f t="shared" si="55"/>
        <v>0.30135338345864671</v>
      </c>
      <c r="N249" s="5">
        <f t="shared" si="65"/>
        <v>13.274285714285714</v>
      </c>
      <c r="P249" s="5">
        <v>13.3</v>
      </c>
      <c r="R249" s="31">
        <f t="shared" si="56"/>
        <v>0.30135338345864671</v>
      </c>
      <c r="S249" s="5">
        <f t="shared" si="66"/>
        <v>13.274285714285714</v>
      </c>
      <c r="T249" s="132"/>
      <c r="U249" s="5">
        <v>13.3</v>
      </c>
      <c r="W249" s="31">
        <f t="shared" si="64"/>
        <v>1</v>
      </c>
      <c r="X249" s="5">
        <f t="shared" si="67"/>
        <v>13.274285714285714</v>
      </c>
      <c r="Y249" s="132"/>
      <c r="Z249" s="5">
        <v>13.94</v>
      </c>
      <c r="AB249" s="31">
        <f t="shared" si="68"/>
        <v>0.33342898134863697</v>
      </c>
      <c r="AC249" s="5">
        <f t="shared" si="59"/>
        <v>13.938000000000001</v>
      </c>
      <c r="AD249" s="132"/>
      <c r="AE249" s="135"/>
    </row>
    <row r="250" spans="1:31" s="30" customFormat="1" ht="15.75" customHeight="1">
      <c r="A250" s="200"/>
      <c r="B250" s="198"/>
      <c r="C250" s="115">
        <v>122006</v>
      </c>
      <c r="D250" s="115"/>
      <c r="E250" s="111" t="s">
        <v>301</v>
      </c>
      <c r="F250" s="33">
        <v>20</v>
      </c>
      <c r="G250" s="1">
        <f>10.1*0.92</f>
        <v>9.2919999999999998</v>
      </c>
      <c r="H250" s="65"/>
      <c r="I250" s="35">
        <f t="shared" si="63"/>
        <v>0</v>
      </c>
      <c r="K250" s="5">
        <f>K249</f>
        <v>13.3</v>
      </c>
      <c r="M250" s="31">
        <f t="shared" si="55"/>
        <v>0.30135338345864671</v>
      </c>
      <c r="N250" s="5">
        <f t="shared" si="65"/>
        <v>13.274285714285714</v>
      </c>
      <c r="P250" s="5">
        <f>P249</f>
        <v>13.3</v>
      </c>
      <c r="R250" s="31">
        <f t="shared" si="56"/>
        <v>0.30135338345864671</v>
      </c>
      <c r="S250" s="5">
        <f t="shared" si="66"/>
        <v>13.274285714285714</v>
      </c>
      <c r="T250" s="132"/>
      <c r="U250" s="5">
        <f>U249</f>
        <v>13.3</v>
      </c>
      <c r="W250" s="31">
        <f t="shared" si="64"/>
        <v>1</v>
      </c>
      <c r="X250" s="5">
        <f t="shared" si="67"/>
        <v>13.274285714285714</v>
      </c>
      <c r="Y250" s="132"/>
      <c r="Z250" s="5">
        <f>Z249</f>
        <v>13.94</v>
      </c>
      <c r="AB250" s="31">
        <f t="shared" si="68"/>
        <v>0.33342898134863697</v>
      </c>
      <c r="AC250" s="5">
        <f t="shared" si="59"/>
        <v>13.938000000000001</v>
      </c>
      <c r="AD250" s="132"/>
      <c r="AE250" s="135"/>
    </row>
    <row r="251" spans="1:31" s="30" customFormat="1" ht="15.75" customHeight="1">
      <c r="A251" s="200"/>
      <c r="B251" s="198"/>
      <c r="C251" s="115">
        <v>122007</v>
      </c>
      <c r="D251" s="115"/>
      <c r="E251" s="111" t="s">
        <v>302</v>
      </c>
      <c r="F251" s="33">
        <v>20</v>
      </c>
      <c r="G251" s="1">
        <f>10.1*0.92</f>
        <v>9.2919999999999998</v>
      </c>
      <c r="H251" s="65"/>
      <c r="I251" s="35">
        <f t="shared" si="63"/>
        <v>0</v>
      </c>
      <c r="K251" s="5">
        <f>K249</f>
        <v>13.3</v>
      </c>
      <c r="M251" s="31">
        <f t="shared" si="55"/>
        <v>0.30135338345864671</v>
      </c>
      <c r="N251" s="5">
        <f t="shared" si="65"/>
        <v>13.274285714285714</v>
      </c>
      <c r="P251" s="5">
        <f>P249</f>
        <v>13.3</v>
      </c>
      <c r="R251" s="31">
        <f t="shared" si="56"/>
        <v>0.30135338345864671</v>
      </c>
      <c r="S251" s="5">
        <f t="shared" si="66"/>
        <v>13.274285714285714</v>
      </c>
      <c r="T251" s="132"/>
      <c r="U251" s="5">
        <f>U249</f>
        <v>13.3</v>
      </c>
      <c r="W251" s="31">
        <f t="shared" si="64"/>
        <v>1</v>
      </c>
      <c r="X251" s="5">
        <f t="shared" si="67"/>
        <v>13.274285714285714</v>
      </c>
      <c r="Y251" s="132"/>
      <c r="Z251" s="5">
        <f>Z249</f>
        <v>13.94</v>
      </c>
      <c r="AB251" s="31">
        <f t="shared" si="68"/>
        <v>0.33342898134863697</v>
      </c>
      <c r="AC251" s="5">
        <f t="shared" si="59"/>
        <v>13.938000000000001</v>
      </c>
      <c r="AD251" s="132"/>
      <c r="AE251" s="135"/>
    </row>
    <row r="252" spans="1:31" s="30" customFormat="1" ht="15.75" customHeight="1">
      <c r="A252" s="201"/>
      <c r="B252" s="198"/>
      <c r="C252" s="115">
        <v>122008</v>
      </c>
      <c r="D252" s="115"/>
      <c r="E252" s="111" t="s">
        <v>303</v>
      </c>
      <c r="F252" s="33">
        <v>20</v>
      </c>
      <c r="G252" s="1">
        <f>10.1*0.92</f>
        <v>9.2919999999999998</v>
      </c>
      <c r="H252" s="65"/>
      <c r="I252" s="35">
        <f t="shared" si="63"/>
        <v>0</v>
      </c>
      <c r="K252" s="5">
        <f>K249</f>
        <v>13.3</v>
      </c>
      <c r="M252" s="31">
        <f t="shared" si="55"/>
        <v>0.30135338345864671</v>
      </c>
      <c r="N252" s="5">
        <f t="shared" si="65"/>
        <v>13.274285714285714</v>
      </c>
      <c r="P252" s="5">
        <f>P249</f>
        <v>13.3</v>
      </c>
      <c r="R252" s="31">
        <f t="shared" si="56"/>
        <v>0.30135338345864671</v>
      </c>
      <c r="S252" s="5">
        <f t="shared" si="66"/>
        <v>13.274285714285714</v>
      </c>
      <c r="T252" s="132"/>
      <c r="U252" s="5">
        <f>U249</f>
        <v>13.3</v>
      </c>
      <c r="W252" s="31">
        <f t="shared" si="64"/>
        <v>1</v>
      </c>
      <c r="X252" s="5">
        <f t="shared" si="67"/>
        <v>13.274285714285714</v>
      </c>
      <c r="Y252" s="132"/>
      <c r="Z252" s="5">
        <f>Z249</f>
        <v>13.94</v>
      </c>
      <c r="AB252" s="31">
        <f t="shared" si="68"/>
        <v>0.33342898134863697</v>
      </c>
      <c r="AC252" s="5">
        <f t="shared" si="59"/>
        <v>13.938000000000001</v>
      </c>
      <c r="AD252" s="132"/>
      <c r="AE252" s="135"/>
    </row>
    <row r="253" spans="1:31" s="30" customFormat="1" ht="15.75" customHeight="1">
      <c r="A253" s="101"/>
      <c r="B253" s="108"/>
      <c r="C253" s="115"/>
      <c r="D253" s="115"/>
      <c r="E253" s="4"/>
      <c r="F253" s="33"/>
      <c r="G253" s="1"/>
      <c r="H253" s="65"/>
      <c r="I253" s="35"/>
      <c r="K253" s="5"/>
      <c r="M253" s="31"/>
      <c r="N253" s="5"/>
      <c r="P253" s="5"/>
      <c r="R253" s="31"/>
      <c r="S253" s="5"/>
      <c r="T253" s="132"/>
      <c r="U253" s="5"/>
      <c r="W253" s="31"/>
      <c r="X253" s="5"/>
      <c r="Y253" s="132"/>
      <c r="Z253" s="5"/>
      <c r="AB253" s="31"/>
      <c r="AC253" s="5"/>
      <c r="AD253" s="132"/>
      <c r="AE253" s="135"/>
    </row>
    <row r="254" spans="1:31" s="30" customFormat="1" ht="15.75" customHeight="1">
      <c r="A254" s="101"/>
      <c r="B254" s="108"/>
      <c r="C254" s="115"/>
      <c r="D254" s="115"/>
      <c r="E254" s="4"/>
      <c r="F254" s="33"/>
      <c r="G254" s="1"/>
      <c r="H254" s="65"/>
      <c r="I254" s="35"/>
      <c r="K254" s="5"/>
      <c r="M254" s="31"/>
      <c r="N254" s="5"/>
      <c r="P254" s="5"/>
      <c r="R254" s="31"/>
      <c r="S254" s="5"/>
      <c r="T254" s="132"/>
      <c r="U254" s="5"/>
      <c r="W254" s="31"/>
      <c r="X254" s="5"/>
      <c r="Y254" s="132"/>
      <c r="Z254" s="5"/>
      <c r="AB254" s="31"/>
      <c r="AC254" s="5"/>
      <c r="AD254" s="132"/>
      <c r="AE254" s="135"/>
    </row>
    <row r="255" spans="1:31" s="30" customFormat="1" ht="15.75" customHeight="1">
      <c r="A255" s="102"/>
      <c r="B255" s="108"/>
      <c r="C255" s="115"/>
      <c r="D255" s="115"/>
      <c r="E255" s="73"/>
      <c r="F255" s="33"/>
      <c r="G255" s="47"/>
      <c r="H255" s="34"/>
      <c r="I255" s="35"/>
      <c r="K255" s="5"/>
      <c r="L255" s="32"/>
      <c r="M255" s="31"/>
      <c r="N255" s="5"/>
      <c r="P255" s="5"/>
      <c r="Q255" s="32"/>
      <c r="R255" s="31"/>
      <c r="S255" s="5"/>
      <c r="T255" s="132"/>
      <c r="U255" s="5"/>
      <c r="V255" s="32"/>
      <c r="W255" s="31"/>
      <c r="X255" s="5"/>
      <c r="Y255" s="132"/>
      <c r="Z255" s="5"/>
      <c r="AA255" s="32"/>
      <c r="AB255" s="31"/>
      <c r="AC255" s="5"/>
      <c r="AD255" s="132"/>
      <c r="AE255" s="135"/>
    </row>
    <row r="256" spans="1:31" s="30" customFormat="1" ht="15.75" customHeight="1">
      <c r="A256" s="74"/>
      <c r="B256" s="74"/>
      <c r="C256" s="124"/>
      <c r="D256" s="124"/>
      <c r="E256" s="75"/>
      <c r="F256" s="76"/>
      <c r="G256" s="77"/>
      <c r="H256" s="78"/>
      <c r="I256" s="79"/>
      <c r="AE256" s="136"/>
    </row>
    <row r="257" spans="1:31" s="30" customFormat="1" ht="15.75" customHeight="1">
      <c r="A257" s="74"/>
      <c r="B257" s="74"/>
      <c r="C257" s="124"/>
      <c r="D257" s="124"/>
      <c r="E257" s="75"/>
      <c r="F257" s="76"/>
      <c r="G257" s="77">
        <f>51.1665/12</f>
        <v>4.2638749999999996</v>
      </c>
      <c r="H257" s="78"/>
      <c r="I257" s="79"/>
      <c r="AE257" s="136"/>
    </row>
    <row r="258" spans="1:31" s="30" customFormat="1" ht="15.75" customHeight="1">
      <c r="A258" s="74"/>
      <c r="B258" s="74"/>
      <c r="C258" s="124"/>
      <c r="D258" s="124"/>
      <c r="E258" s="75"/>
      <c r="F258" s="76"/>
      <c r="G258" s="77"/>
      <c r="H258" s="78"/>
      <c r="I258" s="79"/>
      <c r="AE258" s="136"/>
    </row>
    <row r="259" spans="1:31" s="30" customFormat="1" ht="15.75" customHeight="1">
      <c r="A259" s="74"/>
      <c r="B259" s="74"/>
      <c r="C259" s="124"/>
      <c r="D259" s="124"/>
      <c r="E259" s="75"/>
      <c r="F259" s="76"/>
      <c r="G259" s="77"/>
      <c r="H259" s="78"/>
      <c r="I259" s="79"/>
      <c r="AE259" s="136"/>
    </row>
    <row r="260" spans="1:31" s="30" customFormat="1" ht="15.75" customHeight="1">
      <c r="A260" s="74"/>
      <c r="B260" s="74"/>
      <c r="C260" s="124"/>
      <c r="D260" s="124"/>
      <c r="E260" s="75"/>
      <c r="F260" s="76"/>
      <c r="G260" s="77"/>
      <c r="H260" s="78"/>
      <c r="I260" s="79"/>
      <c r="AE260" s="136"/>
    </row>
    <row r="261" spans="1:31" s="30" customFormat="1" ht="15.75" customHeight="1">
      <c r="B261" s="104"/>
      <c r="C261" s="125"/>
      <c r="D261" s="125"/>
      <c r="H261" s="80" t="s">
        <v>55</v>
      </c>
      <c r="I261" s="1">
        <f>SUM(I11:I255)</f>
        <v>0</v>
      </c>
      <c r="AE261" s="136"/>
    </row>
    <row r="262" spans="1:31" s="30" customFormat="1" ht="15.75" customHeight="1">
      <c r="B262" s="104"/>
      <c r="C262" s="125"/>
      <c r="D262" s="125"/>
      <c r="H262" s="80">
        <v>21</v>
      </c>
      <c r="I262" s="59">
        <f>I261*0.21</f>
        <v>0</v>
      </c>
      <c r="J262" s="81"/>
      <c r="AE262" s="136"/>
    </row>
    <row r="263" spans="1:31" s="30" customFormat="1" ht="15.75" customHeight="1">
      <c r="B263" s="104"/>
      <c r="C263" s="125"/>
      <c r="D263" s="125"/>
      <c r="H263" s="80" t="s">
        <v>122</v>
      </c>
      <c r="I263" s="59">
        <f>I261+I262</f>
        <v>0</v>
      </c>
      <c r="AE263" s="136"/>
    </row>
    <row r="264" spans="1:31" s="30" customFormat="1" ht="15.75" customHeight="1">
      <c r="B264" s="104"/>
      <c r="C264" s="125"/>
      <c r="D264" s="125"/>
      <c r="H264" s="80"/>
      <c r="I264" s="82"/>
      <c r="AE264" s="136"/>
    </row>
    <row r="265" spans="1:31" s="30" customFormat="1" ht="15.75" customHeight="1">
      <c r="B265" s="104"/>
      <c r="C265" s="125"/>
      <c r="D265" s="125"/>
      <c r="H265" s="80"/>
      <c r="I265" s="82"/>
      <c r="AE265" s="136"/>
    </row>
    <row r="266" spans="1:31" s="30" customFormat="1">
      <c r="B266" s="104"/>
      <c r="C266" s="125"/>
      <c r="D266" s="125"/>
      <c r="H266" s="80"/>
      <c r="I266" s="82"/>
      <c r="AE266" s="136"/>
    </row>
    <row r="267" spans="1:31" s="30" customFormat="1">
      <c r="B267" s="104"/>
      <c r="C267" s="125"/>
      <c r="D267" s="125"/>
      <c r="H267" s="80"/>
      <c r="I267" s="82"/>
      <c r="AE267" s="136"/>
    </row>
    <row r="268" spans="1:31" s="30" customFormat="1">
      <c r="B268" s="104"/>
      <c r="C268" s="125"/>
      <c r="D268" s="125"/>
      <c r="I268" s="80"/>
      <c r="AE268" s="136"/>
    </row>
    <row r="269" spans="1:31" s="30" customFormat="1">
      <c r="B269" s="104"/>
      <c r="C269" s="125"/>
      <c r="D269" s="125"/>
      <c r="H269" s="80"/>
      <c r="I269" s="82"/>
      <c r="AE269" s="136"/>
    </row>
    <row r="270" spans="1:31" s="30" customFormat="1">
      <c r="B270" s="104"/>
      <c r="C270" s="125"/>
      <c r="D270" s="125"/>
      <c r="H270" s="80"/>
      <c r="I270" s="82"/>
      <c r="AE270" s="136"/>
    </row>
    <row r="271" spans="1:31" s="30" customFormat="1">
      <c r="B271" s="104"/>
      <c r="C271" s="125"/>
      <c r="D271" s="125"/>
      <c r="H271" s="80"/>
      <c r="I271" s="82"/>
      <c r="AE271" s="136"/>
    </row>
    <row r="272" spans="1:31" s="30" customFormat="1">
      <c r="B272" s="104"/>
      <c r="C272" s="125"/>
      <c r="D272" s="125"/>
      <c r="H272" s="80"/>
      <c r="I272" s="82"/>
      <c r="AE272" s="136"/>
    </row>
    <row r="273" spans="1:31" s="30" customFormat="1">
      <c r="A273" s="10"/>
      <c r="B273" s="106"/>
      <c r="C273" s="113"/>
      <c r="D273" s="113"/>
      <c r="E273" s="10"/>
      <c r="F273" s="11"/>
      <c r="G273" s="10"/>
      <c r="H273" s="12"/>
      <c r="I273" s="14"/>
      <c r="J273" s="10"/>
      <c r="K273" s="10"/>
      <c r="L273" s="10"/>
      <c r="M273" s="10"/>
      <c r="N273" s="10"/>
      <c r="P273" s="10"/>
      <c r="Q273" s="10"/>
      <c r="R273" s="10"/>
      <c r="S273" s="10"/>
      <c r="T273" s="10"/>
      <c r="U273" s="10"/>
      <c r="V273" s="10"/>
      <c r="W273" s="10"/>
      <c r="X273" s="10"/>
      <c r="Y273" s="10"/>
      <c r="Z273" s="10"/>
      <c r="AA273" s="10"/>
      <c r="AB273" s="10"/>
      <c r="AC273" s="10"/>
      <c r="AD273" s="10"/>
      <c r="AE273" s="133"/>
    </row>
    <row r="274" spans="1:31" s="30" customFormat="1">
      <c r="A274" s="10"/>
      <c r="B274" s="106"/>
      <c r="C274" s="113"/>
      <c r="D274" s="113"/>
      <c r="E274" s="10"/>
      <c r="F274" s="11"/>
      <c r="G274" s="10"/>
      <c r="H274" s="12"/>
      <c r="I274" s="14"/>
      <c r="J274" s="10"/>
      <c r="K274" s="10"/>
      <c r="L274" s="10"/>
      <c r="M274" s="10"/>
      <c r="N274" s="10"/>
      <c r="P274" s="10"/>
      <c r="Q274" s="10"/>
      <c r="R274" s="10"/>
      <c r="S274" s="10"/>
      <c r="T274" s="10"/>
      <c r="U274" s="10"/>
      <c r="V274" s="10"/>
      <c r="W274" s="10"/>
      <c r="X274" s="10"/>
      <c r="Y274" s="10"/>
      <c r="Z274" s="10"/>
      <c r="AA274" s="10"/>
      <c r="AB274" s="10"/>
      <c r="AC274" s="10"/>
      <c r="AD274" s="10"/>
      <c r="AE274" s="133"/>
    </row>
    <row r="275" spans="1:31" s="30" customFormat="1">
      <c r="A275" s="10"/>
      <c r="B275" s="106"/>
      <c r="C275" s="113"/>
      <c r="D275" s="113"/>
      <c r="E275" s="10"/>
      <c r="F275" s="11"/>
      <c r="G275" s="10"/>
      <c r="H275" s="12"/>
      <c r="I275" s="14"/>
      <c r="J275" s="10"/>
      <c r="K275" s="10"/>
      <c r="L275" s="10"/>
      <c r="M275" s="10"/>
      <c r="N275" s="10"/>
      <c r="P275" s="10"/>
      <c r="Q275" s="10"/>
      <c r="R275" s="10"/>
      <c r="S275" s="10"/>
      <c r="T275" s="10"/>
      <c r="U275" s="10"/>
      <c r="V275" s="10"/>
      <c r="W275" s="10"/>
      <c r="X275" s="10"/>
      <c r="Y275" s="10"/>
      <c r="Z275" s="10"/>
      <c r="AA275" s="10"/>
      <c r="AB275" s="10"/>
      <c r="AC275" s="10"/>
      <c r="AD275" s="10"/>
      <c r="AE275" s="133"/>
    </row>
  </sheetData>
  <sheetProtection selectLockedCells="1" selectUnlockedCells="1"/>
  <autoFilter ref="A10:I261"/>
  <mergeCells count="63">
    <mergeCell ref="U3:X3"/>
    <mergeCell ref="Z3:AC3"/>
    <mergeCell ref="A224:A237"/>
    <mergeCell ref="B217:B223"/>
    <mergeCell ref="A217:A223"/>
    <mergeCell ref="A6:E6"/>
    <mergeCell ref="K3:N3"/>
    <mergeCell ref="P3:S3"/>
    <mergeCell ref="B143:B150"/>
    <mergeCell ref="B200:B203"/>
    <mergeCell ref="A204:A209"/>
    <mergeCell ref="B245:B248"/>
    <mergeCell ref="B249:B252"/>
    <mergeCell ref="A245:A252"/>
    <mergeCell ref="A238:A243"/>
    <mergeCell ref="B238:B243"/>
    <mergeCell ref="B224:B237"/>
    <mergeCell ref="A171:A203"/>
    <mergeCell ref="B178:B184"/>
    <mergeCell ref="B162:B163"/>
    <mergeCell ref="B164:B167"/>
    <mergeCell ref="A143:A150"/>
    <mergeCell ref="B185:B190"/>
    <mergeCell ref="A162:A170"/>
    <mergeCell ref="B168:B170"/>
    <mergeCell ref="A151:A153"/>
    <mergeCell ref="B138:B142"/>
    <mergeCell ref="A155:A161"/>
    <mergeCell ref="B120:B123"/>
    <mergeCell ref="A11:A23"/>
    <mergeCell ref="A24:A31"/>
    <mergeCell ref="B80:B84"/>
    <mergeCell ref="A138:A142"/>
    <mergeCell ref="B75:B79"/>
    <mergeCell ref="B128:B133"/>
    <mergeCell ref="A32:A36"/>
    <mergeCell ref="B134:B137"/>
    <mergeCell ref="A42:A62"/>
    <mergeCell ref="B124:B127"/>
    <mergeCell ref="G6:I6"/>
    <mergeCell ref="H8:I8"/>
    <mergeCell ref="B11:B23"/>
    <mergeCell ref="B63:B67"/>
    <mergeCell ref="B39:B40"/>
    <mergeCell ref="H9:I9"/>
    <mergeCell ref="B24:B31"/>
    <mergeCell ref="B32:B36"/>
    <mergeCell ref="A39:A40"/>
    <mergeCell ref="B100:B119"/>
    <mergeCell ref="B210:B216"/>
    <mergeCell ref="B72:B73"/>
    <mergeCell ref="A68:A84"/>
    <mergeCell ref="A210:A216"/>
    <mergeCell ref="B172:B177"/>
    <mergeCell ref="B191:B199"/>
    <mergeCell ref="B204:B209"/>
    <mergeCell ref="B68:B71"/>
    <mergeCell ref="A63:A67"/>
    <mergeCell ref="B85:B92"/>
    <mergeCell ref="A128:A137"/>
    <mergeCell ref="A85:A99"/>
    <mergeCell ref="B93:B99"/>
    <mergeCell ref="A100:A127"/>
  </mergeCells>
  <phoneticPr fontId="0" type="noConversion"/>
  <conditionalFormatting sqref="AB11:AB255 M11:M255 R11:R255 W11:W255">
    <cfRule type="cellIs" dxfId="1" priority="111" stopIfTrue="1" operator="between">
      <formula>0</formula>
      <formula>0.23</formula>
    </cfRule>
    <cfRule type="cellIs" dxfId="0" priority="112" stopIfTrue="1" operator="between">
      <formula>0.23</formula>
      <formula>0.27</formula>
    </cfRule>
  </conditionalFormatting>
  <printOptions horizontalCentered="1"/>
  <pageMargins left="0.05" right="0.04" top="0.56999999999999995" bottom="0.45" header="0.22" footer="0.22"/>
  <pageSetup paperSize="9" orientation="portrait" horizontalDpi="300" verticalDpi="300" r:id="rId1"/>
  <headerFooter alignWithMargins="0">
    <oddHeader xml:space="preserve">&amp;R
</oddHeader>
  </headerFooter>
  <rowBreaks count="1" manualBreakCount="1">
    <brk id="261" max="7" man="1"/>
  </rowBreaks>
  <legacyDrawing r:id="rId2"/>
</worksheet>
</file>

<file path=xl/worksheets/sheet2.xml><?xml version="1.0" encoding="utf-8"?>
<worksheet xmlns="http://schemas.openxmlformats.org/spreadsheetml/2006/main" xmlns:r="http://schemas.openxmlformats.org/officeDocument/2006/relationships">
  <dimension ref="A1:D241"/>
  <sheetViews>
    <sheetView tabSelected="1" workbookViewId="0"/>
  </sheetViews>
  <sheetFormatPr baseColWidth="10" defaultRowHeight="12.75"/>
  <cols>
    <col min="1" max="1" width="9" style="215" bestFit="1" customWidth="1"/>
    <col min="2" max="2" width="63.140625" style="215" bestFit="1" customWidth="1"/>
    <col min="3" max="3" width="54.5703125" style="215" customWidth="1"/>
    <col min="4" max="16384" width="11.42578125" style="215"/>
  </cols>
  <sheetData>
    <row r="1" spans="1:4" ht="15">
      <c r="A1" s="124">
        <v>100001</v>
      </c>
      <c r="B1" s="214" t="s">
        <v>100</v>
      </c>
      <c r="C1" s="215" t="str">
        <f>"insert Articulo (Cuit, IdArticulo, DescrArticulo, GTIN, IdUnidad, DescrUnidad, IndicacionExentoGravado, AlicuotaIVA, IdWF, Estado) values ('27165995703', '" &amp; A1 &amp; "', '" &amp; B1 &amp; "', '', '7', 'Unidad', 'G', 21, 0, 'Vigente')"</f>
        <v>insert Articulo (Cuit, IdArticulo, DescrArticulo, GTIN, IdUnidad, DescrUnidad, IndicacionExentoGravado, AlicuotaIVA, IdWF, Estado) values ('27165995703', '100001', 'Iluminé', '', '7', 'Unidad', 'G', 21, 0, 'Vigente')</v>
      </c>
      <c r="D1" s="215">
        <f>+A1</f>
        <v>100001</v>
      </c>
    </row>
    <row r="2" spans="1:4" ht="15">
      <c r="A2" s="124">
        <v>100002</v>
      </c>
      <c r="B2" s="214" t="s">
        <v>101</v>
      </c>
      <c r="C2" s="215" t="str">
        <f t="shared" ref="C2:C65" si="0">"insert Articulo (Cuit, IdArticulo, DescrArticulo, GTIN, IdUnidad, DescrUnidad, IndicacionExentoGravado, AlicuotaIVA, IdWF, Estado) values ('27165995703', '" &amp; A2 &amp; "', '" &amp; B2 &amp; "', '', '7', 'Unidad', 'G', 21, 0, 'Vigente')"</f>
        <v>insert Articulo (Cuit, IdArticulo, DescrArticulo, GTIN, IdUnidad, DescrUnidad, IndicacionExentoGravado, AlicuotaIVA, IdWF, Estado) values ('27165995703', '100002', 'Patagonia Bee', '', '7', 'Unidad', 'G', 21, 0, 'Vigente')</v>
      </c>
      <c r="D2" s="215">
        <f>+A2-A1</f>
        <v>1</v>
      </c>
    </row>
    <row r="3" spans="1:4" ht="15">
      <c r="A3" s="124">
        <v>100003</v>
      </c>
      <c r="B3" s="214" t="s">
        <v>102</v>
      </c>
      <c r="C3" s="215" t="str">
        <f t="shared" si="0"/>
        <v>insert Articulo (Cuit, IdArticulo, DescrArticulo, GTIN, IdUnidad, DescrUnidad, IndicacionExentoGravado, AlicuotaIVA, IdWF, Estado) values ('27165995703', '100003', 'Silencio Andino', '', '7', 'Unidad', 'G', 21, 0, 'Vigente')</v>
      </c>
      <c r="D3" s="215">
        <f t="shared" ref="D3:D66" si="1">+A3-A2</f>
        <v>1</v>
      </c>
    </row>
    <row r="4" spans="1:4" ht="15">
      <c r="A4" s="124">
        <v>100004</v>
      </c>
      <c r="B4" s="214" t="s">
        <v>103</v>
      </c>
      <c r="C4" s="215" t="str">
        <f t="shared" si="0"/>
        <v>insert Articulo (Cuit, IdArticulo, DescrArticulo, GTIN, IdUnidad, DescrUnidad, IndicacionExentoGravado, AlicuotaIVA, IdWF, Estado) values ('27165995703', '100004', 'Chaman Chai', '', '7', 'Unidad', 'G', 21, 0, 'Vigente')</v>
      </c>
      <c r="D4" s="215">
        <f t="shared" si="1"/>
        <v>1</v>
      </c>
    </row>
    <row r="5" spans="1:4" ht="15">
      <c r="A5" s="124">
        <v>100005</v>
      </c>
      <c r="B5" s="214" t="s">
        <v>104</v>
      </c>
      <c r="C5" s="215" t="str">
        <f t="shared" si="0"/>
        <v>insert Articulo (Cuit, IdArticulo, DescrArticulo, GTIN, IdUnidad, DescrUnidad, IndicacionExentoGravado, AlicuotaIVA, IdWF, Estado) values ('27165995703', '100005', 'Inca Rose ', '', '7', 'Unidad', 'G', 21, 0, 'Vigente')</v>
      </c>
      <c r="D5" s="215">
        <f t="shared" si="1"/>
        <v>1</v>
      </c>
    </row>
    <row r="6" spans="1:4" ht="15">
      <c r="A6" s="124">
        <v>100006</v>
      </c>
      <c r="B6" s="214" t="s">
        <v>173</v>
      </c>
      <c r="C6" s="215" t="str">
        <f t="shared" si="0"/>
        <v>insert Articulo (Cuit, IdArticulo, DescrArticulo, GTIN, IdUnidad, DescrUnidad, IndicacionExentoGravado, AlicuotaIVA, IdWF, Estado) values ('27165995703', '100006', 'Te verde Chai', '', '7', 'Unidad', 'G', 21, 0, 'Vigente')</v>
      </c>
      <c r="D6" s="215">
        <f t="shared" si="1"/>
        <v>1</v>
      </c>
    </row>
    <row r="7" spans="1:4" ht="15">
      <c r="A7" s="124">
        <v>100007</v>
      </c>
      <c r="B7" s="214" t="s">
        <v>174</v>
      </c>
      <c r="C7" s="215" t="str">
        <f t="shared" si="0"/>
        <v>insert Articulo (Cuit, IdArticulo, DescrArticulo, GTIN, IdUnidad, DescrUnidad, IndicacionExentoGravado, AlicuotaIVA, IdWF, Estado) values ('27165995703', '100007', 'Te Blanco Lychee ', '', '7', 'Unidad', 'G', 21, 0, 'Vigente')</v>
      </c>
      <c r="D7" s="215">
        <f t="shared" si="1"/>
        <v>1</v>
      </c>
    </row>
    <row r="8" spans="1:4" ht="15">
      <c r="A8" s="124">
        <v>100008</v>
      </c>
      <c r="B8" s="214" t="s">
        <v>175</v>
      </c>
      <c r="C8" s="215" t="str">
        <f t="shared" si="0"/>
        <v>insert Articulo (Cuit, IdArticulo, DescrArticulo, GTIN, IdUnidad, DescrUnidad, IndicacionExentoGravado, AlicuotaIVA, IdWF, Estado) values ('27165995703', '100008', 'Te Earl Grey Classic Inti ', '', '7', 'Unidad', 'G', 21, 0, 'Vigente')</v>
      </c>
      <c r="D8" s="215">
        <f t="shared" si="1"/>
        <v>1</v>
      </c>
    </row>
    <row r="9" spans="1:4" ht="15">
      <c r="A9" s="124">
        <v>100009</v>
      </c>
      <c r="B9" s="214" t="s">
        <v>105</v>
      </c>
      <c r="C9" s="215" t="str">
        <f t="shared" si="0"/>
        <v>insert Articulo (Cuit, IdArticulo, DescrArticulo, GTIN, IdUnidad, DescrUnidad, IndicacionExentoGravado, AlicuotaIVA, IdWF, Estado) values ('27165995703', '100009', 'Amazonia 12', '', '7', 'Unidad', 'G', 21, 0, 'Vigente')</v>
      </c>
      <c r="D9" s="215">
        <f t="shared" si="1"/>
        <v>1</v>
      </c>
    </row>
    <row r="10" spans="1:4" ht="15">
      <c r="A10" s="124">
        <v>100010</v>
      </c>
      <c r="B10" s="214" t="s">
        <v>106</v>
      </c>
      <c r="C10" s="215" t="str">
        <f t="shared" si="0"/>
        <v>insert Articulo (Cuit, IdArticulo, DescrArticulo, GTIN, IdUnidad, DescrUnidad, IndicacionExentoGravado, AlicuotaIVA, IdWF, Estado) values ('27165995703', '100010', 'Don Juan', '', '7', 'Unidad', 'G', 21, 0, 'Vigente')</v>
      </c>
      <c r="D10" s="215">
        <f t="shared" si="1"/>
        <v>1</v>
      </c>
    </row>
    <row r="11" spans="1:4" ht="15">
      <c r="A11" s="124">
        <v>100011</v>
      </c>
      <c r="B11" s="214" t="s">
        <v>304</v>
      </c>
      <c r="C11" s="215" t="str">
        <f t="shared" si="0"/>
        <v>insert Articulo (Cuit, IdArticulo, DescrArticulo, GTIN, IdUnidad, DescrUnidad, IndicacionExentoGravado, AlicuotaIVA, IdWF, Estado) values ('27165995703', '100011', 'Pampa Dulce', '', '7', 'Unidad', 'G', 21, 0, 'Vigente')</v>
      </c>
      <c r="D11" s="215">
        <f t="shared" si="1"/>
        <v>1</v>
      </c>
    </row>
    <row r="12" spans="1:4" ht="15">
      <c r="A12" s="124">
        <v>100012</v>
      </c>
      <c r="B12" s="214" t="s">
        <v>18</v>
      </c>
      <c r="C12" s="215" t="str">
        <f t="shared" si="0"/>
        <v>insert Articulo (Cuit, IdArticulo, DescrArticulo, GTIN, IdUnidad, DescrUnidad, IndicacionExentoGravado, AlicuotaIVA, IdWF, Estado) values ('27165995703', '100012', 'Mix de 8 variedades en cada estuche', '', '7', 'Unidad', 'G', 21, 0, 'Vigente')</v>
      </c>
      <c r="D12" s="215">
        <f t="shared" si="1"/>
        <v>1</v>
      </c>
    </row>
    <row r="13" spans="1:4" ht="15">
      <c r="A13" s="124">
        <v>100013</v>
      </c>
      <c r="B13" s="214" t="s">
        <v>85</v>
      </c>
      <c r="C13" s="215" t="str">
        <f t="shared" si="0"/>
        <v>insert Articulo (Cuit, IdArticulo, DescrArticulo, GTIN, IdUnidad, DescrUnidad, IndicacionExentoGravado, AlicuotaIVA, IdWF, Estado) values ('27165995703', '100013', 'Pack Variedad Intizen', '', '7', 'Unidad', 'G', 21, 0, 'Vigente')</v>
      </c>
      <c r="D13" s="215">
        <f t="shared" si="1"/>
        <v>1</v>
      </c>
    </row>
    <row r="14" spans="1:4" ht="15">
      <c r="A14" s="124">
        <v>101001</v>
      </c>
      <c r="B14" s="216" t="s">
        <v>117</v>
      </c>
      <c r="C14" s="215" t="str">
        <f t="shared" si="0"/>
        <v>insert Articulo (Cuit, IdArticulo, DescrArticulo, GTIN, IdUnidad, DescrUnidad, IndicacionExentoGravado, AlicuotaIVA, IdWF, Estado) values ('27165995703', '101001', 'energy Chamana', '', '7', 'Unidad', 'G', 21, 0, 'Vigente')</v>
      </c>
      <c r="D14" s="215">
        <f t="shared" si="1"/>
        <v>988</v>
      </c>
    </row>
    <row r="15" spans="1:4" ht="15">
      <c r="A15" s="124">
        <v>101002</v>
      </c>
      <c r="B15" s="216" t="s">
        <v>118</v>
      </c>
      <c r="C15" s="215" t="str">
        <f t="shared" si="0"/>
        <v>insert Articulo (Cuit, IdArticulo, DescrArticulo, GTIN, IdUnidad, DescrUnidad, IndicacionExentoGravado, AlicuotaIVA, IdWF, Estado) values ('27165995703', '101002', 'Detox Chamana', '', '7', 'Unidad', 'G', 21, 0, 'Vigente')</v>
      </c>
      <c r="D15" s="215">
        <f t="shared" si="1"/>
        <v>1</v>
      </c>
    </row>
    <row r="16" spans="1:4" ht="15">
      <c r="A16" s="124">
        <v>101003</v>
      </c>
      <c r="B16" s="216" t="s">
        <v>119</v>
      </c>
      <c r="C16" s="215" t="str">
        <f t="shared" si="0"/>
        <v>insert Articulo (Cuit, IdArticulo, DescrArticulo, GTIN, IdUnidad, DescrUnidad, IndicacionExentoGravado, AlicuotaIVA, IdWF, Estado) values ('27165995703', '101003', 'Lovely Chamana', '', '7', 'Unidad', 'G', 21, 0, 'Vigente')</v>
      </c>
      <c r="D16" s="215">
        <f t="shared" si="1"/>
        <v>1</v>
      </c>
    </row>
    <row r="17" spans="1:4" ht="15">
      <c r="A17" s="124">
        <v>101004</v>
      </c>
      <c r="B17" s="216" t="s">
        <v>343</v>
      </c>
      <c r="C17" s="215" t="str">
        <f t="shared" si="0"/>
        <v>insert Articulo (Cuit, IdArticulo, DescrArticulo, GTIN, IdUnidad, DescrUnidad, IndicacionExentoGravado, AlicuotaIVA, IdWF, Estado) values ('27165995703', '101004', 'Abrazo Chamana', '', '7', 'Unidad', 'G', 21, 0, 'Vigente')</v>
      </c>
      <c r="D17" s="215">
        <f t="shared" si="1"/>
        <v>1</v>
      </c>
    </row>
    <row r="18" spans="1:4" ht="15">
      <c r="A18" s="124">
        <v>101005</v>
      </c>
      <c r="B18" s="216" t="s">
        <v>120</v>
      </c>
      <c r="C18" s="215" t="str">
        <f t="shared" si="0"/>
        <v>insert Articulo (Cuit, IdArticulo, DescrArticulo, GTIN, IdUnidad, DescrUnidad, IndicacionExentoGravado, AlicuotaIVA, IdWF, Estado) values ('27165995703', '101005', 'Relax Chamana', '', '7', 'Unidad', 'G', 21, 0, 'Vigente')</v>
      </c>
      <c r="D18" s="215">
        <f t="shared" si="1"/>
        <v>1</v>
      </c>
    </row>
    <row r="19" spans="1:4" ht="15">
      <c r="A19" s="124">
        <v>101006</v>
      </c>
      <c r="B19" s="216" t="s">
        <v>305</v>
      </c>
      <c r="C19" s="215" t="str">
        <f t="shared" si="0"/>
        <v>insert Articulo (Cuit, IdArticulo, DescrArticulo, GTIN, IdUnidad, DescrUnidad, IndicacionExentoGravado, AlicuotaIVA, IdWF, Estado) values ('27165995703', '101006', 'Yogha', '', '7', 'Unidad', 'G', 21, 0, 'Vigente')</v>
      </c>
      <c r="D19" s="215">
        <f t="shared" si="1"/>
        <v>1</v>
      </c>
    </row>
    <row r="20" spans="1:4" ht="15">
      <c r="A20" s="124">
        <v>101007</v>
      </c>
      <c r="B20" s="216" t="s">
        <v>344</v>
      </c>
      <c r="C20" s="215" t="str">
        <f t="shared" si="0"/>
        <v>insert Articulo (Cuit, IdArticulo, DescrArticulo, GTIN, IdUnidad, DescrUnidad, IndicacionExentoGravado, AlicuotaIVA, IdWF, Estado) values ('27165995703', '101007', 'Herbal Box (chamana surtidos)', '', '7', 'Unidad', 'G', 21, 0, 'Vigente')</v>
      </c>
      <c r="D20" s="215">
        <f t="shared" si="1"/>
        <v>1</v>
      </c>
    </row>
    <row r="21" spans="1:4" ht="15">
      <c r="A21" s="124">
        <v>101008</v>
      </c>
      <c r="B21" s="216" t="s">
        <v>84</v>
      </c>
      <c r="C21" s="215" t="str">
        <f t="shared" si="0"/>
        <v>insert Articulo (Cuit, IdArticulo, DescrArticulo, GTIN, IdUnidad, DescrUnidad, IndicacionExentoGravado, AlicuotaIVA, IdWF, Estado) values ('27165995703', '101008', 'Pack Variedad Chamana', '', '7', 'Unidad', 'G', 21, 0, 'Vigente')</v>
      </c>
      <c r="D21" s="215">
        <f t="shared" si="1"/>
        <v>1</v>
      </c>
    </row>
    <row r="22" spans="1:4" ht="15">
      <c r="A22" s="124">
        <v>102001</v>
      </c>
      <c r="B22" s="216" t="s">
        <v>178</v>
      </c>
      <c r="C22" s="215" t="str">
        <f t="shared" si="0"/>
        <v>insert Articulo (Cuit, IdArticulo, DescrArticulo, GTIN, IdUnidad, DescrUnidad, IndicacionExentoGravado, AlicuotaIVA, IdWF, Estado) values ('27165995703', '102001', 'taza + 14 saquitos surtidos', '', '7', 'Unidad', 'G', 21, 0, 'Vigente')</v>
      </c>
      <c r="D22" s="215">
        <f t="shared" si="1"/>
        <v>993</v>
      </c>
    </row>
    <row r="23" spans="1:4" ht="15">
      <c r="A23" s="124">
        <v>102002</v>
      </c>
      <c r="B23" s="216" t="s">
        <v>182</v>
      </c>
      <c r="C23" s="215" t="str">
        <f t="shared" si="0"/>
        <v>insert Articulo (Cuit, IdArticulo, DescrArticulo, GTIN, IdUnidad, DescrUnidad, IndicacionExentoGravado, AlicuotaIVA, IdWF, Estado) values ('27165995703', '102002', 'estuche transparente 30 saquietos', '', '7', 'Unidad', 'G', 21, 0, 'Vigente')</v>
      </c>
      <c r="D23" s="215">
        <f t="shared" si="1"/>
        <v>1</v>
      </c>
    </row>
    <row r="24" spans="1:4" ht="15">
      <c r="A24" s="124">
        <v>102003</v>
      </c>
      <c r="B24" s="216" t="s">
        <v>179</v>
      </c>
      <c r="C24" s="215" t="str">
        <f t="shared" si="0"/>
        <v>insert Articulo (Cuit, IdArticulo, DescrArticulo, GTIN, IdUnidad, DescrUnidad, IndicacionExentoGravado, AlicuotaIVA, IdWF, Estado) values ('27165995703', '102003', 'caja calada 30 saquitos', '', '7', 'Unidad', 'G', 21, 0, 'Vigente')</v>
      </c>
      <c r="D24" s="215">
        <f t="shared" si="1"/>
        <v>1</v>
      </c>
    </row>
    <row r="25" spans="1:4" ht="15">
      <c r="A25" s="124">
        <v>102004</v>
      </c>
      <c r="B25" s="216" t="s">
        <v>181</v>
      </c>
      <c r="C25" s="215" t="str">
        <f t="shared" si="0"/>
        <v>insert Articulo (Cuit, IdArticulo, DescrArticulo, GTIN, IdUnidad, DescrUnidad, IndicacionExentoGravado, AlicuotaIVA, IdWF, Estado) values ('27165995703', '102004', 'caja paraiso natural 60 saquitos', '', '7', 'Unidad', 'G', 21, 0, 'Vigente')</v>
      </c>
      <c r="D25" s="215">
        <f t="shared" si="1"/>
        <v>1</v>
      </c>
    </row>
    <row r="26" spans="1:4" ht="15">
      <c r="A26" s="124">
        <v>102005</v>
      </c>
      <c r="B26" s="216" t="s">
        <v>180</v>
      </c>
      <c r="C26" s="215" t="str">
        <f t="shared" si="0"/>
        <v>insert Articulo (Cuit, IdArticulo, DescrArticulo, GTIN, IdUnidad, DescrUnidad, IndicacionExentoGravado, AlicuotaIVA, IdWF, Estado) values ('27165995703', '102005', 'tetera + 2 cuencos', '', '7', 'Unidad', 'G', 21, 0, 'Vigente')</v>
      </c>
      <c r="D26" s="215">
        <f t="shared" si="1"/>
        <v>1</v>
      </c>
    </row>
    <row r="27" spans="1:4" ht="15">
      <c r="A27" s="124">
        <v>102006</v>
      </c>
      <c r="B27" s="216" t="s">
        <v>313</v>
      </c>
      <c r="C27" s="215" t="str">
        <f t="shared" si="0"/>
        <v>insert Articulo (Cuit, IdArticulo, DescrArticulo, GTIN, IdUnidad, DescrUnidad, IndicacionExentoGravado, AlicuotaIVA, IdWF, Estado) values ('27165995703', '102006', 'caja exhibidora inti zen chaman', '', '7', 'Unidad', 'G', 21, 0, 'Vigente')</v>
      </c>
      <c r="D27" s="215">
        <f t="shared" si="1"/>
        <v>1</v>
      </c>
    </row>
    <row r="28" spans="1:4" ht="15">
      <c r="A28" s="124">
        <v>103001</v>
      </c>
      <c r="B28" s="214" t="s">
        <v>15</v>
      </c>
      <c r="C28" s="215" t="str">
        <f t="shared" si="0"/>
        <v>insert Articulo (Cuit, IdArticulo, DescrArticulo, GTIN, IdUnidad, DescrUnidad, IndicacionExentoGravado, AlicuotaIVA, IdWF, Estado) values ('27165995703', '103001', 'Aceto Domenico Ranieri Botella', '', '7', 'Unidad', 'G', 21, 0, 'Vigente')</v>
      </c>
      <c r="D28" s="215">
        <f t="shared" si="1"/>
        <v>995</v>
      </c>
    </row>
    <row r="29" spans="1:4" ht="15">
      <c r="A29" s="124">
        <v>103002</v>
      </c>
      <c r="B29" s="214" t="s">
        <v>16</v>
      </c>
      <c r="C29" s="215" t="str">
        <f t="shared" si="0"/>
        <v>insert Articulo (Cuit, IdArticulo, DescrArticulo, GTIN, IdUnidad, DescrUnidad, IndicacionExentoGravado, AlicuotaIVA, IdWF, Estado) values ('27165995703', '103002', 'Aceto Domenico Ranieri Bidón', '', '7', 'Unidad', 'G', 21, 0, 'Vigente')</v>
      </c>
      <c r="D29" s="215">
        <f t="shared" si="1"/>
        <v>1</v>
      </c>
    </row>
    <row r="30" spans="1:4" ht="15">
      <c r="A30" s="124">
        <v>104001</v>
      </c>
      <c r="B30" s="216" t="s">
        <v>243</v>
      </c>
      <c r="C30" s="215" t="str">
        <f t="shared" si="0"/>
        <v>insert Articulo (Cuit, IdArticulo, DescrArticulo, GTIN, IdUnidad, DescrUnidad, IndicacionExentoGravado, AlicuotaIVA, IdWF, Estado) values ('27165995703', '104001', 'Esparrago Verdes Meridiano 330 gr', '', '7', 'Unidad', 'G', 21, 0, 'Vigente')</v>
      </c>
      <c r="D30" s="215">
        <f t="shared" si="1"/>
        <v>999</v>
      </c>
    </row>
    <row r="31" spans="1:4" ht="15">
      <c r="A31" s="124">
        <v>104002</v>
      </c>
      <c r="B31" s="216" t="s">
        <v>164</v>
      </c>
      <c r="C31" s="215" t="str">
        <f t="shared" si="0"/>
        <v>insert Articulo (Cuit, IdArticulo, DescrArticulo, GTIN, IdUnidad, DescrUnidad, IndicacionExentoGravado, AlicuotaIVA, IdWF, Estado) values ('27165995703', '104002', 'Esparrago Verdes Meridiano 800 gr', '', '7', 'Unidad', 'G', 21, 0, 'Vigente')</v>
      </c>
      <c r="D31" s="215">
        <f t="shared" si="1"/>
        <v>1</v>
      </c>
    </row>
    <row r="32" spans="1:4" ht="15">
      <c r="A32" s="124">
        <v>104003</v>
      </c>
      <c r="B32" s="216" t="s">
        <v>139</v>
      </c>
      <c r="C32" s="215" t="str">
        <f t="shared" si="0"/>
        <v>insert Articulo (Cuit, IdArticulo, DescrArticulo, GTIN, IdUnidad, DescrUnidad, IndicacionExentoGravado, AlicuotaIVA, IdWF, Estado) values ('27165995703', '104003', 'Hojas de Parra', '', '7', 'Unidad', 'G', 21, 0, 'Vigente')</v>
      </c>
      <c r="D32" s="215">
        <f t="shared" si="1"/>
        <v>1</v>
      </c>
    </row>
    <row r="33" spans="1:4" ht="15">
      <c r="A33" s="124">
        <v>104004</v>
      </c>
      <c r="B33" s="216" t="s">
        <v>125</v>
      </c>
      <c r="C33" s="215" t="str">
        <f t="shared" si="0"/>
        <v>insert Articulo (Cuit, IdArticulo, DescrArticulo, GTIN, IdUnidad, DescrUnidad, IndicacionExentoGravado, AlicuotaIVA, IdWF, Estado) values ('27165995703', '104004', 'Tomate seco en ac de oliva', '', '7', 'Unidad', 'G', 21, 0, 'Vigente')</v>
      </c>
      <c r="D33" s="215">
        <f t="shared" si="1"/>
        <v>1</v>
      </c>
    </row>
    <row r="34" spans="1:4" ht="15">
      <c r="A34" s="124">
        <v>104005</v>
      </c>
      <c r="B34" s="216" t="s">
        <v>126</v>
      </c>
      <c r="C34" s="215" t="str">
        <f t="shared" si="0"/>
        <v>insert Articulo (Cuit, IdArticulo, DescrArticulo, GTIN, IdUnidad, DescrUnidad, IndicacionExentoGravado, AlicuotaIVA, IdWF, Estado) values ('27165995703', '104005', 'Pasta aceituna verde', '', '7', 'Unidad', 'G', 21, 0, 'Vigente')</v>
      </c>
      <c r="D34" s="215">
        <f t="shared" si="1"/>
        <v>1</v>
      </c>
    </row>
    <row r="35" spans="1:4" ht="15">
      <c r="A35" s="124">
        <v>104006</v>
      </c>
      <c r="B35" s="216" t="s">
        <v>127</v>
      </c>
      <c r="C35" s="215" t="str">
        <f t="shared" si="0"/>
        <v>insert Articulo (Cuit, IdArticulo, DescrArticulo, GTIN, IdUnidad, DescrUnidad, IndicacionExentoGravado, AlicuotaIVA, IdWF, Estado) values ('27165995703', '104006', 'Pasta aceituna negra', '', '7', 'Unidad', 'G', 21, 0, 'Vigente')</v>
      </c>
      <c r="D35" s="215">
        <f t="shared" si="1"/>
        <v>1</v>
      </c>
    </row>
    <row r="36" spans="1:4" ht="15">
      <c r="A36" s="124">
        <v>104007</v>
      </c>
      <c r="B36" s="216" t="s">
        <v>135</v>
      </c>
      <c r="C36" s="215" t="str">
        <f t="shared" si="0"/>
        <v>insert Articulo (Cuit, IdArticulo, DescrArticulo, GTIN, IdUnidad, DescrUnidad, IndicacionExentoGravado, AlicuotaIVA, IdWF, Estado) values ('27165995703', '104007', 'pepino condimentado 330', '', '7', 'Unidad', 'G', 21, 0, 'Vigente')</v>
      </c>
      <c r="D36" s="215">
        <f t="shared" si="1"/>
        <v>1</v>
      </c>
    </row>
    <row r="37" spans="1:4" ht="15">
      <c r="A37" s="124">
        <v>104008</v>
      </c>
      <c r="B37" s="216" t="s">
        <v>133</v>
      </c>
      <c r="C37" s="215" t="str">
        <f t="shared" si="0"/>
        <v>insert Articulo (Cuit, IdArticulo, DescrArticulo, GTIN, IdUnidad, DescrUnidad, IndicacionExentoGravado, AlicuotaIVA, IdWF, Estado) values ('27165995703', '104008', 'pepino mediano 800', '', '7', 'Unidad', 'G', 21, 0, 'Vigente')</v>
      </c>
      <c r="D37" s="215">
        <f t="shared" si="1"/>
        <v>1</v>
      </c>
    </row>
    <row r="38" spans="1:4" ht="15">
      <c r="A38" s="124">
        <v>104009</v>
      </c>
      <c r="B38" s="216" t="s">
        <v>165</v>
      </c>
      <c r="C38" s="215" t="str">
        <f t="shared" si="0"/>
        <v>insert Articulo (Cuit, IdArticulo, DescrArticulo, GTIN, IdUnidad, DescrUnidad, IndicacionExentoGravado, AlicuotaIVA, IdWF, Estado) values ('27165995703', '104009', 'Aceituna verde S/C meridiano 330', '', '7', 'Unidad', 'G', 21, 0, 'Vigente')</v>
      </c>
      <c r="D38" s="215">
        <f t="shared" si="1"/>
        <v>1</v>
      </c>
    </row>
    <row r="39" spans="1:4" ht="15">
      <c r="A39" s="124">
        <v>104010</v>
      </c>
      <c r="B39" s="216" t="s">
        <v>166</v>
      </c>
      <c r="C39" s="215" t="str">
        <f t="shared" si="0"/>
        <v>insert Articulo (Cuit, IdArticulo, DescrArticulo, GTIN, IdUnidad, DescrUnidad, IndicacionExentoGravado, AlicuotaIVA, IdWF, Estado) values ('27165995703', '104010', 'Aceituna verde C/C meridiano 330', '', '7', 'Unidad', 'G', 21, 0, 'Vigente')</v>
      </c>
      <c r="D39" s="215">
        <f t="shared" si="1"/>
        <v>1</v>
      </c>
    </row>
    <row r="40" spans="1:4" ht="15">
      <c r="A40" s="124">
        <v>104011</v>
      </c>
      <c r="B40" s="216" t="s">
        <v>170</v>
      </c>
      <c r="C40" s="215" t="str">
        <f t="shared" si="0"/>
        <v>insert Articulo (Cuit, IdArticulo, DescrArticulo, GTIN, IdUnidad, DescrUnidad, IndicacionExentoGravado, AlicuotaIVA, IdWF, Estado) values ('27165995703', '104011', 'Aceituna verde rodajas  meridiano 330', '', '7', 'Unidad', 'G', 21, 0, 'Vigente')</v>
      </c>
      <c r="D40" s="215">
        <f t="shared" si="1"/>
        <v>1</v>
      </c>
    </row>
    <row r="41" spans="1:4" ht="15">
      <c r="A41" s="124">
        <v>104012</v>
      </c>
      <c r="B41" s="216" t="s">
        <v>155</v>
      </c>
      <c r="C41" s="215" t="str">
        <f t="shared" si="0"/>
        <v>insert Articulo (Cuit, IdArticulo, DescrArticulo, GTIN, IdUnidad, DescrUnidad, IndicacionExentoGravado, AlicuotaIVA, IdWF, Estado) values ('27165995703', '104012', 'Aceituna negra C/C meridiano 330', '', '7', 'Unidad', 'G', 21, 0, 'Vigente')</v>
      </c>
      <c r="D41" s="215">
        <f t="shared" si="1"/>
        <v>1</v>
      </c>
    </row>
    <row r="42" spans="1:4" ht="15">
      <c r="A42" s="124">
        <v>104013</v>
      </c>
      <c r="B42" s="216" t="s">
        <v>153</v>
      </c>
      <c r="C42" s="215" t="str">
        <f t="shared" si="0"/>
        <v>insert Articulo (Cuit, IdArticulo, DescrArticulo, GTIN, IdUnidad, DescrUnidad, IndicacionExentoGravado, AlicuotaIVA, IdWF, Estado) values ('27165995703', '104013', 'Aceituna negra S/C meridiano 330', '', '7', 'Unidad', 'G', 21, 0, 'Vigente')</v>
      </c>
      <c r="D42" s="215">
        <f t="shared" si="1"/>
        <v>1</v>
      </c>
    </row>
    <row r="43" spans="1:4" ht="15">
      <c r="A43" s="124">
        <v>104014</v>
      </c>
      <c r="B43" s="216" t="s">
        <v>171</v>
      </c>
      <c r="C43" s="215" t="str">
        <f t="shared" si="0"/>
        <v>insert Articulo (Cuit, IdArticulo, DescrArticulo, GTIN, IdUnidad, DescrUnidad, IndicacionExentoGravado, AlicuotaIVA, IdWF, Estado) values ('27165995703', '104014', 'Aceituna negras rodajas  meridiano 330', '', '7', 'Unidad', 'G', 21, 0, 'Vigente')</v>
      </c>
      <c r="D43" s="215">
        <f t="shared" si="1"/>
        <v>1</v>
      </c>
    </row>
    <row r="44" spans="1:4" ht="15">
      <c r="A44" s="124">
        <v>104015</v>
      </c>
      <c r="B44" s="216" t="s">
        <v>154</v>
      </c>
      <c r="C44" s="215" t="str">
        <f t="shared" si="0"/>
        <v>insert Articulo (Cuit, IdArticulo, DescrArticulo, GTIN, IdUnidad, DescrUnidad, IndicacionExentoGravado, AlicuotaIVA, IdWF, Estado) values ('27165995703', '104015', 'Aceituna Griega meridiano 330', '', '7', 'Unidad', 'G', 21, 0, 'Vigente')</v>
      </c>
      <c r="D44" s="215">
        <f t="shared" si="1"/>
        <v>1</v>
      </c>
    </row>
    <row r="45" spans="1:4" ht="15">
      <c r="A45" s="124">
        <v>104016</v>
      </c>
      <c r="B45" s="216" t="s">
        <v>167</v>
      </c>
      <c r="C45" s="215" t="str">
        <f t="shared" si="0"/>
        <v>insert Articulo (Cuit, IdArticulo, DescrArticulo, GTIN, IdUnidad, DescrUnidad, IndicacionExentoGravado, AlicuotaIVA, IdWF, Estado) values ('27165995703', '104016', 'Aceituna verde C/C meridiano 1000', '', '7', 'Unidad', 'G', 21, 0, 'Vigente')</v>
      </c>
      <c r="D45" s="215">
        <f t="shared" si="1"/>
        <v>1</v>
      </c>
    </row>
    <row r="46" spans="1:4" ht="15">
      <c r="A46" s="124">
        <v>104017</v>
      </c>
      <c r="B46" s="216" t="s">
        <v>168</v>
      </c>
      <c r="C46" s="215" t="str">
        <f t="shared" si="0"/>
        <v>insert Articulo (Cuit, IdArticulo, DescrArticulo, GTIN, IdUnidad, DescrUnidad, IndicacionExentoGravado, AlicuotaIVA, IdWF, Estado) values ('27165995703', '104017', 'Aceituna negra C/C meridiano 1000', '', '7', 'Unidad', 'G', 21, 0, 'Vigente')</v>
      </c>
      <c r="D46" s="215">
        <f t="shared" si="1"/>
        <v>1</v>
      </c>
    </row>
    <row r="47" spans="1:4" ht="15">
      <c r="A47" s="124">
        <v>104018</v>
      </c>
      <c r="B47" s="216" t="s">
        <v>169</v>
      </c>
      <c r="C47" s="215" t="str">
        <f t="shared" si="0"/>
        <v>insert Articulo (Cuit, IdArticulo, DescrArticulo, GTIN, IdUnidad, DescrUnidad, IndicacionExentoGravado, AlicuotaIVA, IdWF, Estado) values ('27165995703', '104018', 'ajies Meridiano 330', '', '7', 'Unidad', 'G', 21, 0, 'Vigente')</v>
      </c>
      <c r="D47" s="215">
        <f t="shared" si="1"/>
        <v>1</v>
      </c>
    </row>
    <row r="48" spans="1:4" ht="15">
      <c r="A48" s="124">
        <v>104019</v>
      </c>
      <c r="B48" s="216" t="s">
        <v>240</v>
      </c>
      <c r="C48" s="215" t="str">
        <f t="shared" si="0"/>
        <v>insert Articulo (Cuit, IdArticulo, DescrArticulo, GTIN, IdUnidad, DescrUnidad, IndicacionExentoGravado, AlicuotaIVA, IdWF, Estado) values ('27165995703', '104019', 'Berengenas condimenntadas 330', '', '7', 'Unidad', 'G', 21, 0, 'Vigente')</v>
      </c>
      <c r="D48" s="215">
        <f t="shared" si="1"/>
        <v>1</v>
      </c>
    </row>
    <row r="49" spans="1:4" ht="15">
      <c r="A49" s="124">
        <v>104020</v>
      </c>
      <c r="B49" s="216" t="s">
        <v>137</v>
      </c>
      <c r="C49" s="215" t="str">
        <f t="shared" si="0"/>
        <v>insert Articulo (Cuit, IdArticulo, DescrArticulo, GTIN, IdUnidad, DescrUnidad, IndicacionExentoGravado, AlicuotaIVA, IdWF, Estado) values ('27165995703', '104020', 'Pimiento morron 330', '', '7', 'Unidad', 'G', 21, 0, 'Vigente')</v>
      </c>
      <c r="D49" s="215">
        <f t="shared" si="1"/>
        <v>1</v>
      </c>
    </row>
    <row r="50" spans="1:4" ht="15">
      <c r="A50" s="124">
        <v>104021</v>
      </c>
      <c r="B50" s="216" t="s">
        <v>138</v>
      </c>
      <c r="C50" s="215" t="str">
        <f t="shared" si="0"/>
        <v>insert Articulo (Cuit, IdArticulo, DescrArticulo, GTIN, IdUnidad, DescrUnidad, IndicacionExentoGravado, AlicuotaIVA, IdWF, Estado) values ('27165995703', '104021', 'corazon alcaucil 330 x 12', '', '7', 'Unidad', 'G', 21, 0, 'Vigente')</v>
      </c>
      <c r="D50" s="215">
        <f t="shared" si="1"/>
        <v>1</v>
      </c>
    </row>
    <row r="51" spans="1:4" ht="15">
      <c r="A51" s="124">
        <v>104022</v>
      </c>
      <c r="B51" s="216" t="s">
        <v>159</v>
      </c>
      <c r="C51" s="215" t="str">
        <f t="shared" si="0"/>
        <v>insert Articulo (Cuit, IdArticulo, DescrArticulo, GTIN, IdUnidad, DescrUnidad, IndicacionExentoGravado, AlicuotaIVA, IdWF, Estado) values ('27165995703', '104022', 'Aceite Yancanello 250 vidrio', '', '7', 'Unidad', 'G', 21, 0, 'Vigente')</v>
      </c>
      <c r="D51" s="215">
        <f t="shared" si="1"/>
        <v>1</v>
      </c>
    </row>
    <row r="52" spans="1:4" ht="15">
      <c r="A52" s="124">
        <v>105001</v>
      </c>
      <c r="B52" s="216" t="s">
        <v>157</v>
      </c>
      <c r="C52" s="215" t="str">
        <f t="shared" si="0"/>
        <v>insert Articulo (Cuit, IdArticulo, DescrArticulo, GTIN, IdUnidad, DescrUnidad, IndicacionExentoGravado, AlicuotaIVA, IdWF, Estado) values ('27165995703', '105001', 'Aceite Yancanello 500 vidrio', '', '7', 'Unidad', 'G', 21, 0, 'Vigente')</v>
      </c>
      <c r="D52" s="215">
        <f t="shared" si="1"/>
        <v>979</v>
      </c>
    </row>
    <row r="53" spans="1:4" ht="15">
      <c r="A53" s="124">
        <v>105002</v>
      </c>
      <c r="B53" s="216" t="s">
        <v>158</v>
      </c>
      <c r="C53" s="215" t="str">
        <f t="shared" si="0"/>
        <v>insert Articulo (Cuit, IdArticulo, DescrArticulo, GTIN, IdUnidad, DescrUnidad, IndicacionExentoGravado, AlicuotaIVA, IdWF, Estado) values ('27165995703', '105002', 'Aceite Yancanello 500 lata Arbequina', '', '7', 'Unidad', 'G', 21, 0, 'Vigente')</v>
      </c>
      <c r="D53" s="215">
        <f t="shared" si="1"/>
        <v>1</v>
      </c>
    </row>
    <row r="54" spans="1:4" ht="15">
      <c r="A54" s="124">
        <v>105003</v>
      </c>
      <c r="B54" s="216" t="s">
        <v>108</v>
      </c>
      <c r="C54" s="215" t="str">
        <f t="shared" si="0"/>
        <v>insert Articulo (Cuit, IdArticulo, DescrArticulo, GTIN, IdUnidad, DescrUnidad, IndicacionExentoGravado, AlicuotaIVA, IdWF, Estado) values ('27165995703', '105003', 'Aceite Yancanello 500 lata', '', '7', 'Unidad', 'G', 21, 0, 'Vigente')</v>
      </c>
      <c r="D54" s="215">
        <f t="shared" si="1"/>
        <v>1</v>
      </c>
    </row>
    <row r="55" spans="1:4" ht="15">
      <c r="A55" s="124">
        <v>105004</v>
      </c>
      <c r="B55" s="216" t="s">
        <v>109</v>
      </c>
      <c r="C55" s="215" t="str">
        <f t="shared" si="0"/>
        <v>insert Articulo (Cuit, IdArticulo, DescrArticulo, GTIN, IdUnidad, DescrUnidad, IndicacionExentoGravado, AlicuotaIVA, IdWF, Estado) values ('27165995703', '105004', 'Aceite Yancanello lt lata', '', '7', 'Unidad', 'G', 21, 0, 'Vigente')</v>
      </c>
      <c r="D55" s="215">
        <f t="shared" si="1"/>
        <v>1</v>
      </c>
    </row>
    <row r="56" spans="1:4" ht="15">
      <c r="A56" s="124">
        <v>105005</v>
      </c>
      <c r="B56" s="216" t="s">
        <v>110</v>
      </c>
      <c r="C56" s="215" t="str">
        <f t="shared" si="0"/>
        <v>insert Articulo (Cuit, IdArticulo, DescrArticulo, GTIN, IdUnidad, DescrUnidad, IndicacionExentoGravado, AlicuotaIVA, IdWF, Estado) values ('27165995703', '105005', 'Aceite Yancanello bidon', '', '7', 'Unidad', 'G', 21, 0, 'Vigente')</v>
      </c>
      <c r="D56" s="215">
        <f t="shared" si="1"/>
        <v>1</v>
      </c>
    </row>
    <row r="57" spans="1:4" ht="15">
      <c r="A57" s="124">
        <v>106001</v>
      </c>
      <c r="B57" s="214" t="s">
        <v>23</v>
      </c>
      <c r="C57" s="215" t="str">
        <f t="shared" si="0"/>
        <v>insert Articulo (Cuit, IdArticulo, DescrArticulo, GTIN, IdUnidad, DescrUnidad, IndicacionExentoGravado, AlicuotaIVA, IdWF, Estado) values ('27165995703', '106001', 'Caramelos de Miel y Limon Bolsas de 750 grs.', '', '7', 'Unidad', 'G', 21, 0, 'Vigente')</v>
      </c>
      <c r="D57" s="215">
        <f t="shared" si="1"/>
        <v>996</v>
      </c>
    </row>
    <row r="58" spans="1:4" ht="15">
      <c r="A58" s="124">
        <v>106002</v>
      </c>
      <c r="B58" s="214" t="s">
        <v>24</v>
      </c>
      <c r="C58" s="215" t="str">
        <f t="shared" si="0"/>
        <v>insert Articulo (Cuit, IdArticulo, DescrArticulo, GTIN, IdUnidad, DescrUnidad, IndicacionExentoGravado, AlicuotaIVA, IdWF, Estado) values ('27165995703', '106002', 'Caramelo de Miel y Menta Bolsas de 750 grs.', '', '7', 'Unidad', 'G', 21, 0, 'Vigente')</v>
      </c>
      <c r="D58" s="215">
        <f t="shared" si="1"/>
        <v>1</v>
      </c>
    </row>
    <row r="59" spans="1:4" ht="15">
      <c r="A59" s="124">
        <v>106003</v>
      </c>
      <c r="B59" s="214" t="s">
        <v>25</v>
      </c>
      <c r="C59" s="215" t="str">
        <f t="shared" si="0"/>
        <v>insert Articulo (Cuit, IdArticulo, DescrArticulo, GTIN, IdUnidad, DescrUnidad, IndicacionExentoGravado, AlicuotaIVA, IdWF, Estado) values ('27165995703', '106003', 'Caramelos de Miel Bolsas de 750 grs.', '', '7', 'Unidad', 'G', 21, 0, 'Vigente')</v>
      </c>
      <c r="D59" s="215">
        <f t="shared" si="1"/>
        <v>1</v>
      </c>
    </row>
    <row r="60" spans="1:4" ht="15">
      <c r="A60" s="124">
        <v>106004</v>
      </c>
      <c r="B60" s="214" t="s">
        <v>26</v>
      </c>
      <c r="C60" s="215" t="str">
        <f t="shared" si="0"/>
        <v>insert Articulo (Cuit, IdArticulo, DescrArticulo, GTIN, IdUnidad, DescrUnidad, IndicacionExentoGravado, AlicuotaIVA, IdWF, Estado) values ('27165995703', '106004', 'Caramelos de Propóleo Bolsas de 750 grs.', '', '7', 'Unidad', 'G', 21, 0, 'Vigente')</v>
      </c>
      <c r="D60" s="215">
        <f t="shared" si="1"/>
        <v>1</v>
      </c>
    </row>
    <row r="61" spans="1:4" ht="15">
      <c r="A61" s="124">
        <v>107001</v>
      </c>
      <c r="B61" s="214" t="s">
        <v>27</v>
      </c>
      <c r="C61" s="215" t="str">
        <f t="shared" si="0"/>
        <v>insert Articulo (Cuit, IdArticulo, DescrArticulo, GTIN, IdUnidad, DescrUnidad, IndicacionExentoGravado, AlicuotaIVA, IdWF, Estado) values ('27165995703', '107001', 'Dulce de Leche Frasco de 800 grs.', '', '7', 'Unidad', 'G', 21, 0, 'Vigente')</v>
      </c>
      <c r="D61" s="215">
        <f t="shared" si="1"/>
        <v>997</v>
      </c>
    </row>
    <row r="62" spans="1:4" ht="15">
      <c r="A62" s="124">
        <v>107002</v>
      </c>
      <c r="B62" s="214" t="s">
        <v>28</v>
      </c>
      <c r="C62" s="215" t="str">
        <f t="shared" si="0"/>
        <v>insert Articulo (Cuit, IdArticulo, DescrArticulo, GTIN, IdUnidad, DescrUnidad, IndicacionExentoGravado, AlicuotaIVA, IdWF, Estado) values ('27165995703', '107002', 'Dulce de Leche Frasco de 450 grs.', '', '7', 'Unidad', 'G', 21, 0, 'Vigente')</v>
      </c>
      <c r="D62" s="215">
        <f t="shared" si="1"/>
        <v>1</v>
      </c>
    </row>
    <row r="63" spans="1:4" ht="15">
      <c r="A63" s="124">
        <v>107003</v>
      </c>
      <c r="B63" s="214" t="s">
        <v>121</v>
      </c>
      <c r="C63" s="215" t="str">
        <f t="shared" si="0"/>
        <v>insert Articulo (Cuit, IdArticulo, DescrArticulo, GTIN, IdUnidad, DescrUnidad, IndicacionExentoGravado, AlicuotaIVA, IdWF, Estado) values ('27165995703', '107003', 'Dulce de Leche Frasco de 250 grs.', '', '7', 'Unidad', 'G', 21, 0, 'Vigente')</v>
      </c>
      <c r="D63" s="215">
        <f t="shared" si="1"/>
        <v>1</v>
      </c>
    </row>
    <row r="64" spans="1:4" ht="15">
      <c r="A64" s="124">
        <v>108001</v>
      </c>
      <c r="B64" s="214" t="s">
        <v>29</v>
      </c>
      <c r="C64" s="215" t="str">
        <f t="shared" si="0"/>
        <v>insert Articulo (Cuit, IdArticulo, DescrArticulo, GTIN, IdUnidad, DescrUnidad, IndicacionExentoGravado, AlicuotaIVA, IdWF, Estado) values ('27165995703', '108001', 'Miel en Frasco de vidrio Frasco de 1/2 Kg.', '', '7', 'Unidad', 'G', 21, 0, 'Vigente')</v>
      </c>
      <c r="D64" s="215">
        <f t="shared" si="1"/>
        <v>998</v>
      </c>
    </row>
    <row r="65" spans="1:4" ht="15">
      <c r="A65" s="124">
        <v>108002</v>
      </c>
      <c r="B65" s="214" t="s">
        <v>30</v>
      </c>
      <c r="C65" s="215" t="str">
        <f t="shared" si="0"/>
        <v>insert Articulo (Cuit, IdArticulo, DescrArticulo, GTIN, IdUnidad, DescrUnidad, IndicacionExentoGravado, AlicuotaIVA, IdWF, Estado) values ('27165995703', '108002', 'Jalea Real de 10 gramos Pote de 100 grs.', '', '7', 'Unidad', 'G', 21, 0, 'Vigente')</v>
      </c>
      <c r="D65" s="215">
        <f t="shared" si="1"/>
        <v>1</v>
      </c>
    </row>
    <row r="66" spans="1:4" ht="15">
      <c r="A66" s="124">
        <v>108003</v>
      </c>
      <c r="B66" s="214" t="s">
        <v>31</v>
      </c>
      <c r="C66" s="215" t="str">
        <f t="shared" ref="C66:C129" si="2">"insert Articulo (Cuit, IdArticulo, DescrArticulo, GTIN, IdUnidad, DescrUnidad, IndicacionExentoGravado, AlicuotaIVA, IdWF, Estado) values ('27165995703', '" &amp; A66 &amp; "', '" &amp; B66 &amp; "', '', '7', 'Unidad', 'G', 21, 0, 'Vigente')"</f>
        <v>insert Articulo (Cuit, IdArticulo, DescrArticulo, GTIN, IdUnidad, DescrUnidad, IndicacionExentoGravado, AlicuotaIVA, IdWF, Estado) values ('27165995703', '108003', 'Jalea Real con polen Pote de 100 grs.', '', '7', 'Unidad', 'G', 21, 0, 'Vigente')</v>
      </c>
      <c r="D66" s="215">
        <f t="shared" si="1"/>
        <v>1</v>
      </c>
    </row>
    <row r="67" spans="1:4" ht="15">
      <c r="A67" s="124">
        <v>108004</v>
      </c>
      <c r="B67" s="214" t="s">
        <v>32</v>
      </c>
      <c r="C67" s="215" t="str">
        <f t="shared" si="2"/>
        <v>insert Articulo (Cuit, IdArticulo, DescrArticulo, GTIN, IdUnidad, DescrUnidad, IndicacionExentoGravado, AlicuotaIVA, IdWF, Estado) values ('27165995703', '108004', 'Polen de Flores Pote de 125 grs.', '', '7', 'Unidad', 'G', 21, 0, 'Vigente')</v>
      </c>
      <c r="D67" s="215">
        <f t="shared" ref="D67:D130" si="3">+A67-A66</f>
        <v>1</v>
      </c>
    </row>
    <row r="68" spans="1:4" ht="15">
      <c r="A68" s="124">
        <v>108005</v>
      </c>
      <c r="B68" s="214" t="s">
        <v>33</v>
      </c>
      <c r="C68" s="215" t="str">
        <f t="shared" si="2"/>
        <v>insert Articulo (Cuit, IdArticulo, DescrArticulo, GTIN, IdUnidad, DescrUnidad, IndicacionExentoGravado, AlicuotaIVA, IdWF, Estado) values ('27165995703', '108005', 'Propóleo Bebible Frasco de 125 cc', '', '7', 'Unidad', 'G', 21, 0, 'Vigente')</v>
      </c>
      <c r="D68" s="215">
        <f t="shared" si="3"/>
        <v>1</v>
      </c>
    </row>
    <row r="69" spans="1:4" ht="15">
      <c r="A69" s="124">
        <v>108006</v>
      </c>
      <c r="B69" s="219" t="s">
        <v>219</v>
      </c>
      <c r="C69" s="215" t="str">
        <f t="shared" si="2"/>
        <v>insert Articulo (Cuit, IdArticulo, DescrArticulo, GTIN, IdUnidad, DescrUnidad, IndicacionExentoGravado, AlicuotaIVA, IdWF, Estado) values ('27165995703', '108006', 'Frasco Vidrio Etiqueta 270 grs Cremosa (sin stock)', '', '7', 'Unidad', 'G', 21, 0, 'Vigente')</v>
      </c>
      <c r="D69" s="215">
        <f t="shared" si="3"/>
        <v>1</v>
      </c>
    </row>
    <row r="70" spans="1:4" ht="15">
      <c r="A70" s="124">
        <v>108006</v>
      </c>
      <c r="B70" s="216" t="s">
        <v>220</v>
      </c>
      <c r="C70" s="215" t="str">
        <f t="shared" si="2"/>
        <v>insert Articulo (Cuit, IdArticulo, DescrArticulo, GTIN, IdUnidad, DescrUnidad, IndicacionExentoGravado, AlicuotaIVA, IdWF, Estado) values ('27165995703', '108006', 'Meloso 480g - Syrup a base de miel pura', '', '7', 'Unidad', 'G', 21, 0, 'Vigente')</v>
      </c>
      <c r="D70" s="215">
        <f t="shared" si="3"/>
        <v>0</v>
      </c>
    </row>
    <row r="71" spans="1:4" ht="15">
      <c r="A71" s="124">
        <v>108006</v>
      </c>
      <c r="B71" s="216" t="s">
        <v>218</v>
      </c>
      <c r="C71" s="215" t="str">
        <f t="shared" si="2"/>
        <v>insert Articulo (Cuit, IdArticulo, DescrArticulo, GTIN, IdUnidad, DescrUnidad, IndicacionExentoGravado, AlicuotaIVA, IdWF, Estado) values ('27165995703', '108006', 'Frasco Vidrio Etiqueta 900 grs liquida', '', '7', 'Unidad', 'G', 21, 0, 'Vigente')</v>
      </c>
      <c r="D71" s="215">
        <f t="shared" si="3"/>
        <v>0</v>
      </c>
    </row>
    <row r="72" spans="1:4" ht="15">
      <c r="A72" s="124">
        <v>108006</v>
      </c>
      <c r="B72" s="216" t="s">
        <v>227</v>
      </c>
      <c r="C72" s="215" t="str">
        <f t="shared" si="2"/>
        <v>insert Articulo (Cuit, IdArticulo, DescrArticulo, GTIN, IdUnidad, DescrUnidad, IndicacionExentoGravado, AlicuotaIVA, IdWF, Estado) values ('27165995703', '108006', 'Miel Ser Sol 900 gr cremosa', '', '7', 'Unidad', 'G', 21, 0, 'Vigente')</v>
      </c>
      <c r="D72" s="215">
        <f t="shared" si="3"/>
        <v>0</v>
      </c>
    </row>
    <row r="73" spans="1:4" ht="15">
      <c r="A73" s="124">
        <v>108006</v>
      </c>
      <c r="B73" s="216" t="s">
        <v>228</v>
      </c>
      <c r="C73" s="215" t="str">
        <f t="shared" si="2"/>
        <v>insert Articulo (Cuit, IdArticulo, DescrArticulo, GTIN, IdUnidad, DescrUnidad, IndicacionExentoGravado, AlicuotaIVA, IdWF, Estado) values ('27165995703', '108006', 'Miel Ser Sol 500 gr cremosa', '', '7', 'Unidad', 'G', 21, 0, 'Vigente')</v>
      </c>
      <c r="D73" s="215">
        <f t="shared" si="3"/>
        <v>0</v>
      </c>
    </row>
    <row r="74" spans="1:4" ht="15">
      <c r="A74" s="124">
        <v>108006</v>
      </c>
      <c r="B74" s="216" t="s">
        <v>229</v>
      </c>
      <c r="C74" s="215" t="str">
        <f t="shared" si="2"/>
        <v>insert Articulo (Cuit, IdArticulo, DescrArticulo, GTIN, IdUnidad, DescrUnidad, IndicacionExentoGravado, AlicuotaIVA, IdWF, Estado) values ('27165995703', '108006', 'Miel Ser Sol 500 gr liquida', '', '7', 'Unidad', 'G', 21, 0, 'Vigente')</v>
      </c>
      <c r="D74" s="215">
        <f t="shared" si="3"/>
        <v>0</v>
      </c>
    </row>
    <row r="75" spans="1:4" ht="15">
      <c r="A75" s="124">
        <v>108006</v>
      </c>
      <c r="B75" s="216" t="s">
        <v>230</v>
      </c>
      <c r="C75" s="215" t="str">
        <f t="shared" si="2"/>
        <v>insert Articulo (Cuit, IdArticulo, DescrArticulo, GTIN, IdUnidad, DescrUnidad, IndicacionExentoGravado, AlicuotaIVA, IdWF, Estado) values ('27165995703', '108006', 'Miel Ser Sol 270 gr liquida', '', '7', 'Unidad', 'G', 21, 0, 'Vigente')</v>
      </c>
      <c r="D75" s="215">
        <f t="shared" si="3"/>
        <v>0</v>
      </c>
    </row>
    <row r="76" spans="1:4" ht="15">
      <c r="A76" s="124">
        <v>108006</v>
      </c>
      <c r="B76" s="214" t="s">
        <v>213</v>
      </c>
      <c r="C76" s="215" t="str">
        <f t="shared" si="2"/>
        <v>insert Articulo (Cuit, IdArticulo, DescrArticulo, GTIN, IdUnidad, DescrUnidad, IndicacionExentoGravado, AlicuotaIVA, IdWF, Estado) values ('27165995703', '108006', 'Miel Bee Pure Cremosa 900g', '', '7', 'Unidad', 'G', 21, 0, 'Vigente')</v>
      </c>
      <c r="D76" s="215">
        <f t="shared" si="3"/>
        <v>0</v>
      </c>
    </row>
    <row r="77" spans="1:4" ht="15">
      <c r="A77" s="124">
        <v>108006</v>
      </c>
      <c r="B77" s="214" t="s">
        <v>214</v>
      </c>
      <c r="C77" s="215" t="str">
        <f t="shared" si="2"/>
        <v>insert Articulo (Cuit, IdArticulo, DescrArticulo, GTIN, IdUnidad, DescrUnidad, IndicacionExentoGravado, AlicuotaIVA, IdWF, Estado) values ('27165995703', '108006', 'Miel Bee Pure Liquida 900g', '', '7', 'Unidad', 'G', 21, 0, 'Vigente')</v>
      </c>
      <c r="D77" s="215">
        <f t="shared" si="3"/>
        <v>0</v>
      </c>
    </row>
    <row r="78" spans="1:4" ht="15">
      <c r="A78" s="124">
        <v>108006</v>
      </c>
      <c r="B78" s="216" t="s">
        <v>215</v>
      </c>
      <c r="C78" s="215" t="str">
        <f t="shared" si="2"/>
        <v>insert Articulo (Cuit, IdArticulo, DescrArticulo, GTIN, IdUnidad, DescrUnidad, IndicacionExentoGravado, AlicuotaIVA, IdWF, Estado) values ('27165995703', '108006', 'Miel Bee Pure Cremosa 500g', '', '7', 'Unidad', 'G', 21, 0, 'Vigente')</v>
      </c>
      <c r="D78" s="215">
        <f t="shared" si="3"/>
        <v>0</v>
      </c>
    </row>
    <row r="79" spans="1:4" ht="15">
      <c r="A79" s="124">
        <v>108006</v>
      </c>
      <c r="B79" s="216" t="s">
        <v>216</v>
      </c>
      <c r="C79" s="215" t="str">
        <f t="shared" si="2"/>
        <v>insert Articulo (Cuit, IdArticulo, DescrArticulo, GTIN, IdUnidad, DescrUnidad, IndicacionExentoGravado, AlicuotaIVA, IdWF, Estado) values ('27165995703', '108006', 'Miel Bee Pure Liquida 500g', '', '7', 'Unidad', 'G', 21, 0, 'Vigente')</v>
      </c>
      <c r="D79" s="215">
        <f t="shared" si="3"/>
        <v>0</v>
      </c>
    </row>
    <row r="80" spans="1:4" ht="15">
      <c r="A80" s="124">
        <v>109001</v>
      </c>
      <c r="B80" s="214" t="s">
        <v>34</v>
      </c>
      <c r="C80" s="215" t="str">
        <f t="shared" si="2"/>
        <v>insert Articulo (Cuit, IdArticulo, DescrArticulo, GTIN, IdUnidad, DescrUnidad, IndicacionExentoGravado, AlicuotaIVA, IdWF, Estado) values ('27165995703', '109001', 'Licor Dulce Botella de 700 cc.', '', '7', 'Unidad', 'G', 21, 0, 'Vigente')</v>
      </c>
      <c r="D80" s="215">
        <f t="shared" si="3"/>
        <v>995</v>
      </c>
    </row>
    <row r="81" spans="1:4" ht="15">
      <c r="A81" s="124">
        <v>109002</v>
      </c>
      <c r="B81" s="214" t="s">
        <v>35</v>
      </c>
      <c r="C81" s="215" t="str">
        <f t="shared" si="2"/>
        <v>insert Articulo (Cuit, IdArticulo, DescrArticulo, GTIN, IdUnidad, DescrUnidad, IndicacionExentoGravado, AlicuotaIVA, IdWF, Estado) values ('27165995703', '109002', 'Licor Seco Botella de 700 cc.', '', '7', 'Unidad', 'G', 21, 0, 'Vigente')</v>
      </c>
      <c r="D81" s="215">
        <f t="shared" si="3"/>
        <v>1</v>
      </c>
    </row>
    <row r="82" spans="1:4" ht="15">
      <c r="A82" s="124">
        <v>109003</v>
      </c>
      <c r="B82" s="214" t="s">
        <v>36</v>
      </c>
      <c r="C82" s="215" t="str">
        <f t="shared" si="2"/>
        <v>insert Articulo (Cuit, IdArticulo, DescrArticulo, GTIN, IdUnidad, DescrUnidad, IndicacionExentoGravado, AlicuotaIVA, IdWF, Estado) values ('27165995703', '109003', 'Licor ¨Naranja¨ Botella de 750 cc.', '', '7', 'Unidad', 'G', 21, 0, 'Vigente')</v>
      </c>
      <c r="D82" s="215">
        <f t="shared" si="3"/>
        <v>1</v>
      </c>
    </row>
    <row r="83" spans="1:4" ht="15">
      <c r="A83" s="124">
        <v>109004</v>
      </c>
      <c r="B83" s="214" t="s">
        <v>37</v>
      </c>
      <c r="C83" s="215" t="str">
        <f t="shared" si="2"/>
        <v>insert Articulo (Cuit, IdArticulo, DescrArticulo, GTIN, IdUnidad, DescrUnidad, IndicacionExentoGravado, AlicuotaIVA, IdWF, Estado) values ('27165995703', '109004', 'Licor “Lemonchello” Botella de 750 cc.', '', '7', 'Unidad', 'G', 21, 0, 'Vigente')</v>
      </c>
      <c r="D83" s="215">
        <f t="shared" si="3"/>
        <v>1</v>
      </c>
    </row>
    <row r="84" spans="1:4" ht="15">
      <c r="A84" s="124">
        <v>109005</v>
      </c>
      <c r="B84" s="214" t="s">
        <v>38</v>
      </c>
      <c r="C84" s="215" t="str">
        <f t="shared" si="2"/>
        <v>insert Articulo (Cuit, IdArticulo, DescrArticulo, GTIN, IdUnidad, DescrUnidad, IndicacionExentoGravado, AlicuotaIVA, IdWF, Estado) values ('27165995703', '109005', 'Licor de Arándano Botella de 750 cc.', '', '7', 'Unidad', 'G', 21, 0, 'Vigente')</v>
      </c>
      <c r="D84" s="215">
        <f t="shared" si="3"/>
        <v>1</v>
      </c>
    </row>
    <row r="85" spans="1:4" ht="15">
      <c r="A85" s="124">
        <v>110001</v>
      </c>
      <c r="B85" s="216" t="s">
        <v>354</v>
      </c>
      <c r="C85" s="215" t="str">
        <f t="shared" si="2"/>
        <v>insert Articulo (Cuit, IdArticulo, DescrArticulo, GTIN, IdUnidad, DescrUnidad, IndicacionExentoGravado, AlicuotaIVA, IdWF, Estado) values ('27165995703', '110001', 'Choclo en granos lata individual', '', '7', 'Unidad', 'G', 21, 0, 'Vigente')</v>
      </c>
      <c r="D85" s="215">
        <f t="shared" si="3"/>
        <v>996</v>
      </c>
    </row>
    <row r="86" spans="1:4" ht="15">
      <c r="A86" s="124">
        <v>110002</v>
      </c>
      <c r="B86" s="216" t="s">
        <v>92</v>
      </c>
      <c r="C86" s="215" t="str">
        <f t="shared" si="2"/>
        <v>insert Articulo (Cuit, IdArticulo, DescrArticulo, GTIN, IdUnidad, DescrUnidad, IndicacionExentoGravado, AlicuotaIVA, IdWF, Estado) values ('27165995703', '110002', 'Choclo en granos (s/ adic azucar)', '', '7', 'Unidad', 'G', 21, 0, 'Vigente')</v>
      </c>
      <c r="D86" s="215">
        <f t="shared" si="3"/>
        <v>1</v>
      </c>
    </row>
    <row r="87" spans="1:4" ht="15">
      <c r="A87" s="124">
        <v>110003</v>
      </c>
      <c r="B87" s="216" t="s">
        <v>115</v>
      </c>
      <c r="C87" s="215" t="str">
        <f t="shared" si="2"/>
        <v>insert Articulo (Cuit, IdArticulo, DescrArticulo, GTIN, IdUnidad, DescrUnidad, IndicacionExentoGravado, AlicuotaIVA, IdWF, Estado) values ('27165995703', '110003', 'choclo en grano BRASIL', '', '7', 'Unidad', 'G', 21, 0, 'Vigente')</v>
      </c>
      <c r="D87" s="215">
        <f t="shared" si="3"/>
        <v>1</v>
      </c>
    </row>
    <row r="88" spans="1:4" ht="15">
      <c r="A88" s="124">
        <v>110004</v>
      </c>
      <c r="B88" s="216" t="s">
        <v>1</v>
      </c>
      <c r="C88" s="215" t="str">
        <f t="shared" si="2"/>
        <v>insert Articulo (Cuit, IdArticulo, DescrArticulo, GTIN, IdUnidad, DescrUnidad, IndicacionExentoGravado, AlicuotaIVA, IdWF, Estado) values ('27165995703', '110004', 'Arvejas Muy Finas Cocinadas', '', '7', 'Unidad', 'G', 21, 0, 'Vigente')</v>
      </c>
      <c r="D88" s="215">
        <f t="shared" si="3"/>
        <v>1</v>
      </c>
    </row>
    <row r="89" spans="1:4" ht="15">
      <c r="A89" s="124">
        <v>110005</v>
      </c>
      <c r="B89" s="216" t="s">
        <v>2</v>
      </c>
      <c r="C89" s="215" t="str">
        <f t="shared" si="2"/>
        <v>insert Articulo (Cuit, IdArticulo, DescrArticulo, GTIN, IdUnidad, DescrUnidad, IndicacionExentoGravado, AlicuotaIVA, IdWF, Estado) values ('27165995703', '110005', 'Chauchas Muy Finas', '', '7', 'Unidad', 'G', 21, 0, 'Vigente')</v>
      </c>
      <c r="D89" s="215">
        <f t="shared" si="3"/>
        <v>1</v>
      </c>
    </row>
    <row r="90" spans="1:4" ht="15">
      <c r="A90" s="124">
        <v>110006</v>
      </c>
      <c r="B90" s="216" t="s">
        <v>3</v>
      </c>
      <c r="C90" s="215" t="str">
        <f t="shared" si="2"/>
        <v>insert Articulo (Cuit, IdArticulo, DescrArticulo, GTIN, IdUnidad, DescrUnidad, IndicacionExentoGravado, AlicuotaIVA, IdWF, Estado) values ('27165995703', '110006', 'Espinacas en Hojas', '', '7', 'Unidad', 'G', 21, 0, 'Vigente')</v>
      </c>
      <c r="D90" s="215">
        <f t="shared" si="3"/>
        <v>1</v>
      </c>
    </row>
    <row r="91" spans="1:4" ht="15">
      <c r="A91" s="124">
        <v>110007</v>
      </c>
      <c r="B91" s="216" t="s">
        <v>4</v>
      </c>
      <c r="C91" s="215" t="str">
        <f t="shared" si="2"/>
        <v>insert Articulo (Cuit, IdArticulo, DescrArticulo, GTIN, IdUnidad, DescrUnidad, IndicacionExentoGravado, AlicuotaIVA, IdWF, Estado) values ('27165995703', '110007', 'Macedonia de Legumbres', '', '7', 'Unidad', 'G', 21, 0, 'Vigente')</v>
      </c>
      <c r="D91" s="215">
        <f t="shared" si="3"/>
        <v>1</v>
      </c>
    </row>
    <row r="92" spans="1:4" ht="15">
      <c r="A92" s="124">
        <v>110008</v>
      </c>
      <c r="B92" s="216" t="s">
        <v>5</v>
      </c>
      <c r="C92" s="215" t="str">
        <f t="shared" si="2"/>
        <v>insert Articulo (Cuit, IdArticulo, DescrArticulo, GTIN, IdUnidad, DescrUnidad, IndicacionExentoGravado, AlicuotaIVA, IdWF, Estado) values ('27165995703', '110008', 'Porotos Rojos', '', '7', 'Unidad', 'G', 21, 0, 'Vigente')</v>
      </c>
      <c r="D92" s="215">
        <f t="shared" si="3"/>
        <v>1</v>
      </c>
    </row>
    <row r="93" spans="1:4" ht="15">
      <c r="A93" s="124">
        <v>110009</v>
      </c>
      <c r="B93" s="216" t="s">
        <v>9</v>
      </c>
      <c r="C93" s="215" t="str">
        <f t="shared" si="2"/>
        <v>insert Articulo (Cuit, IdArticulo, DescrArticulo, GTIN, IdUnidad, DescrUnidad, IndicacionExentoGravado, AlicuotaIVA, IdWF, Estado) values ('27165995703', '110009', 'Arvejas M.F. y Zanahorias', '', '7', 'Unidad', 'G', 21, 0, 'Vigente')</v>
      </c>
      <c r="D93" s="215">
        <f t="shared" si="3"/>
        <v>1</v>
      </c>
    </row>
    <row r="94" spans="1:4" ht="15">
      <c r="A94" s="124">
        <v>110010</v>
      </c>
      <c r="B94" s="216" t="s">
        <v>10</v>
      </c>
      <c r="C94" s="215" t="str">
        <f t="shared" si="2"/>
        <v>insert Articulo (Cuit, IdArticulo, DescrArticulo, GTIN, IdUnidad, DescrUnidad, IndicacionExentoGravado, AlicuotaIVA, IdWF, Estado) values ('27165995703', '110010', 'Zanahorias Extra Finas', '', '7', 'Unidad', 'G', 21, 0, 'Vigente')</v>
      </c>
      <c r="D94" s="215">
        <f t="shared" si="3"/>
        <v>1</v>
      </c>
    </row>
    <row r="95" spans="1:4" ht="15">
      <c r="A95" s="124">
        <v>110011</v>
      </c>
      <c r="B95" s="216" t="s">
        <v>11</v>
      </c>
      <c r="C95" s="215" t="str">
        <f t="shared" si="2"/>
        <v>insert Articulo (Cuit, IdArticulo, DescrArticulo, GTIN, IdUnidad, DescrUnidad, IndicacionExentoGravado, AlicuotaIVA, IdWF, Estado) values ('27165995703', '110011', 'Remolacha en dados', '', '7', 'Unidad', 'G', 21, 0, 'Vigente')</v>
      </c>
      <c r="D95" s="215">
        <f t="shared" si="3"/>
        <v>1</v>
      </c>
    </row>
    <row r="96" spans="1:4" ht="15">
      <c r="A96" s="124">
        <v>110012</v>
      </c>
      <c r="B96" s="216" t="s">
        <v>128</v>
      </c>
      <c r="C96" s="215" t="str">
        <f t="shared" si="2"/>
        <v>insert Articulo (Cuit, IdArticulo, DescrArticulo, GTIN, IdUnidad, DescrUnidad, IndicacionExentoGravado, AlicuotaIVA, IdWF, Estado) values ('27165995703', '110012', 'Arveja Bonduelle Brasil', '', '7', 'Unidad', 'G', 21, 0, 'Vigente')</v>
      </c>
      <c r="D96" s="215">
        <f t="shared" si="3"/>
        <v>1</v>
      </c>
    </row>
    <row r="97" spans="1:4" ht="15">
      <c r="A97" s="124">
        <v>110013</v>
      </c>
      <c r="B97" s="216" t="s">
        <v>12</v>
      </c>
      <c r="C97" s="215" t="str">
        <f t="shared" si="2"/>
        <v>insert Articulo (Cuit, IdArticulo, DescrArticulo, GTIN, IdUnidad, DescrUnidad, IndicacionExentoGravado, AlicuotaIVA, IdWF, Estado) values ('27165995703', '110013', 'Lentejas Cocinadas', '', '7', 'Unidad', 'G', 21, 0, 'Vigente')</v>
      </c>
      <c r="D97" s="215">
        <f t="shared" si="3"/>
        <v>1</v>
      </c>
    </row>
    <row r="98" spans="1:4" ht="15">
      <c r="A98" s="124">
        <v>110014</v>
      </c>
      <c r="B98" s="216" t="s">
        <v>13</v>
      </c>
      <c r="C98" s="215" t="str">
        <f t="shared" si="2"/>
        <v>insert Articulo (Cuit, IdArticulo, DescrArticulo, GTIN, IdUnidad, DescrUnidad, IndicacionExentoGravado, AlicuotaIVA, IdWF, Estado) values ('27165995703', '110014', 'Repollitos de Bruselas', '', '7', 'Unidad', 'G', 21, 0, 'Vigente')</v>
      </c>
      <c r="D98" s="215">
        <f t="shared" si="3"/>
        <v>1</v>
      </c>
    </row>
    <row r="99" spans="1:4" ht="15">
      <c r="A99" s="124">
        <v>110015</v>
      </c>
      <c r="B99" s="216" t="s">
        <v>71</v>
      </c>
      <c r="C99" s="215" t="str">
        <f t="shared" si="2"/>
        <v>insert Articulo (Cuit, IdArticulo, DescrArticulo, GTIN, IdUnidad, DescrUnidad, IndicacionExentoGravado, AlicuotaIVA, IdWF, Estado) values ('27165995703', '110015', 'Garbanzos', '', '7', 'Unidad', 'G', 21, 0, 'Vigente')</v>
      </c>
      <c r="D99" s="215">
        <f t="shared" si="3"/>
        <v>1</v>
      </c>
    </row>
    <row r="100" spans="1:4" ht="15">
      <c r="A100" s="124">
        <v>110050</v>
      </c>
      <c r="B100" s="216" t="s">
        <v>45</v>
      </c>
      <c r="C100" s="215" t="str">
        <f t="shared" si="2"/>
        <v>insert Articulo (Cuit, IdArticulo, DescrArticulo, GTIN, IdUnidad, DescrUnidad, IndicacionExentoGravado, AlicuotaIVA, IdWF, Estado) values ('27165995703', '110050', 'Sopa Condensada Tomate x 305g', '', '7', 'Unidad', 'G', 21, 0, 'Vigente')</v>
      </c>
      <c r="D100" s="215">
        <f t="shared" si="3"/>
        <v>35</v>
      </c>
    </row>
    <row r="101" spans="1:4" ht="15">
      <c r="A101" s="124">
        <v>110051</v>
      </c>
      <c r="B101" s="216" t="s">
        <v>251</v>
      </c>
      <c r="C101" s="215" t="str">
        <f t="shared" si="2"/>
        <v>insert Articulo (Cuit, IdArticulo, DescrArticulo, GTIN, IdUnidad, DescrUnidad, IndicacionExentoGravado, AlicuotaIVA, IdWF, Estado) values ('27165995703', '110051', 'Sopa Conds Mushroom (setas) x 305g', '', '7', 'Unidad', 'G', 21, 0, 'Vigente')</v>
      </c>
      <c r="D101" s="215">
        <f t="shared" si="3"/>
        <v>1</v>
      </c>
    </row>
    <row r="102" spans="1:4" ht="15">
      <c r="A102" s="124">
        <v>110052</v>
      </c>
      <c r="B102" s="216" t="s">
        <v>252</v>
      </c>
      <c r="C102" s="215" t="str">
        <f t="shared" si="2"/>
        <v>insert Articulo (Cuit, IdArticulo, DescrArticulo, GTIN, IdUnidad, DescrUnidad, IndicacionExentoGravado, AlicuotaIVA, IdWF, Estado) values ('27165995703', '110052', 'Sopa Crema de Vegetales', '', '7', 'Unidad', 'G', 21, 0, 'Vigente')</v>
      </c>
      <c r="D102" s="215">
        <f t="shared" si="3"/>
        <v>1</v>
      </c>
    </row>
    <row r="103" spans="1:4" ht="15">
      <c r="A103" s="124">
        <v>110053</v>
      </c>
      <c r="B103" s="216" t="s">
        <v>253</v>
      </c>
      <c r="C103" s="215" t="str">
        <f t="shared" si="2"/>
        <v>insert Articulo (Cuit, IdArticulo, DescrArticulo, GTIN, IdUnidad, DescrUnidad, IndicacionExentoGravado, AlicuotaIVA, IdWF, Estado) values ('27165995703', '110053', 'Sopa minestron', '', '7', 'Unidad', 'G', 21, 0, 'Vigente')</v>
      </c>
      <c r="D103" s="215">
        <f t="shared" si="3"/>
        <v>1</v>
      </c>
    </row>
    <row r="104" spans="1:4" ht="15">
      <c r="A104" s="124">
        <v>111001</v>
      </c>
      <c r="B104" s="216" t="s">
        <v>46</v>
      </c>
      <c r="C104" s="215" t="str">
        <f t="shared" si="2"/>
        <v>insert Articulo (Cuit, IdArticulo, DescrArticulo, GTIN, IdUnidad, DescrUnidad, IndicacionExentoGravado, AlicuotaIVA, IdWF, Estado) values ('27165995703', '111001', 'Brownies x 170g (6 meses)', '', '7', 'Unidad', 'G', 21, 0, 'Vigente')</v>
      </c>
      <c r="D104" s="215">
        <f t="shared" si="3"/>
        <v>948</v>
      </c>
    </row>
    <row r="105" spans="1:4" ht="15">
      <c r="A105" s="124">
        <v>111002</v>
      </c>
      <c r="B105" s="216" t="s">
        <v>47</v>
      </c>
      <c r="C105" s="215" t="str">
        <f t="shared" si="2"/>
        <v>insert Articulo (Cuit, IdArticulo, DescrArticulo, GTIN, IdUnidad, DescrUnidad, IndicacionExentoGravado, AlicuotaIVA, IdWF, Estado) values ('27165995703', '111002', 'Cookies Chocolate Chip x 180g', '', '7', 'Unidad', 'G', 21, 0, 'Vigente')</v>
      </c>
      <c r="D105" s="215">
        <f t="shared" si="3"/>
        <v>1</v>
      </c>
    </row>
    <row r="106" spans="1:4" ht="15">
      <c r="A106" s="124">
        <v>111003</v>
      </c>
      <c r="B106" s="216" t="s">
        <v>48</v>
      </c>
      <c r="C106" s="215" t="str">
        <f t="shared" si="2"/>
        <v>insert Articulo (Cuit, IdArticulo, DescrArticulo, GTIN, IdUnidad, DescrUnidad, IndicacionExentoGravado, AlicuotaIVA, IdWF, Estado) values ('27165995703', '111003', 'Cookies Passion for Chocolat x 180g', '', '7', 'Unidad', 'G', 21, 0, 'Vigente')</v>
      </c>
      <c r="D106" s="215">
        <f t="shared" si="3"/>
        <v>1</v>
      </c>
    </row>
    <row r="107" spans="1:4" ht="15">
      <c r="A107" s="124">
        <v>111004</v>
      </c>
      <c r="B107" s="216" t="s">
        <v>49</v>
      </c>
      <c r="C107" s="215" t="str">
        <f t="shared" si="2"/>
        <v>insert Articulo (Cuit, IdArticulo, DescrArticulo, GTIN, IdUnidad, DescrUnidad, IndicacionExentoGravado, AlicuotaIVA, IdWF, Estado) values ('27165995703', '111004', 'Biscotti Almendras x 180g', '', '7', 'Unidad', 'G', 21, 0, 'Vigente')</v>
      </c>
      <c r="D107" s="215">
        <f t="shared" si="3"/>
        <v>1</v>
      </c>
    </row>
    <row r="108" spans="1:4" ht="15">
      <c r="A108" s="124">
        <v>111004</v>
      </c>
      <c r="B108" s="216" t="s">
        <v>107</v>
      </c>
      <c r="C108" s="215" t="str">
        <f t="shared" si="2"/>
        <v>insert Articulo (Cuit, IdArticulo, DescrArticulo, GTIN, IdUnidad, DescrUnidad, IndicacionExentoGravado, AlicuotaIVA, IdWF, Estado) values ('27165995703', '111004', 'Gaturro Alcancía', '', '7', 'Unidad', 'G', 21, 0, 'Vigente')</v>
      </c>
      <c r="D108" s="215">
        <f t="shared" si="3"/>
        <v>0</v>
      </c>
    </row>
    <row r="109" spans="1:4" ht="15">
      <c r="A109" s="124">
        <v>111006</v>
      </c>
      <c r="B109" s="75" t="s">
        <v>96</v>
      </c>
      <c r="C109" s="215" t="str">
        <f t="shared" si="2"/>
        <v>insert Articulo (Cuit, IdArticulo, DescrArticulo, GTIN, IdUnidad, DescrUnidad, IndicacionExentoGravado, AlicuotaIVA, IdWF, Estado) values ('27165995703', '111006', 'Mini Brownies (6 meses)', '', '7', 'Unidad', 'G', 21, 0, 'Vigente')</v>
      </c>
      <c r="D109" s="215">
        <f t="shared" si="3"/>
        <v>2</v>
      </c>
    </row>
    <row r="110" spans="1:4" ht="15">
      <c r="A110" s="124">
        <v>111007</v>
      </c>
      <c r="B110" s="75" t="s">
        <v>97</v>
      </c>
      <c r="C110" s="215" t="str">
        <f t="shared" si="2"/>
        <v>insert Articulo (Cuit, IdArticulo, DescrArticulo, GTIN, IdUnidad, DescrUnidad, IndicacionExentoGravado, AlicuotaIVA, IdWF, Estado) values ('27165995703', '111007', 'Mini Passion x Chocolate x 50g', '', '7', 'Unidad', 'G', 21, 0, 'Vigente')</v>
      </c>
      <c r="D110" s="215">
        <f t="shared" si="3"/>
        <v>1</v>
      </c>
    </row>
    <row r="111" spans="1:4" ht="15">
      <c r="A111" s="124">
        <v>111008</v>
      </c>
      <c r="B111" s="75" t="s">
        <v>98</v>
      </c>
      <c r="C111" s="215" t="str">
        <f t="shared" si="2"/>
        <v>insert Articulo (Cuit, IdArticulo, DescrArticulo, GTIN, IdUnidad, DescrUnidad, IndicacionExentoGravado, AlicuotaIVA, IdWF, Estado) values ('27165995703', '111008', 'Mini Biscotti Mandorle x 50g', '', '7', 'Unidad', 'G', 21, 0, 'Vigente')</v>
      </c>
      <c r="D111" s="215">
        <f t="shared" si="3"/>
        <v>1</v>
      </c>
    </row>
    <row r="112" spans="1:4" ht="15">
      <c r="A112" s="124">
        <v>111009</v>
      </c>
      <c r="B112" s="75" t="s">
        <v>285</v>
      </c>
      <c r="C112" s="215" t="str">
        <f t="shared" si="2"/>
        <v>insert Articulo (Cuit, IdArticulo, DescrArticulo, GTIN, IdUnidad, DescrUnidad, IndicacionExentoGravado, AlicuotaIVA, IdWF, Estado) values ('27165995703', '111009', 'Mini Fugazza x 50g', '', '7', 'Unidad', 'G', 21, 0, 'Vigente')</v>
      </c>
      <c r="D112" s="215">
        <f t="shared" si="3"/>
        <v>1</v>
      </c>
    </row>
    <row r="113" spans="1:4" ht="15">
      <c r="A113" s="124">
        <v>111010</v>
      </c>
      <c r="B113" s="216" t="s">
        <v>76</v>
      </c>
      <c r="C113" s="215" t="str">
        <f t="shared" si="2"/>
        <v>insert Articulo (Cuit, IdArticulo, DescrArticulo, GTIN, IdUnidad, DescrUnidad, IndicacionExentoGravado, AlicuotaIVA, IdWF, Estado) values ('27165995703', '111010', 'Brownies Plancha (30cm x 30cm)', '', '7', 'Unidad', 'G', 21, 0, 'Vigente')</v>
      </c>
      <c r="D113" s="215">
        <f t="shared" si="3"/>
        <v>1</v>
      </c>
    </row>
    <row r="114" spans="1:4" ht="15">
      <c r="A114" s="124">
        <v>111011</v>
      </c>
      <c r="B114" s="216" t="s">
        <v>309</v>
      </c>
      <c r="C114" s="215" t="str">
        <f t="shared" si="2"/>
        <v>insert Articulo (Cuit, IdArticulo, DescrArticulo, GTIN, IdUnidad, DescrUnidad, IndicacionExentoGravado, AlicuotaIVA, IdWF, Estado) values ('27165995703', '111011', 'Cookies Avena x 2 Kg', '', '7', 'Unidad', 'G', 21, 0, 'Vigente')</v>
      </c>
      <c r="D114" s="215">
        <f t="shared" si="3"/>
        <v>1</v>
      </c>
    </row>
    <row r="115" spans="1:4" ht="15">
      <c r="A115" s="124">
        <v>111012</v>
      </c>
      <c r="B115" s="216" t="s">
        <v>307</v>
      </c>
      <c r="C115" s="215" t="str">
        <f t="shared" si="2"/>
        <v>insert Articulo (Cuit, IdArticulo, DescrArticulo, GTIN, IdUnidad, DescrUnidad, IndicacionExentoGravado, AlicuotaIVA, IdWF, Estado) values ('27165995703', '111012', 'Cookies Chocolate Chip Chicas x 2 Kg', '', '7', 'Unidad', 'G', 21, 0, 'Vigente')</v>
      </c>
      <c r="D115" s="215">
        <f t="shared" si="3"/>
        <v>1</v>
      </c>
    </row>
    <row r="116" spans="1:4" ht="15">
      <c r="A116" s="124">
        <v>111013</v>
      </c>
      <c r="B116" s="216" t="s">
        <v>308</v>
      </c>
      <c r="C116" s="215" t="str">
        <f t="shared" si="2"/>
        <v>insert Articulo (Cuit, IdArticulo, DescrArticulo, GTIN, IdUnidad, DescrUnidad, IndicacionExentoGravado, AlicuotaIVA, IdWF, Estado) values ('27165995703', '111013', 'Cookies Passion for Chocolat Chic x 2 Kg', '', '7', 'Unidad', 'G', 21, 0, 'Vigente')</v>
      </c>
      <c r="D116" s="215">
        <f t="shared" si="3"/>
        <v>1</v>
      </c>
    </row>
    <row r="117" spans="1:4" ht="15">
      <c r="A117" s="124">
        <v>111014</v>
      </c>
      <c r="B117" s="218" t="s">
        <v>144</v>
      </c>
      <c r="C117" s="215" t="str">
        <f t="shared" si="2"/>
        <v>insert Articulo (Cuit, IdArticulo, DescrArticulo, GTIN, IdUnidad, DescrUnidad, IndicacionExentoGravado, AlicuotaIVA, IdWF, Estado) values ('27165995703', '111014', 'Cantuchini Almendra Koo !180 gr', '', '7', 'Unidad', 'G', 21, 0, 'Vigente')</v>
      </c>
      <c r="D117" s="215">
        <f t="shared" si="3"/>
        <v>1</v>
      </c>
    </row>
    <row r="118" spans="1:4" ht="15">
      <c r="A118" s="124">
        <v>111015</v>
      </c>
      <c r="B118" s="218" t="s">
        <v>145</v>
      </c>
      <c r="C118" s="215" t="str">
        <f t="shared" si="2"/>
        <v>insert Articulo (Cuit, IdArticulo, DescrArticulo, GTIN, IdUnidad, DescrUnidad, IndicacionExentoGravado, AlicuotaIVA, IdWF, Estado) values ('27165995703', '111015', 'Cantuchini Chocolate Koo!180 gr', '', '7', 'Unidad', 'G', 21, 0, 'Vigente')</v>
      </c>
      <c r="D118" s="215">
        <f t="shared" si="3"/>
        <v>1</v>
      </c>
    </row>
    <row r="119" spans="1:4" ht="15">
      <c r="A119" s="124">
        <v>111016</v>
      </c>
      <c r="B119" s="218" t="s">
        <v>146</v>
      </c>
      <c r="C119" s="215" t="str">
        <f t="shared" si="2"/>
        <v>insert Articulo (Cuit, IdArticulo, DescrArticulo, GTIN, IdUnidad, DescrUnidad, IndicacionExentoGravado, AlicuotaIVA, IdWF, Estado) values ('27165995703', '111016', 'Lemon &amp; Ginger Koo! 180 gr', '', '7', 'Unidad', 'G', 21, 0, 'Vigente')</v>
      </c>
      <c r="D119" s="215">
        <f t="shared" si="3"/>
        <v>1</v>
      </c>
    </row>
    <row r="120" spans="1:4" ht="15">
      <c r="A120" s="124">
        <v>111017</v>
      </c>
      <c r="B120" s="218" t="s">
        <v>147</v>
      </c>
      <c r="C120" s="215" t="str">
        <f t="shared" si="2"/>
        <v>insert Articulo (Cuit, IdArticulo, DescrArticulo, GTIN, IdUnidad, DescrUnidad, IndicacionExentoGravado, AlicuotaIVA, IdWF, Estado) values ('27165995703', '111017', 'Coco &amp; Coco Koo! 180 gr', '', '7', 'Unidad', 'G', 21, 0, 'Vigente')</v>
      </c>
      <c r="D120" s="215">
        <f t="shared" si="3"/>
        <v>1</v>
      </c>
    </row>
    <row r="121" spans="1:4" ht="15">
      <c r="A121" s="124">
        <v>111018</v>
      </c>
      <c r="B121" s="218" t="s">
        <v>148</v>
      </c>
      <c r="C121" s="215" t="str">
        <f t="shared" si="2"/>
        <v>insert Articulo (Cuit, IdArticulo, DescrArticulo, GTIN, IdUnidad, DescrUnidad, IndicacionExentoGravado, AlicuotaIVA, IdWF, Estado) values ('27165995703', '111018', 'Sweet &amp; Salty Koo! 180 gr', '', '7', 'Unidad', 'G', 21, 0, 'Vigente')</v>
      </c>
      <c r="D121" s="215">
        <f t="shared" si="3"/>
        <v>1</v>
      </c>
    </row>
    <row r="122" spans="1:4" ht="15">
      <c r="A122" s="124">
        <v>111019</v>
      </c>
      <c r="B122" s="218" t="s">
        <v>149</v>
      </c>
      <c r="C122" s="215" t="str">
        <f t="shared" si="2"/>
        <v>insert Articulo (Cuit, IdArticulo, DescrArticulo, GTIN, IdUnidad, DescrUnidad, IndicacionExentoGravado, AlicuotaIVA, IdWF, Estado) values ('27165995703', '111019', 'Chai Cookie Koo! 180 gr', '', '7', 'Unidad', 'G', 21, 0, 'Vigente')</v>
      </c>
      <c r="D122" s="215">
        <f t="shared" si="3"/>
        <v>1</v>
      </c>
    </row>
    <row r="123" spans="1:4" ht="15">
      <c r="A123" s="124">
        <v>111020</v>
      </c>
      <c r="B123" s="218" t="s">
        <v>233</v>
      </c>
      <c r="C123" s="215" t="str">
        <f t="shared" si="2"/>
        <v>insert Articulo (Cuit, IdArticulo, DescrArticulo, GTIN, IdUnidad, DescrUnidad, IndicacionExentoGravado, AlicuotaIVA, IdWF, Estado) values ('27165995703', '111020', 'Coco &amp; Coco Koo! 210 gr', '', '7', 'Unidad', 'G', 21, 0, 'Vigente')</v>
      </c>
      <c r="D123" s="215">
        <f t="shared" si="3"/>
        <v>1</v>
      </c>
    </row>
    <row r="124" spans="1:4" ht="15">
      <c r="A124" s="124">
        <v>111021</v>
      </c>
      <c r="B124" s="218" t="s">
        <v>234</v>
      </c>
      <c r="C124" s="215" t="str">
        <f t="shared" si="2"/>
        <v>insert Articulo (Cuit, IdArticulo, DescrArticulo, GTIN, IdUnidad, DescrUnidad, IndicacionExentoGravado, AlicuotaIVA, IdWF, Estado) values ('27165995703', '111021', 'Lemon &amp; Ginger Koo! 210 gr', '', '7', 'Unidad', 'G', 21, 0, 'Vigente')</v>
      </c>
      <c r="D124" s="215">
        <f t="shared" si="3"/>
        <v>1</v>
      </c>
    </row>
    <row r="125" spans="1:4" ht="15">
      <c r="A125" s="124">
        <v>111022</v>
      </c>
      <c r="B125" s="218" t="s">
        <v>235</v>
      </c>
      <c r="C125" s="215" t="str">
        <f t="shared" si="2"/>
        <v>insert Articulo (Cuit, IdArticulo, DescrArticulo, GTIN, IdUnidad, DescrUnidad, IndicacionExentoGravado, AlicuotaIVA, IdWF, Estado) values ('27165995703', '111022', 'French Vainilla Koo! 210 gr', '', '7', 'Unidad', 'G', 21, 0, 'Vigente')</v>
      </c>
      <c r="D125" s="215">
        <f t="shared" si="3"/>
        <v>1</v>
      </c>
    </row>
    <row r="126" spans="1:4" ht="15">
      <c r="A126" s="124">
        <v>112001</v>
      </c>
      <c r="B126" s="216" t="s">
        <v>50</v>
      </c>
      <c r="C126" s="215" t="str">
        <f t="shared" si="2"/>
        <v>insert Articulo (Cuit, IdArticulo, DescrArticulo, GTIN, IdUnidad, DescrUnidad, IndicacionExentoGravado, AlicuotaIVA, IdWF, Estado) values ('27165995703', '112001', 'Copetín Bastones de Fugazza x 160g', '', '7', 'Unidad', 'G', 21, 0, 'Vigente')</v>
      </c>
      <c r="D126" s="215">
        <f t="shared" si="3"/>
        <v>979</v>
      </c>
    </row>
    <row r="127" spans="1:4" ht="15">
      <c r="A127" s="124">
        <v>112002</v>
      </c>
      <c r="B127" s="216" t="s">
        <v>51</v>
      </c>
      <c r="C127" s="215" t="str">
        <f t="shared" si="2"/>
        <v>insert Articulo (Cuit, IdArticulo, DescrArticulo, GTIN, IdUnidad, DescrUnidad, IndicacionExentoGravado, AlicuotaIVA, IdWF, Estado) values ('27165995703', '112002', 'Copetín Queso y Nuez x 160g', '', '7', 'Unidad', 'G', 21, 0, 'Vigente')</v>
      </c>
      <c r="D127" s="215">
        <f t="shared" si="3"/>
        <v>1</v>
      </c>
    </row>
    <row r="128" spans="1:4" ht="15">
      <c r="A128" s="124">
        <v>112003</v>
      </c>
      <c r="B128" s="216" t="s">
        <v>80</v>
      </c>
      <c r="C128" s="215" t="str">
        <f t="shared" si="2"/>
        <v>insert Articulo (Cuit, IdArticulo, DescrArticulo, GTIN, IdUnidad, DescrUnidad, IndicacionExentoGravado, AlicuotaIVA, IdWF, Estado) values ('27165995703', '112003', 'Copetín Rueditas al Pesto', '', '7', 'Unidad', 'G', 21, 0, 'Vigente')</v>
      </c>
      <c r="D128" s="215">
        <f t="shared" si="3"/>
        <v>1</v>
      </c>
    </row>
    <row r="129" spans="1:4" ht="15">
      <c r="A129" s="124">
        <v>112004</v>
      </c>
      <c r="B129" s="216" t="s">
        <v>123</v>
      </c>
      <c r="C129" s="215" t="str">
        <f t="shared" si="2"/>
        <v>insert Articulo (Cuit, IdArticulo, DescrArticulo, GTIN, IdUnidad, DescrUnidad, IndicacionExentoGravado, AlicuotaIVA, IdWF, Estado) values ('27165995703', '112004', 'Copetín tomate y romero', '', '7', 'Unidad', 'G', 21, 0, 'Vigente')</v>
      </c>
      <c r="D129" s="215">
        <f t="shared" si="3"/>
        <v>1</v>
      </c>
    </row>
    <row r="130" spans="1:4" ht="15">
      <c r="A130" s="124">
        <v>113001</v>
      </c>
      <c r="B130" s="216" t="s">
        <v>81</v>
      </c>
      <c r="C130" s="215" t="str">
        <f t="shared" ref="C130:C193" si="4">"insert Articulo (Cuit, IdArticulo, DescrArticulo, GTIN, IdUnidad, DescrUnidad, IndicacionExentoGravado, AlicuotaIVA, IdWF, Estado) values ('27165995703', '" &amp; A130 &amp; "', '" &amp; B130 &amp; "', '', '7', 'Unidad', 'G', 21, 0, 'Vigente')"</f>
        <v>insert Articulo (Cuit, IdArticulo, DescrArticulo, GTIN, IdUnidad, DescrUnidad, IndicacionExentoGravado, AlicuotaIVA, IdWF, Estado) values ('27165995703', '113001', 'Copetín Oregano y Queso', '', '7', 'Unidad', 'G', 21, 0, 'Vigente')</v>
      </c>
      <c r="D130" s="215">
        <f t="shared" si="3"/>
        <v>997</v>
      </c>
    </row>
    <row r="131" spans="1:4" ht="15">
      <c r="A131" s="124">
        <v>113002</v>
      </c>
      <c r="B131" s="216" t="s">
        <v>70</v>
      </c>
      <c r="C131" s="215" t="str">
        <f t="shared" si="4"/>
        <v>insert Articulo (Cuit, IdArticulo, DescrArticulo, GTIN, IdUnidad, DescrUnidad, IndicacionExentoGravado, AlicuotaIVA, IdWF, Estado) values ('27165995703', '113002', 'Budín Banana y Nuez x 250g', '', '7', 'Unidad', 'G', 21, 0, 'Vigente')</v>
      </c>
      <c r="D131" s="215">
        <f t="shared" ref="D131:D194" si="5">+A131-A130</f>
        <v>1</v>
      </c>
    </row>
    <row r="132" spans="1:4" ht="15">
      <c r="A132" s="124">
        <v>113003</v>
      </c>
      <c r="B132" s="216" t="s">
        <v>52</v>
      </c>
      <c r="C132" s="215" t="str">
        <f t="shared" si="4"/>
        <v>insert Articulo (Cuit, IdArticulo, DescrArticulo, GTIN, IdUnidad, DescrUnidad, IndicacionExentoGravado, AlicuotaIVA, IdWF, Estado) values ('27165995703', '113003', 'Budín Superchocolate x 250g', '', '7', 'Unidad', 'G', 21, 0, 'Vigente')</v>
      </c>
      <c r="D132" s="215">
        <f t="shared" si="5"/>
        <v>1</v>
      </c>
    </row>
    <row r="133" spans="1:4" ht="15">
      <c r="A133" s="124">
        <v>113004</v>
      </c>
      <c r="B133" s="216" t="s">
        <v>77</v>
      </c>
      <c r="C133" s="215" t="str">
        <f t="shared" si="4"/>
        <v>insert Articulo (Cuit, IdArticulo, DescrArticulo, GTIN, IdUnidad, DescrUnidad, IndicacionExentoGravado, AlicuotaIVA, IdWF, Estado) values ('27165995703', '113004', 'Budín Ingles x 250g', '', '7', 'Unidad', 'G', 21, 0, 'Vigente')</v>
      </c>
      <c r="D133" s="215">
        <f t="shared" si="5"/>
        <v>1</v>
      </c>
    </row>
    <row r="134" spans="1:4" ht="15">
      <c r="A134" s="124">
        <v>113005</v>
      </c>
      <c r="B134" s="216" t="s">
        <v>78</v>
      </c>
      <c r="C134" s="215" t="str">
        <f t="shared" si="4"/>
        <v>insert Articulo (Cuit, IdArticulo, DescrArticulo, GTIN, IdUnidad, DescrUnidad, IndicacionExentoGravado, AlicuotaIVA, IdWF, Estado) values ('27165995703', '113005', 'Budín Limon con Amapolas x 250g', '', '7', 'Unidad', 'G', 21, 0, 'Vigente')</v>
      </c>
      <c r="D134" s="215">
        <f t="shared" si="5"/>
        <v>1</v>
      </c>
    </row>
    <row r="135" spans="1:4" ht="15">
      <c r="A135" s="124">
        <v>113006</v>
      </c>
      <c r="B135" s="216" t="s">
        <v>79</v>
      </c>
      <c r="C135" s="215" t="str">
        <f t="shared" si="4"/>
        <v>insert Articulo (Cuit, IdArticulo, DescrArticulo, GTIN, IdUnidad, DescrUnidad, IndicacionExentoGravado, AlicuotaIVA, IdWF, Estado) values ('27165995703', '113006', 'Stollen x 250g', '', '7', 'Unidad', 'G', 21, 0, 'Vigente')</v>
      </c>
      <c r="D135" s="215">
        <f t="shared" si="5"/>
        <v>1</v>
      </c>
    </row>
    <row r="136" spans="1:4" ht="15">
      <c r="A136" s="124">
        <v>114001</v>
      </c>
      <c r="B136" s="216" t="s">
        <v>242</v>
      </c>
      <c r="C136" s="215" t="str">
        <f t="shared" si="4"/>
        <v>insert Articulo (Cuit, IdArticulo, DescrArticulo, GTIN, IdUnidad, DescrUnidad, IndicacionExentoGravado, AlicuotaIVA, IdWF, Estado) values ('27165995703', '114001', 'Pan Dulce mini 100 tradicional', '', '7', 'Unidad', 'G', 21, 0, 'Vigente')</v>
      </c>
      <c r="D136" s="215">
        <f t="shared" si="5"/>
        <v>995</v>
      </c>
    </row>
    <row r="137" spans="1:4" ht="15">
      <c r="A137" s="124">
        <v>114002</v>
      </c>
      <c r="B137" s="216" t="s">
        <v>241</v>
      </c>
      <c r="C137" s="215" t="str">
        <f t="shared" si="4"/>
        <v>insert Articulo (Cuit, IdArticulo, DescrArticulo, GTIN, IdUnidad, DescrUnidad, IndicacionExentoGravado, AlicuotaIVA, IdWF, Estado) values ('27165995703', '114002', 'Pan Dulce mini 120 inolvidable', '', '7', 'Unidad', 'G', 21, 0, 'Vigente')</v>
      </c>
      <c r="D137" s="215">
        <f t="shared" si="5"/>
        <v>1</v>
      </c>
    </row>
    <row r="138" spans="1:4" ht="15">
      <c r="A138" s="124">
        <v>114003</v>
      </c>
      <c r="B138" s="216" t="s">
        <v>82</v>
      </c>
      <c r="C138" s="215" t="str">
        <f t="shared" si="4"/>
        <v>insert Articulo (Cuit, IdArticulo, DescrArticulo, GTIN, IdUnidad, DescrUnidad, IndicacionExentoGravado, AlicuotaIVA, IdWF, Estado) values ('27165995703', '114003', 'Pan Dulce 500g', '', '7', 'Unidad', 'G', 21, 0, 'Vigente')</v>
      </c>
      <c r="D138" s="215">
        <f t="shared" si="5"/>
        <v>1</v>
      </c>
    </row>
    <row r="139" spans="1:4" ht="15">
      <c r="A139" s="124">
        <v>114005</v>
      </c>
      <c r="B139" s="216" t="s">
        <v>83</v>
      </c>
      <c r="C139" s="215" t="str">
        <f t="shared" si="4"/>
        <v>insert Articulo (Cuit, IdArticulo, DescrArticulo, GTIN, IdUnidad, DescrUnidad, IndicacionExentoGravado, AlicuotaIVA, IdWF, Estado) values ('27165995703', '114005', 'Pan Dulce Inovlidable 700g con Estuche', '', '7', 'Unidad', 'G', 21, 0, 'Vigente')</v>
      </c>
      <c r="D139" s="215">
        <f t="shared" si="5"/>
        <v>2</v>
      </c>
    </row>
    <row r="140" spans="1:4" ht="15">
      <c r="A140" s="124">
        <v>114005</v>
      </c>
      <c r="B140" s="216" t="s">
        <v>156</v>
      </c>
      <c r="C140" s="215" t="str">
        <f t="shared" si="4"/>
        <v>insert Articulo (Cuit, IdArticulo, DescrArticulo, GTIN, IdUnidad, DescrUnidad, IndicacionExentoGravado, AlicuotaIVA, IdWF, Estado) values ('27165995703', '114005', 'Pan Dulce Inovlidable 700g con Bolsa', '', '7', 'Unidad', 'G', 21, 0, 'Vigente')</v>
      </c>
      <c r="D140" s="215">
        <f t="shared" si="5"/>
        <v>0</v>
      </c>
    </row>
    <row r="141" spans="1:4" ht="15">
      <c r="A141" s="124">
        <v>115001</v>
      </c>
      <c r="B141" s="216" t="s">
        <v>73</v>
      </c>
      <c r="C141" s="215" t="str">
        <f t="shared" si="4"/>
        <v>insert Articulo (Cuit, IdArticulo, DescrArticulo, GTIN, IdUnidad, DescrUnidad, IndicacionExentoGravado, AlicuotaIVA, IdWF, Estado) values ('27165995703', '115001', 'V8 lata x 163ml', '', '7', 'Unidad', 'G', 21, 0, 'Vigente')</v>
      </c>
      <c r="D141" s="215">
        <f t="shared" si="5"/>
        <v>996</v>
      </c>
    </row>
    <row r="142" spans="1:4" ht="15">
      <c r="A142" s="124">
        <v>115002</v>
      </c>
      <c r="B142" s="216" t="s">
        <v>43</v>
      </c>
      <c r="C142" s="215" t="str">
        <f t="shared" si="4"/>
        <v>insert Articulo (Cuit, IdArticulo, DescrArticulo, GTIN, IdUnidad, DescrUnidad, IndicacionExentoGravado, AlicuotaIVA, IdWF, Estado) values ('27165995703', '115002', 'V8 lata x 354ml', '', '7', 'Unidad', 'G', 21, 0, 'Vigente')</v>
      </c>
      <c r="D142" s="215">
        <f t="shared" si="5"/>
        <v>1</v>
      </c>
    </row>
    <row r="143" spans="1:4" ht="15">
      <c r="A143" s="124">
        <v>115003</v>
      </c>
      <c r="B143" s="216" t="s">
        <v>40</v>
      </c>
      <c r="C143" s="215" t="str">
        <f t="shared" si="4"/>
        <v>insert Articulo (Cuit, IdArticulo, DescrArticulo, GTIN, IdUnidad, DescrUnidad, IndicacionExentoGravado, AlicuotaIVA, IdWF, Estado) values ('27165995703', '115003', 'V8 x PET 1,36 lts', '', '7', 'Unidad', 'G', 21, 0, 'Vigente')</v>
      </c>
      <c r="D143" s="215">
        <f t="shared" si="5"/>
        <v>1</v>
      </c>
    </row>
    <row r="144" spans="1:4" ht="15">
      <c r="A144" s="124">
        <v>115004</v>
      </c>
      <c r="B144" s="216" t="s">
        <v>136</v>
      </c>
      <c r="C144" s="215" t="str">
        <f t="shared" si="4"/>
        <v>insert Articulo (Cuit, IdArticulo, DescrArticulo, GTIN, IdUnidad, DescrUnidad, IndicacionExentoGravado, AlicuotaIVA, IdWF, Estado) values ('27165995703', '115004', 'Campbells lata x 163mld', '', '7', 'Unidad', 'G', 21, 0, 'Vigente')</v>
      </c>
      <c r="D144" s="215">
        <f t="shared" si="5"/>
        <v>1</v>
      </c>
    </row>
    <row r="145" spans="1:4" ht="15">
      <c r="A145" s="124">
        <v>115005</v>
      </c>
      <c r="B145" s="216" t="s">
        <v>41</v>
      </c>
      <c r="C145" s="215" t="str">
        <f t="shared" si="4"/>
        <v>insert Articulo (Cuit, IdArticulo, DescrArticulo, GTIN, IdUnidad, DescrUnidad, IndicacionExentoGravado, AlicuotaIVA, IdWF, Estado) values ('27165995703', '115005', 'Campbells lata x 340ml', '', '7', 'Unidad', 'G', 21, 0, 'Vigente')</v>
      </c>
      <c r="D145" s="215">
        <f t="shared" si="5"/>
        <v>1</v>
      </c>
    </row>
    <row r="146" spans="1:4" ht="15">
      <c r="A146" s="124">
        <v>115006</v>
      </c>
      <c r="B146" s="216" t="s">
        <v>42</v>
      </c>
      <c r="C146" s="215" t="str">
        <f t="shared" si="4"/>
        <v>insert Articulo (Cuit, IdArticulo, DescrArticulo, GTIN, IdUnidad, DescrUnidad, IndicacionExentoGravado, AlicuotaIVA, IdWF, Estado) values ('27165995703', '115006', 'Campbells x PET 1,36 lts', '', '7', 'Unidad', 'G', 21, 0, 'Vigente')</v>
      </c>
      <c r="D146" s="215">
        <f t="shared" si="5"/>
        <v>1</v>
      </c>
    </row>
    <row r="147" spans="1:4" ht="15">
      <c r="A147" s="124">
        <v>116001</v>
      </c>
      <c r="B147" s="217" t="s">
        <v>88</v>
      </c>
      <c r="C147" s="215" t="str">
        <f t="shared" si="4"/>
        <v>insert Articulo (Cuit, IdArticulo, DescrArticulo, GTIN, IdUnidad, DescrUnidad, IndicacionExentoGravado, AlicuotaIVA, IdWF, Estado) values ('27165995703', '116001', 'Molido: Blister x 2 capsulas', '', '7', 'Unidad', 'G', 21, 0, 'Vigente')</v>
      </c>
      <c r="D147" s="215">
        <f t="shared" si="5"/>
        <v>995</v>
      </c>
    </row>
    <row r="148" spans="1:4" ht="15">
      <c r="A148" s="124">
        <v>116002</v>
      </c>
      <c r="B148" s="217" t="s">
        <v>89</v>
      </c>
      <c r="C148" s="215" t="str">
        <f t="shared" si="4"/>
        <v>insert Articulo (Cuit, IdArticulo, DescrArticulo, GTIN, IdUnidad, DescrUnidad, IndicacionExentoGravado, AlicuotaIVA, IdWF, Estado) values ('27165995703', '116002', 'Molido: Blister Caja Cristal x 15 Caps. (Triangular)', '', '7', 'Unidad', 'G', 21, 0, 'Vigente')</v>
      </c>
      <c r="D148" s="215">
        <f t="shared" si="5"/>
        <v>1</v>
      </c>
    </row>
    <row r="149" spans="1:4" ht="15">
      <c r="A149" s="124">
        <v>116003</v>
      </c>
      <c r="B149" s="217" t="s">
        <v>90</v>
      </c>
      <c r="C149" s="215" t="str">
        <f t="shared" si="4"/>
        <v>insert Articulo (Cuit, IdArticulo, DescrArticulo, GTIN, IdUnidad, DescrUnidad, IndicacionExentoGravado, AlicuotaIVA, IdWF, Estado) values ('27165995703', '116003', 'Hebra: Blister Caja Cristal', '', '7', 'Unidad', 'G', 21, 0, 'Vigente')</v>
      </c>
      <c r="D149" s="215">
        <f t="shared" si="5"/>
        <v>1</v>
      </c>
    </row>
    <row r="150" spans="1:4" ht="15">
      <c r="A150" s="124">
        <v>116004</v>
      </c>
      <c r="B150" s="217" t="s">
        <v>91</v>
      </c>
      <c r="C150" s="215" t="str">
        <f t="shared" si="4"/>
        <v>insert Articulo (Cuit, IdArticulo, DescrArticulo, GTIN, IdUnidad, DescrUnidad, IndicacionExentoGravado, AlicuotaIVA, IdWF, Estado) values ('27165995703', '116004', 'Hebra: Fco Vidrio Gourmet c/ Corcho 1g', '', '7', 'Unidad', 'G', 21, 0, 'Vigente')</v>
      </c>
      <c r="D150" s="215">
        <f t="shared" si="5"/>
        <v>1</v>
      </c>
    </row>
    <row r="151" spans="1:4" ht="15">
      <c r="A151" s="124">
        <v>116005</v>
      </c>
      <c r="B151" s="217" t="s">
        <v>116</v>
      </c>
      <c r="C151" s="215" t="str">
        <f t="shared" si="4"/>
        <v>insert Articulo (Cuit, IdArticulo, DescrArticulo, GTIN, IdUnidad, DescrUnidad, IndicacionExentoGravado, AlicuotaIVA, IdWF, Estado) values ('27165995703', '116005', 'paellero el ruedo', '', '7', 'Unidad', 'G', 21, 0, 'Vigente')</v>
      </c>
      <c r="D151" s="215">
        <f t="shared" si="5"/>
        <v>1</v>
      </c>
    </row>
    <row r="152" spans="1:4" ht="15">
      <c r="A152" s="124">
        <v>116020</v>
      </c>
      <c r="B152" s="216" t="s">
        <v>263</v>
      </c>
      <c r="C152" s="215" t="str">
        <f t="shared" si="4"/>
        <v>insert Articulo (Cuit, IdArticulo, DescrArticulo, GTIN, IdUnidad, DescrUnidad, IndicacionExentoGravado, AlicuotaIVA, IdWF, Estado) values ('27165995703', '116020', 'Molinillo Indo Ajillo 45 gr', '', '7', 'Unidad', 'G', 21, 0, 'Vigente')</v>
      </c>
      <c r="D152" s="215">
        <f t="shared" si="5"/>
        <v>15</v>
      </c>
    </row>
    <row r="153" spans="1:4" ht="15">
      <c r="A153" s="124">
        <v>116021</v>
      </c>
      <c r="B153" s="216" t="s">
        <v>264</v>
      </c>
      <c r="C153" s="215" t="str">
        <f t="shared" si="4"/>
        <v>insert Articulo (Cuit, IdArticulo, DescrArticulo, GTIN, IdUnidad, DescrUnidad, IndicacionExentoGravado, AlicuotaIVA, IdWF, Estado) values ('27165995703', '116021', 'Molinillo Indo Asador 65 gr', '', '7', 'Unidad', 'G', 21, 0, 'Vigente')</v>
      </c>
      <c r="D153" s="215">
        <f t="shared" si="5"/>
        <v>1</v>
      </c>
    </row>
    <row r="154" spans="1:4" ht="15">
      <c r="A154" s="124">
        <v>116022</v>
      </c>
      <c r="B154" s="216" t="s">
        <v>265</v>
      </c>
      <c r="C154" s="215" t="str">
        <f t="shared" si="4"/>
        <v>insert Articulo (Cuit, IdArticulo, DescrArticulo, GTIN, IdUnidad, DescrUnidad, IndicacionExentoGravado, AlicuotaIVA, IdWF, Estado) values ('27165995703', '116022', 'Molinillo Indo Caprese 55 gr', '', '7', 'Unidad', 'G', 21, 0, 'Vigente')</v>
      </c>
      <c r="D154" s="215">
        <f t="shared" si="5"/>
        <v>1</v>
      </c>
    </row>
    <row r="155" spans="1:4" ht="15">
      <c r="A155" s="124">
        <v>116023</v>
      </c>
      <c r="B155" s="216" t="s">
        <v>266</v>
      </c>
      <c r="C155" s="215" t="str">
        <f t="shared" si="4"/>
        <v>insert Articulo (Cuit, IdArticulo, DescrArticulo, GTIN, IdUnidad, DescrUnidad, IndicacionExentoGravado, AlicuotaIVA, IdWF, Estado) values ('27165995703', '116023', 'Molinillo Indo Finas Hierbas 30 gr', '', '7', 'Unidad', 'G', 21, 0, 'Vigente')</v>
      </c>
      <c r="D155" s="215">
        <f t="shared" si="5"/>
        <v>1</v>
      </c>
    </row>
    <row r="156" spans="1:4" ht="15">
      <c r="A156" s="124">
        <v>116024</v>
      </c>
      <c r="B156" s="216" t="s">
        <v>267</v>
      </c>
      <c r="C156" s="215" t="str">
        <f t="shared" si="4"/>
        <v>insert Articulo (Cuit, IdArticulo, DescrArticulo, GTIN, IdUnidad, DescrUnidad, IndicacionExentoGravado, AlicuotaIVA, IdWF, Estado) values ('27165995703', '116024', 'Molinillo Indo Mix Ptas 45 gr', '', '7', 'Unidad', 'G', 21, 0, 'Vigente')</v>
      </c>
      <c r="D156" s="215">
        <f t="shared" si="5"/>
        <v>1</v>
      </c>
    </row>
    <row r="157" spans="1:4" ht="15">
      <c r="A157" s="124">
        <v>116025</v>
      </c>
      <c r="B157" s="216" t="s">
        <v>268</v>
      </c>
      <c r="C157" s="215" t="str">
        <f t="shared" si="4"/>
        <v>insert Articulo (Cuit, IdArticulo, DescrArticulo, GTIN, IdUnidad, DescrUnidad, IndicacionExentoGravado, AlicuotaIVA, IdWF, Estado) values ('27165995703', '116025', 'Molinillo Indo Ptas Negra 50 gr', '', '7', 'Unidad', 'G', 21, 0, 'Vigente')</v>
      </c>
      <c r="D157" s="215">
        <f t="shared" si="5"/>
        <v>1</v>
      </c>
    </row>
    <row r="158" spans="1:4" ht="15">
      <c r="A158" s="124">
        <v>116026</v>
      </c>
      <c r="B158" s="216" t="s">
        <v>269</v>
      </c>
      <c r="C158" s="215" t="str">
        <f t="shared" si="4"/>
        <v>insert Articulo (Cuit, IdArticulo, DescrArticulo, GTIN, IdUnidad, DescrUnidad, IndicacionExentoGravado, AlicuotaIVA, IdWF, Estado) values ('27165995703', '116026', 'Molinillo Indo Pescado Sin Sal 30 gr', '', '7', 'Unidad', 'G', 21, 0, 'Vigente')</v>
      </c>
      <c r="D158" s="215">
        <f t="shared" si="5"/>
        <v>1</v>
      </c>
    </row>
    <row r="159" spans="1:4" ht="15">
      <c r="A159" s="124">
        <v>116027</v>
      </c>
      <c r="B159" s="216" t="s">
        <v>270</v>
      </c>
      <c r="C159" s="215" t="str">
        <f t="shared" si="4"/>
        <v>insert Articulo (Cuit, IdArticulo, DescrArticulo, GTIN, IdUnidad, DescrUnidad, IndicacionExentoGravado, AlicuotaIVA, IdWF, Estado) values ('27165995703', '116027', 'Molinillo Indo  Pizza Party 50 gr', '', '7', 'Unidad', 'G', 21, 0, 'Vigente')</v>
      </c>
      <c r="D159" s="215">
        <f t="shared" si="5"/>
        <v>1</v>
      </c>
    </row>
    <row r="160" spans="1:4" ht="15">
      <c r="A160" s="124">
        <v>116028</v>
      </c>
      <c r="B160" s="216" t="s">
        <v>271</v>
      </c>
      <c r="C160" s="215" t="str">
        <f t="shared" si="4"/>
        <v>insert Articulo (Cuit, IdArticulo, DescrArticulo, GTIN, IdUnidad, DescrUnidad, IndicacionExentoGravado, AlicuotaIVA, IdWF, Estado) values ('27165995703', '116028', 'Molinillo Indo Pollito  Sin Sal 30 gr', '', '7', 'Unidad', 'G', 21, 0, 'Vigente')</v>
      </c>
      <c r="D160" s="215">
        <f t="shared" si="5"/>
        <v>1</v>
      </c>
    </row>
    <row r="161" spans="1:4" ht="15">
      <c r="A161" s="124">
        <v>116029</v>
      </c>
      <c r="B161" s="216" t="s">
        <v>272</v>
      </c>
      <c r="C161" s="215" t="str">
        <f t="shared" si="4"/>
        <v>insert Articulo (Cuit, IdArticulo, DescrArticulo, GTIN, IdUnidad, DescrUnidad, IndicacionExentoGravado, AlicuotaIVA, IdWF, Estado) values ('27165995703', '116029', 'Molinillo Indo  Al Romero 50 gr', '', '7', 'Unidad', 'G', 21, 0, 'Vigente')</v>
      </c>
      <c r="D161" s="215">
        <f t="shared" si="5"/>
        <v>1</v>
      </c>
    </row>
    <row r="162" spans="1:4" ht="15">
      <c r="A162" s="124">
        <v>116030</v>
      </c>
      <c r="B162" s="216" t="s">
        <v>273</v>
      </c>
      <c r="C162" s="215" t="str">
        <f t="shared" si="4"/>
        <v>insert Articulo (Cuit, IdArticulo, DescrArticulo, GTIN, IdUnidad, DescrUnidad, IndicacionExentoGravado, AlicuotaIVA, IdWF, Estado) values ('27165995703', '116030', 'Molinillo Indo  Sal Marina 100 gr', '', '7', 'Unidad', 'G', 21, 0, 'Vigente')</v>
      </c>
      <c r="D162" s="215">
        <f t="shared" si="5"/>
        <v>1</v>
      </c>
    </row>
    <row r="163" spans="1:4" ht="15">
      <c r="A163" s="124">
        <v>116031</v>
      </c>
      <c r="B163" s="216" t="s">
        <v>274</v>
      </c>
      <c r="C163" s="215" t="str">
        <f t="shared" si="4"/>
        <v>insert Articulo (Cuit, IdArticulo, DescrArticulo, GTIN, IdUnidad, DescrUnidad, IndicacionExentoGravado, AlicuotaIVA, IdWF, Estado) values ('27165995703', '116031', 'Molinillo Indo Salad Bar 45 gr', '', '7', 'Unidad', 'G', 21, 0, 'Vigente')</v>
      </c>
      <c r="D163" s="215">
        <f t="shared" si="5"/>
        <v>1</v>
      </c>
    </row>
    <row r="164" spans="1:4" ht="15">
      <c r="A164" s="124">
        <v>116032</v>
      </c>
      <c r="B164" s="216" t="s">
        <v>275</v>
      </c>
      <c r="C164" s="215" t="str">
        <f t="shared" si="4"/>
        <v>insert Articulo (Cuit, IdArticulo, DescrArticulo, GTIN, IdUnidad, DescrUnidad, IndicacionExentoGravado, AlicuotaIVA, IdWF, Estado) values ('27165995703', '116032', 'Molinillo Indo Pta Vede 35 gr', '', '7', 'Unidad', 'G', 21, 0, 'Vigente')</v>
      </c>
      <c r="D164" s="215">
        <f t="shared" si="5"/>
        <v>1</v>
      </c>
    </row>
    <row r="165" spans="1:4" ht="15">
      <c r="A165" s="124">
        <v>116033</v>
      </c>
      <c r="B165" s="216" t="s">
        <v>276</v>
      </c>
      <c r="C165" s="215" t="str">
        <f t="shared" si="4"/>
        <v>insert Articulo (Cuit, IdArticulo, DescrArticulo, GTIN, IdUnidad, DescrUnidad, IndicacionExentoGravado, AlicuotaIVA, IdWF, Estado) values ('27165995703', '116033', 'Molinillo Indo  Al Wok 50 gr', '', '7', 'Unidad', 'G', 21, 0, 'Vigente')</v>
      </c>
      <c r="D165" s="215">
        <f t="shared" si="5"/>
        <v>1</v>
      </c>
    </row>
    <row r="166" spans="1:4" ht="15">
      <c r="A166" s="124">
        <v>117001</v>
      </c>
      <c r="B166" s="217" t="s">
        <v>130</v>
      </c>
      <c r="C166" s="215" t="str">
        <f t="shared" si="4"/>
        <v>insert Articulo (Cuit, IdArticulo, DescrArticulo, GTIN, IdUnidad, DescrUnidad, IndicacionExentoGravado, AlicuotaIVA, IdWF, Estado) values ('27165995703', '117001', 'Konfitt Almendra', '', '7', 'Unidad', 'G', 21, 0, 'Vigente')</v>
      </c>
      <c r="D166" s="215">
        <f t="shared" si="5"/>
        <v>968</v>
      </c>
    </row>
    <row r="167" spans="1:4" ht="15">
      <c r="A167" s="124">
        <v>117002</v>
      </c>
      <c r="B167" s="217" t="s">
        <v>131</v>
      </c>
      <c r="C167" s="215" t="str">
        <f t="shared" si="4"/>
        <v>insert Articulo (Cuit, IdArticulo, DescrArticulo, GTIN, IdUnidad, DescrUnidad, IndicacionExentoGravado, AlicuotaIVA, IdWF, Estado) values ('27165995703', '117002', 'Konfitt Avellana', '', '7', 'Unidad', 'G', 21, 0, 'Vigente')</v>
      </c>
      <c r="D167" s="215">
        <f t="shared" si="5"/>
        <v>1</v>
      </c>
    </row>
    <row r="168" spans="1:4" ht="15">
      <c r="A168" s="124">
        <v>117003</v>
      </c>
      <c r="B168" s="217" t="s">
        <v>132</v>
      </c>
      <c r="C168" s="215" t="str">
        <f t="shared" si="4"/>
        <v>insert Articulo (Cuit, IdArticulo, DescrArticulo, GTIN, IdUnidad, DescrUnidad, IndicacionExentoGravado, AlicuotaIVA, IdWF, Estado) values ('27165995703', '117003', 'Konfitt Café', '', '7', 'Unidad', 'G', 21, 0, 'Vigente')</v>
      </c>
      <c r="D168" s="215">
        <f t="shared" si="5"/>
        <v>1</v>
      </c>
    </row>
    <row r="169" spans="1:4" ht="15">
      <c r="A169" s="124">
        <v>117004</v>
      </c>
      <c r="B169" s="217" t="s">
        <v>140</v>
      </c>
      <c r="C169" s="215" t="str">
        <f t="shared" si="4"/>
        <v>insert Articulo (Cuit, IdArticulo, DescrArticulo, GTIN, IdUnidad, DescrUnidad, IndicacionExentoGravado, AlicuotaIVA, IdWF, Estado) values ('27165995703', '117004', 'Konfitt Dulce de Leche', '', '7', 'Unidad', 'G', 21, 0, 'Vigente')</v>
      </c>
      <c r="D169" s="215">
        <f t="shared" si="5"/>
        <v>1</v>
      </c>
    </row>
    <row r="170" spans="1:4" ht="15">
      <c r="A170" s="124">
        <v>117005</v>
      </c>
      <c r="B170" s="218" t="s">
        <v>224</v>
      </c>
      <c r="C170" s="215" t="str">
        <f t="shared" si="4"/>
        <v>insert Articulo (Cuit, IdArticulo, DescrArticulo, GTIN, IdUnidad, DescrUnidad, IndicacionExentoGravado, AlicuotaIVA, IdWF, Estado) values ('27165995703', '117005', 'Konfitt Almendras x 8 unidades', '', '7', 'Unidad', 'G', 21, 0, 'Vigente')</v>
      </c>
      <c r="D170" s="215">
        <f t="shared" si="5"/>
        <v>1</v>
      </c>
    </row>
    <row r="171" spans="1:4" ht="15">
      <c r="A171" s="124">
        <v>117006</v>
      </c>
      <c r="B171" s="218" t="s">
        <v>225</v>
      </c>
      <c r="C171" s="215" t="str">
        <f t="shared" si="4"/>
        <v>insert Articulo (Cuit, IdArticulo, DescrArticulo, GTIN, IdUnidad, DescrUnidad, IndicacionExentoGravado, AlicuotaIVA, IdWF, Estado) values ('27165995703', '117006', 'Konfitt Avellanas x 8 unidades', '', '7', 'Unidad', 'G', 21, 0, 'Vigente')</v>
      </c>
      <c r="D171" s="215">
        <f t="shared" si="5"/>
        <v>1</v>
      </c>
    </row>
    <row r="172" spans="1:4" ht="15">
      <c r="A172" s="124">
        <v>117007</v>
      </c>
      <c r="B172" s="218" t="s">
        <v>226</v>
      </c>
      <c r="C172" s="215" t="str">
        <f t="shared" si="4"/>
        <v>insert Articulo (Cuit, IdArticulo, DescrArticulo, GTIN, IdUnidad, DescrUnidad, IndicacionExentoGravado, AlicuotaIVA, IdWF, Estado) values ('27165995703', '117007', 'Konfitt Cafe x 8 unidades', '', '7', 'Unidad', 'G', 21, 0, 'Vigente')</v>
      </c>
      <c r="D172" s="215">
        <f t="shared" si="5"/>
        <v>1</v>
      </c>
    </row>
    <row r="173" spans="1:4" ht="15">
      <c r="A173" s="124">
        <v>117008</v>
      </c>
      <c r="B173" s="218" t="s">
        <v>134</v>
      </c>
      <c r="C173" s="215" t="str">
        <f t="shared" si="4"/>
        <v>insert Articulo (Cuit, IdArticulo, DescrArticulo, GTIN, IdUnidad, DescrUnidad, IndicacionExentoGravado, AlicuotaIVA, IdWF, Estado) values ('27165995703', '117008', 'Konfitt Mix x 8 unidades', '', '7', 'Unidad', 'G', 21, 0, 'Vigente')</v>
      </c>
      <c r="D173" s="215">
        <f t="shared" si="5"/>
        <v>1</v>
      </c>
    </row>
    <row r="174" spans="1:4" ht="15">
      <c r="A174" s="124">
        <v>117009</v>
      </c>
      <c r="B174" s="218" t="s">
        <v>141</v>
      </c>
      <c r="C174" s="215" t="str">
        <f t="shared" si="4"/>
        <v>insert Articulo (Cuit, IdArticulo, DescrArticulo, GTIN, IdUnidad, DescrUnidad, IndicacionExentoGravado, AlicuotaIVA, IdWF, Estado) values ('27165995703', '117009', 'Moldatte negro semiamargo especial 1 KG', '', '7', 'Unidad', 'G', 21, 0, 'Vigente')</v>
      </c>
      <c r="D174" s="215">
        <f t="shared" si="5"/>
        <v>1</v>
      </c>
    </row>
    <row r="175" spans="1:4" ht="15">
      <c r="A175" s="124">
        <v>117010</v>
      </c>
      <c r="B175" s="218" t="s">
        <v>142</v>
      </c>
      <c r="C175" s="215" t="str">
        <f t="shared" si="4"/>
        <v>insert Articulo (Cuit, IdArticulo, DescrArticulo, GTIN, IdUnidad, DescrUnidad, IndicacionExentoGravado, AlicuotaIVA, IdWF, Estado) values ('27165995703', '117010', 'Moldatte blanco especial 1 KG', '', '7', 'Unidad', 'G', 21, 0, 'Vigente')</v>
      </c>
      <c r="D175" s="215">
        <f t="shared" si="5"/>
        <v>1</v>
      </c>
    </row>
    <row r="176" spans="1:4" ht="15">
      <c r="A176" s="124">
        <v>117011</v>
      </c>
      <c r="B176" s="218" t="s">
        <v>143</v>
      </c>
      <c r="C176" s="215" t="str">
        <f t="shared" si="4"/>
        <v>insert Articulo (Cuit, IdArticulo, DescrArticulo, GTIN, IdUnidad, DescrUnidad, IndicacionExentoGravado, AlicuotaIVA, IdWF, Estado) values ('27165995703', '117011', 'Moldatte con leche especial 1 KG', '', '7', 'Unidad', 'G', 21, 0, 'Vigente')</v>
      </c>
      <c r="D176" s="215">
        <f t="shared" si="5"/>
        <v>1</v>
      </c>
    </row>
    <row r="177" spans="1:4" ht="15">
      <c r="A177" s="124">
        <v>117012</v>
      </c>
      <c r="B177" s="218" t="s">
        <v>286</v>
      </c>
      <c r="C177" s="215" t="str">
        <f t="shared" si="4"/>
        <v>insert Articulo (Cuit, IdArticulo, DescrArticulo, GTIN, IdUnidad, DescrUnidad, IndicacionExentoGravado, AlicuotaIVA, IdWF, Estado) values ('27165995703', '117012', 'Chocolate para submarino 16 gr', '', '7', 'Unidad', 'G', 21, 0, 'Vigente')</v>
      </c>
      <c r="D177" s="215">
        <f t="shared" si="5"/>
        <v>1</v>
      </c>
    </row>
    <row r="178" spans="1:4" ht="15">
      <c r="A178" s="124">
        <v>117013</v>
      </c>
      <c r="B178" s="218" t="s">
        <v>160</v>
      </c>
      <c r="C178" s="215" t="str">
        <f t="shared" si="4"/>
        <v>insert Articulo (Cuit, IdArticulo, DescrArticulo, GTIN, IdUnidad, DescrUnidad, IndicacionExentoGravado, AlicuotaIVA, IdWF, Estado) values ('27165995703', '117013', 'chocolatina leche', '', '7', 'Unidad', 'G', 21, 0, 'Vigente')</v>
      </c>
      <c r="D178" s="215">
        <f t="shared" si="5"/>
        <v>1</v>
      </c>
    </row>
    <row r="179" spans="1:4" ht="15">
      <c r="A179" s="124">
        <v>117014</v>
      </c>
      <c r="B179" s="218" t="s">
        <v>161</v>
      </c>
      <c r="C179" s="215" t="str">
        <f t="shared" si="4"/>
        <v>insert Articulo (Cuit, IdArticulo, DescrArticulo, GTIN, IdUnidad, DescrUnidad, IndicacionExentoGravado, AlicuotaIVA, IdWF, Estado) values ('27165995703', '117014', 'chocolatina semiamargo', '', '7', 'Unidad', 'G', 21, 0, 'Vigente')</v>
      </c>
      <c r="D179" s="215">
        <f t="shared" si="5"/>
        <v>1</v>
      </c>
    </row>
    <row r="180" spans="1:4" ht="15">
      <c r="A180" s="124">
        <v>117015</v>
      </c>
      <c r="B180" s="218" t="s">
        <v>162</v>
      </c>
      <c r="C180" s="215" t="str">
        <f t="shared" si="4"/>
        <v>insert Articulo (Cuit, IdArticulo, DescrArticulo, GTIN, IdUnidad, DescrUnidad, IndicacionExentoGravado, AlicuotaIVA, IdWF, Estado) values ('27165995703', '117015', 'chocolatina infantil', '', '7', 'Unidad', 'G', 21, 0, 'Vigente')</v>
      </c>
      <c r="D180" s="215">
        <f t="shared" si="5"/>
        <v>1</v>
      </c>
    </row>
    <row r="181" spans="1:4" ht="15">
      <c r="A181" s="124">
        <v>117016</v>
      </c>
      <c r="B181" s="218" t="s">
        <v>163</v>
      </c>
      <c r="C181" s="215" t="str">
        <f t="shared" si="4"/>
        <v>insert Articulo (Cuit, IdArticulo, DescrArticulo, GTIN, IdUnidad, DescrUnidad, IndicacionExentoGravado, AlicuotaIVA, IdWF, Estado) values ('27165995703', '117016', 'chocolatina sin azucar agregada', '', '7', 'Unidad', 'G', 21, 0, 'Vigente')</v>
      </c>
      <c r="D181" s="215">
        <f t="shared" si="5"/>
        <v>1</v>
      </c>
    </row>
    <row r="182" spans="1:4" ht="15">
      <c r="A182" s="124">
        <v>117017</v>
      </c>
      <c r="B182" s="218" t="s">
        <v>231</v>
      </c>
      <c r="C182" s="215" t="str">
        <f t="shared" si="4"/>
        <v>insert Articulo (Cuit, IdArticulo, DescrArticulo, GTIN, IdUnidad, DescrUnidad, IndicacionExentoGravado, AlicuotaIVA, IdWF, Estado) values ('27165995703', '117017', 'costo del estuche de carton', '', '7', 'Unidad', 'G', 21, 0, 'Vigente')</v>
      </c>
      <c r="D182" s="215">
        <f t="shared" si="5"/>
        <v>1</v>
      </c>
    </row>
    <row r="183" spans="1:4" ht="15">
      <c r="A183" s="124">
        <v>117018</v>
      </c>
      <c r="B183" s="218" t="s">
        <v>172</v>
      </c>
      <c r="C183" s="215" t="str">
        <f t="shared" si="4"/>
        <v>insert Articulo (Cuit, IdArticulo, DescrArticulo, GTIN, IdUnidad, DescrUnidad, IndicacionExentoGravado, AlicuotaIVA, IdWF, Estado) values ('27165995703', '117018', 'Estuche chocolatina  x 40 leche', '', '7', 'Unidad', 'G', 21, 0, 'Vigente')</v>
      </c>
      <c r="D183" s="215">
        <f t="shared" si="5"/>
        <v>1</v>
      </c>
    </row>
    <row r="184" spans="1:4" ht="15">
      <c r="A184" s="124">
        <v>117019</v>
      </c>
      <c r="B184" s="218" t="s">
        <v>278</v>
      </c>
      <c r="C184" s="215" t="str">
        <f t="shared" si="4"/>
        <v>insert Articulo (Cuit, IdArticulo, DescrArticulo, GTIN, IdUnidad, DescrUnidad, IndicacionExentoGravado, AlicuotaIVA, IdWF, Estado) values ('27165995703', '117019', 'Estuche chocolatina  x 40 Semi Amargo', '', '7', 'Unidad', 'G', 21, 0, 'Vigente')</v>
      </c>
      <c r="D184" s="215">
        <f t="shared" si="5"/>
        <v>1</v>
      </c>
    </row>
    <row r="185" spans="1:4" ht="15">
      <c r="A185" s="124">
        <v>118001</v>
      </c>
      <c r="B185" s="218" t="s">
        <v>236</v>
      </c>
      <c r="C185" s="215" t="str">
        <f t="shared" si="4"/>
        <v>insert Articulo (Cuit, IdArticulo, DescrArticulo, GTIN, IdUnidad, DescrUnidad, IndicacionExentoGravado, AlicuotaIVA, IdWF, Estado) values ('27165995703', '118001', 'estuche x 3 surtido', '', '7', 'Unidad', 'G', 21, 0, 'Vigente')</v>
      </c>
      <c r="D185" s="215">
        <f t="shared" si="5"/>
        <v>982</v>
      </c>
    </row>
    <row r="186" spans="1:4" ht="15">
      <c r="A186" s="124">
        <v>118002</v>
      </c>
      <c r="B186" s="216" t="s">
        <v>185</v>
      </c>
      <c r="C186" s="215" t="str">
        <f t="shared" si="4"/>
        <v>insert Articulo (Cuit, IdArticulo, DescrArticulo, GTIN, IdUnidad, DescrUnidad, IndicacionExentoGravado, AlicuotaIVA, IdWF, Estado) values ('27165995703', '118002', 'Arándano Light 260g', '', '7', 'Unidad', 'G', 21, 0, 'Vigente')</v>
      </c>
      <c r="D186" s="215">
        <f t="shared" si="5"/>
        <v>1</v>
      </c>
    </row>
    <row r="187" spans="1:4" ht="15">
      <c r="A187" s="124">
        <v>118003</v>
      </c>
      <c r="B187" s="216" t="s">
        <v>186</v>
      </c>
      <c r="C187" s="215" t="str">
        <f t="shared" si="4"/>
        <v>insert Articulo (Cuit, IdArticulo, DescrArticulo, GTIN, IdUnidad, DescrUnidad, IndicacionExentoGravado, AlicuotaIVA, IdWF, Estado) values ('27165995703', '118003', 'Frutos del Bosque Light 260g', '', '7', 'Unidad', 'G', 21, 0, 'Vigente')</v>
      </c>
      <c r="D187" s="215">
        <f t="shared" si="5"/>
        <v>1</v>
      </c>
    </row>
    <row r="188" spans="1:4" ht="15">
      <c r="A188" s="124">
        <v>118004</v>
      </c>
      <c r="B188" s="216" t="s">
        <v>187</v>
      </c>
      <c r="C188" s="215" t="str">
        <f t="shared" si="4"/>
        <v>insert Articulo (Cuit, IdArticulo, DescrArticulo, GTIN, IdUnidad, DescrUnidad, IndicacionExentoGravado, AlicuotaIVA, IdWF, Estado) values ('27165995703', '118004', 'Frambuesa Light 260g', '', '7', 'Unidad', 'G', 21, 0, 'Vigente')</v>
      </c>
      <c r="D188" s="215">
        <f t="shared" si="5"/>
        <v>1</v>
      </c>
    </row>
    <row r="189" spans="1:4" ht="15">
      <c r="A189" s="124">
        <v>118005</v>
      </c>
      <c r="B189" s="216" t="s">
        <v>188</v>
      </c>
      <c r="C189" s="215" t="str">
        <f t="shared" si="4"/>
        <v>insert Articulo (Cuit, IdArticulo, DescrArticulo, GTIN, IdUnidad, DescrUnidad, IndicacionExentoGravado, AlicuotaIVA, IdWF, Estado) values ('27165995703', '118005', 'Frutilla Light 260g', '', '7', 'Unidad', 'G', 21, 0, 'Vigente')</v>
      </c>
      <c r="D189" s="215">
        <f t="shared" si="5"/>
        <v>1</v>
      </c>
    </row>
    <row r="190" spans="1:4" ht="15">
      <c r="A190" s="124">
        <v>118006</v>
      </c>
      <c r="B190" s="216" t="s">
        <v>189</v>
      </c>
      <c r="C190" s="215" t="str">
        <f t="shared" si="4"/>
        <v>insert Articulo (Cuit, IdArticulo, DescrArticulo, GTIN, IdUnidad, DescrUnidad, IndicacionExentoGravado, AlicuotaIVA, IdWF, Estado) values ('27165995703', '118006', 'Mosqueta Light 260g', '', '7', 'Unidad', 'G', 21, 0, 'Vigente')</v>
      </c>
      <c r="D190" s="215">
        <f t="shared" si="5"/>
        <v>1</v>
      </c>
    </row>
    <row r="191" spans="1:4" ht="15">
      <c r="A191" s="124">
        <v>118007</v>
      </c>
      <c r="B191" s="216" t="s">
        <v>190</v>
      </c>
      <c r="C191" s="215" t="str">
        <f t="shared" si="4"/>
        <v>insert Articulo (Cuit, IdArticulo, DescrArticulo, GTIN, IdUnidad, DescrUnidad, IndicacionExentoGravado, AlicuotaIVA, IdWF, Estado) values ('27165995703', '118007', 'Zarzamora Light 260g', '', '7', 'Unidad', 'G', 21, 0, 'Vigente')</v>
      </c>
      <c r="D191" s="215">
        <f t="shared" si="5"/>
        <v>1</v>
      </c>
    </row>
    <row r="192" spans="1:4" ht="15">
      <c r="A192" s="124">
        <v>118008</v>
      </c>
      <c r="B192" s="216" t="s">
        <v>191</v>
      </c>
      <c r="C192" s="215" t="str">
        <f t="shared" si="4"/>
        <v>insert Articulo (Cuit, IdArticulo, DescrArticulo, GTIN, IdUnidad, DescrUnidad, IndicacionExentoGravado, AlicuotaIVA, IdWF, Estado) values ('27165995703', '118008', 'Arándano 212g', '', '7', 'Unidad', 'G', 21, 0, 'Vigente')</v>
      </c>
      <c r="D192" s="215">
        <f t="shared" si="5"/>
        <v>1</v>
      </c>
    </row>
    <row r="193" spans="1:4" ht="15">
      <c r="A193" s="124">
        <v>118009</v>
      </c>
      <c r="B193" s="214" t="s">
        <v>192</v>
      </c>
      <c r="C193" s="215" t="str">
        <f t="shared" si="4"/>
        <v>insert Articulo (Cuit, IdArticulo, DescrArticulo, GTIN, IdUnidad, DescrUnidad, IndicacionExentoGravado, AlicuotaIVA, IdWF, Estado) values ('27165995703', '118009', 'Cereza Negra 212g', '', '7', 'Unidad', 'G', 21, 0, 'Vigente')</v>
      </c>
      <c r="D193" s="215">
        <f t="shared" si="5"/>
        <v>1</v>
      </c>
    </row>
    <row r="194" spans="1:4" ht="15">
      <c r="A194" s="124">
        <v>118010</v>
      </c>
      <c r="B194" s="214" t="s">
        <v>193</v>
      </c>
      <c r="C194" s="215" t="str">
        <f t="shared" ref="C194:C241" si="6">"insert Articulo (Cuit, IdArticulo, DescrArticulo, GTIN, IdUnidad, DescrUnidad, IndicacionExentoGravado, AlicuotaIVA, IdWF, Estado) values ('27165995703', '" &amp; A194 &amp; "', '" &amp; B194 &amp; "', '', '7', 'Unidad', 'G', 21, 0, 'Vigente')"</f>
        <v>insert Articulo (Cuit, IdArticulo, DescrArticulo, GTIN, IdUnidad, DescrUnidad, IndicacionExentoGravado, AlicuotaIVA, IdWF, Estado) values ('27165995703', '118010', 'Frutos del Bosque 212g', '', '7', 'Unidad', 'G', 21, 0, 'Vigente')</v>
      </c>
      <c r="D194" s="215">
        <f t="shared" si="5"/>
        <v>1</v>
      </c>
    </row>
    <row r="195" spans="1:4" ht="15">
      <c r="A195" s="124">
        <v>118011</v>
      </c>
      <c r="B195" s="214" t="s">
        <v>194</v>
      </c>
      <c r="C195" s="215" t="str">
        <f t="shared" si="6"/>
        <v>insert Articulo (Cuit, IdArticulo, DescrArticulo, GTIN, IdUnidad, DescrUnidad, IndicacionExentoGravado, AlicuotaIVA, IdWF, Estado) values ('27165995703', '118011', 'Frambuesa 212g', '', '7', 'Unidad', 'G', 21, 0, 'Vigente')</v>
      </c>
      <c r="D195" s="215">
        <f t="shared" ref="D195:D241" si="7">+A195-A194</f>
        <v>1</v>
      </c>
    </row>
    <row r="196" spans="1:4" ht="15">
      <c r="A196" s="124">
        <v>118012</v>
      </c>
      <c r="B196" s="214" t="s">
        <v>195</v>
      </c>
      <c r="C196" s="215" t="str">
        <f t="shared" si="6"/>
        <v>insert Articulo (Cuit, IdArticulo, DescrArticulo, GTIN, IdUnidad, DescrUnidad, IndicacionExentoGravado, AlicuotaIVA, IdWF, Estado) values ('27165995703', '118012', 'Frutilla 212g', '', '7', 'Unidad', 'G', 21, 0, 'Vigente')</v>
      </c>
      <c r="D196" s="215">
        <f t="shared" si="7"/>
        <v>1</v>
      </c>
    </row>
    <row r="197" spans="1:4" ht="15">
      <c r="A197" s="124">
        <v>118013</v>
      </c>
      <c r="B197" s="214" t="s">
        <v>196</v>
      </c>
      <c r="C197" s="215" t="str">
        <f t="shared" si="6"/>
        <v>insert Articulo (Cuit, IdArticulo, DescrArticulo, GTIN, IdUnidad, DescrUnidad, IndicacionExentoGravado, AlicuotaIVA, IdWF, Estado) values ('27165995703', '118013', 'Mosqueta 212g', '', '7', 'Unidad', 'G', 21, 0, 'Vigente')</v>
      </c>
      <c r="D197" s="215">
        <f t="shared" si="7"/>
        <v>1</v>
      </c>
    </row>
    <row r="198" spans="1:4" ht="15">
      <c r="A198" s="124">
        <v>118014</v>
      </c>
      <c r="B198" s="214" t="s">
        <v>197</v>
      </c>
      <c r="C198" s="215" t="str">
        <f t="shared" si="6"/>
        <v>insert Articulo (Cuit, IdArticulo, DescrArticulo, GTIN, IdUnidad, DescrUnidad, IndicacionExentoGravado, AlicuotaIVA, IdWF, Estado) values ('27165995703', '118014', 'Sauco 212g', '', '7', 'Unidad', 'G', 21, 0, 'Vigente')</v>
      </c>
      <c r="D198" s="215">
        <f t="shared" si="7"/>
        <v>1</v>
      </c>
    </row>
    <row r="199" spans="1:4" ht="15">
      <c r="A199" s="124">
        <v>118015</v>
      </c>
      <c r="B199" s="216" t="s">
        <v>288</v>
      </c>
      <c r="C199" s="215" t="str">
        <f t="shared" si="6"/>
        <v>insert Articulo (Cuit, IdArticulo, DescrArticulo, GTIN, IdUnidad, DescrUnidad, IndicacionExentoGravado, AlicuotaIVA, IdWF, Estado) values ('27165995703', '118015', 'Arándano y Membrillo', '', '7', 'Unidad', 'G', 21, 0, 'Vigente')</v>
      </c>
      <c r="D199" s="215">
        <f t="shared" si="7"/>
        <v>1</v>
      </c>
    </row>
    <row r="200" spans="1:4" ht="15">
      <c r="A200" s="124">
        <v>118016</v>
      </c>
      <c r="B200" s="216" t="s">
        <v>289</v>
      </c>
      <c r="C200" s="215" t="str">
        <f t="shared" si="6"/>
        <v>insert Articulo (Cuit, IdArticulo, DescrArticulo, GTIN, IdUnidad, DescrUnidad, IndicacionExentoGravado, AlicuotaIVA, IdWF, Estado) values ('27165995703', '118016', 'Durazno y Corinto', '', '7', 'Unidad', 'G', 21, 0, 'Vigente')</v>
      </c>
      <c r="D200" s="215">
        <f t="shared" si="7"/>
        <v>1</v>
      </c>
    </row>
    <row r="201" spans="1:4" ht="15">
      <c r="A201" s="124">
        <v>118017</v>
      </c>
      <c r="B201" s="216" t="s">
        <v>290</v>
      </c>
      <c r="C201" s="215" t="str">
        <f t="shared" si="6"/>
        <v>insert Articulo (Cuit, IdArticulo, DescrArticulo, GTIN, IdUnidad, DescrUnidad, IndicacionExentoGravado, AlicuotaIVA, IdWF, Estado) values ('27165995703', '118017', 'Durazno y Naranja', '', '7', 'Unidad', 'G', 21, 0, 'Vigente')</v>
      </c>
      <c r="D201" s="215">
        <f t="shared" si="7"/>
        <v>1</v>
      </c>
    </row>
    <row r="202" spans="1:4" ht="15">
      <c r="A202" s="124">
        <v>118018</v>
      </c>
      <c r="B202" s="216" t="s">
        <v>291</v>
      </c>
      <c r="C202" s="215" t="str">
        <f t="shared" si="6"/>
        <v>insert Articulo (Cuit, IdArticulo, DescrArticulo, GTIN, IdUnidad, DescrUnidad, IndicacionExentoGravado, AlicuotaIVA, IdWF, Estado) values ('27165995703', '118018', 'Frambuesa y Tomate', '', '7', 'Unidad', 'G', 21, 0, 'Vigente')</v>
      </c>
      <c r="D202" s="215">
        <f t="shared" si="7"/>
        <v>1</v>
      </c>
    </row>
    <row r="203" spans="1:4" ht="15">
      <c r="A203" s="124">
        <v>118019</v>
      </c>
      <c r="B203" s="216" t="s">
        <v>292</v>
      </c>
      <c r="C203" s="215" t="str">
        <f t="shared" si="6"/>
        <v>insert Articulo (Cuit, IdArticulo, DescrArticulo, GTIN, IdUnidad, DescrUnidad, IndicacionExentoGravado, AlicuotaIVA, IdWF, Estado) values ('27165995703', '118019', 'Frutilla y Aceto', '', '7', 'Unidad', 'G', 21, 0, 'Vigente')</v>
      </c>
      <c r="D203" s="215">
        <f t="shared" si="7"/>
        <v>1</v>
      </c>
    </row>
    <row r="204" spans="1:4" ht="15">
      <c r="A204" s="124">
        <v>118020</v>
      </c>
      <c r="B204" s="216" t="s">
        <v>293</v>
      </c>
      <c r="C204" s="215" t="str">
        <f t="shared" si="6"/>
        <v>insert Articulo (Cuit, IdArticulo, DescrArticulo, GTIN, IdUnidad, DescrUnidad, IndicacionExentoGravado, AlicuotaIVA, IdWF, Estado) values ('27165995703', '118020', 'Manzana y Canela', '', '7', 'Unidad', 'G', 21, 0, 'Vigente')</v>
      </c>
      <c r="D204" s="215">
        <f t="shared" si="7"/>
        <v>1</v>
      </c>
    </row>
    <row r="205" spans="1:4" ht="15">
      <c r="A205" s="124">
        <v>118021</v>
      </c>
      <c r="B205" s="216" t="s">
        <v>199</v>
      </c>
      <c r="C205" s="215" t="str">
        <f t="shared" si="6"/>
        <v>insert Articulo (Cuit, IdArticulo, DescrArticulo, GTIN, IdUnidad, DescrUnidad, IndicacionExentoGravado, AlicuotaIVA, IdWF, Estado) values ('27165995703', '118021', 'Arándano 450g', '', '7', 'Unidad', 'G', 21, 0, 'Vigente')</v>
      </c>
      <c r="D205" s="215">
        <f t="shared" si="7"/>
        <v>1</v>
      </c>
    </row>
    <row r="206" spans="1:4" ht="15">
      <c r="A206" s="124">
        <v>118022</v>
      </c>
      <c r="B206" s="214" t="s">
        <v>200</v>
      </c>
      <c r="C206" s="215" t="str">
        <f t="shared" si="6"/>
        <v>insert Articulo (Cuit, IdArticulo, DescrArticulo, GTIN, IdUnidad, DescrUnidad, IndicacionExentoGravado, AlicuotaIVA, IdWF, Estado) values ('27165995703', '118022', 'Cereza Negra 450g', '', '7', 'Unidad', 'G', 21, 0, 'Vigente')</v>
      </c>
      <c r="D206" s="215">
        <f t="shared" si="7"/>
        <v>1</v>
      </c>
    </row>
    <row r="207" spans="1:4" ht="15">
      <c r="A207" s="124">
        <v>118023</v>
      </c>
      <c r="B207" s="214" t="s">
        <v>201</v>
      </c>
      <c r="C207" s="215" t="str">
        <f t="shared" si="6"/>
        <v>insert Articulo (Cuit, IdArticulo, DescrArticulo, GTIN, IdUnidad, DescrUnidad, IndicacionExentoGravado, AlicuotaIVA, IdWF, Estado) values ('27165995703', '118023', 'Frutos del Bosque 450g', '', '7', 'Unidad', 'G', 21, 0, 'Vigente')</v>
      </c>
      <c r="D207" s="215">
        <f t="shared" si="7"/>
        <v>1</v>
      </c>
    </row>
    <row r="208" spans="1:4" ht="15">
      <c r="A208" s="124">
        <v>118024</v>
      </c>
      <c r="B208" s="214" t="s">
        <v>202</v>
      </c>
      <c r="C208" s="215" t="str">
        <f t="shared" si="6"/>
        <v>insert Articulo (Cuit, IdArticulo, DescrArticulo, GTIN, IdUnidad, DescrUnidad, IndicacionExentoGravado, AlicuotaIVA, IdWF, Estado) values ('27165995703', '118024', 'Frambuesa 450g', '', '7', 'Unidad', 'G', 21, 0, 'Vigente')</v>
      </c>
      <c r="D208" s="215">
        <f t="shared" si="7"/>
        <v>1</v>
      </c>
    </row>
    <row r="209" spans="1:4" ht="15">
      <c r="A209" s="124">
        <v>118025</v>
      </c>
      <c r="B209" s="214" t="s">
        <v>203</v>
      </c>
      <c r="C209" s="215" t="str">
        <f t="shared" si="6"/>
        <v>insert Articulo (Cuit, IdArticulo, DescrArticulo, GTIN, IdUnidad, DescrUnidad, IndicacionExentoGravado, AlicuotaIVA, IdWF, Estado) values ('27165995703', '118025', 'Frutilla 450g', '', '7', 'Unidad', 'G', 21, 0, 'Vigente')</v>
      </c>
      <c r="D209" s="215">
        <f t="shared" si="7"/>
        <v>1</v>
      </c>
    </row>
    <row r="210" spans="1:4" ht="15">
      <c r="A210" s="124">
        <v>118026</v>
      </c>
      <c r="B210" s="214" t="s">
        <v>237</v>
      </c>
      <c r="C210" s="215" t="str">
        <f t="shared" si="6"/>
        <v>insert Articulo (Cuit, IdArticulo, DescrArticulo, GTIN, IdUnidad, DescrUnidad, IndicacionExentoGravado, AlicuotaIVA, IdWF, Estado) values ('27165995703', '118026', 'Guinda 450g', '', '7', 'Unidad', 'G', 21, 0, 'Vigente')</v>
      </c>
      <c r="D210" s="215">
        <f t="shared" si="7"/>
        <v>1</v>
      </c>
    </row>
    <row r="211" spans="1:4" ht="15">
      <c r="A211" s="124">
        <v>118027</v>
      </c>
      <c r="B211" s="214" t="s">
        <v>204</v>
      </c>
      <c r="C211" s="215" t="str">
        <f t="shared" si="6"/>
        <v>insert Articulo (Cuit, IdArticulo, DescrArticulo, GTIN, IdUnidad, DescrUnidad, IndicacionExentoGravado, AlicuotaIVA, IdWF, Estado) values ('27165995703', '118027', 'Mosqueta 450g', '', '7', 'Unidad', 'G', 21, 0, 'Vigente')</v>
      </c>
      <c r="D211" s="215">
        <f t="shared" si="7"/>
        <v>1</v>
      </c>
    </row>
    <row r="212" spans="1:4" ht="15">
      <c r="A212" s="124">
        <v>118028</v>
      </c>
      <c r="B212" s="214" t="s">
        <v>205</v>
      </c>
      <c r="C212" s="215" t="str">
        <f t="shared" si="6"/>
        <v>insert Articulo (Cuit, IdArticulo, DescrArticulo, GTIN, IdUnidad, DescrUnidad, IndicacionExentoGravado, AlicuotaIVA, IdWF, Estado) values ('27165995703', '118028', 'Sauco 450g', '', '7', 'Unidad', 'G', 21, 0, 'Vigente')</v>
      </c>
      <c r="D212" s="215">
        <f t="shared" si="7"/>
        <v>1</v>
      </c>
    </row>
    <row r="213" spans="1:4" ht="15">
      <c r="A213" s="124">
        <v>118029</v>
      </c>
      <c r="B213" s="214" t="s">
        <v>206</v>
      </c>
      <c r="C213" s="215" t="str">
        <f t="shared" si="6"/>
        <v>insert Articulo (Cuit, IdArticulo, DescrArticulo, GTIN, IdUnidad, DescrUnidad, IndicacionExentoGravado, AlicuotaIVA, IdWF, Estado) values ('27165995703', '118029', 'Zarzamora 450g', '', '7', 'Unidad', 'G', 21, 0, 'Vigente')</v>
      </c>
      <c r="D213" s="215">
        <f t="shared" si="7"/>
        <v>1</v>
      </c>
    </row>
    <row r="214" spans="1:4" ht="15">
      <c r="A214" s="124">
        <v>118030</v>
      </c>
      <c r="B214" s="214" t="s">
        <v>208</v>
      </c>
      <c r="C214" s="215" t="str">
        <f t="shared" si="6"/>
        <v>insert Articulo (Cuit, IdArticulo, DescrArticulo, GTIN, IdUnidad, DescrUnidad, IndicacionExentoGravado, AlicuotaIVA, IdWF, Estado) values ('27165995703', '118030', 'Arándano en almíbar 700g', '', '7', 'Unidad', 'G', 21, 0, 'Vigente')</v>
      </c>
      <c r="D214" s="215">
        <f t="shared" si="7"/>
        <v>1</v>
      </c>
    </row>
    <row r="215" spans="1:4" ht="15">
      <c r="A215" s="124">
        <v>118031</v>
      </c>
      <c r="B215" s="214" t="s">
        <v>209</v>
      </c>
      <c r="C215" s="215" t="str">
        <f t="shared" si="6"/>
        <v>insert Articulo (Cuit, IdArticulo, DescrArticulo, GTIN, IdUnidad, DescrUnidad, IndicacionExentoGravado, AlicuotaIVA, IdWF, Estado) values ('27165995703', '118031', 'Frambuesa en almíbar 700g', '', '7', 'Unidad', 'G', 21, 0, 'Vigente')</v>
      </c>
      <c r="D215" s="215">
        <f t="shared" si="7"/>
        <v>1</v>
      </c>
    </row>
    <row r="216" spans="1:4" ht="15">
      <c r="A216" s="124">
        <v>118032</v>
      </c>
      <c r="B216" s="214" t="s">
        <v>238</v>
      </c>
      <c r="C216" s="215" t="str">
        <f t="shared" si="6"/>
        <v>insert Articulo (Cuit, IdArticulo, DescrArticulo, GTIN, IdUnidad, DescrUnidad, IndicacionExentoGravado, AlicuotaIVA, IdWF, Estado) values ('27165995703', '118032', 'Frutos del Bosque en almìbar 700g', '', '7', 'Unidad', 'G', 21, 0, 'Vigente')</v>
      </c>
      <c r="D216" s="215">
        <f t="shared" si="7"/>
        <v>1</v>
      </c>
    </row>
    <row r="217" spans="1:4" ht="15">
      <c r="A217" s="124">
        <v>118033</v>
      </c>
      <c r="B217" s="214" t="s">
        <v>210</v>
      </c>
      <c r="C217" s="215" t="str">
        <f t="shared" si="6"/>
        <v>insert Articulo (Cuit, IdArticulo, DescrArticulo, GTIN, IdUnidad, DescrUnidad, IndicacionExentoGravado, AlicuotaIVA, IdWF, Estado) values ('27165995703', '118033', 'Cereza Negra en almíbar 700g', '', '7', 'Unidad', 'G', 21, 0, 'Vigente')</v>
      </c>
      <c r="D217" s="215">
        <f t="shared" si="7"/>
        <v>1</v>
      </c>
    </row>
    <row r="218" spans="1:4" ht="15">
      <c r="A218" s="124">
        <v>119001</v>
      </c>
      <c r="B218" s="214" t="s">
        <v>259</v>
      </c>
      <c r="C218" s="215" t="str">
        <f t="shared" si="6"/>
        <v>insert Articulo (Cuit, IdArticulo, DescrArticulo, GTIN, IdUnidad, DescrUnidad, IndicacionExentoGravado, AlicuotaIVA, IdWF, Estado) values ('27165995703', '119001', 'Azúcar int Mascabo Bolss eco 500 grs', '', '7', 'Unidad', 'G', 21, 0, 'Vigente')</v>
      </c>
      <c r="D218" s="215">
        <f t="shared" si="7"/>
        <v>968</v>
      </c>
    </row>
    <row r="219" spans="1:4" ht="15">
      <c r="A219" s="124">
        <v>119002</v>
      </c>
      <c r="B219" s="214" t="s">
        <v>260</v>
      </c>
      <c r="C219" s="215" t="str">
        <f t="shared" si="6"/>
        <v>insert Articulo (Cuit, IdArticulo, DescrArticulo, GTIN, IdUnidad, DescrUnidad, IndicacionExentoGravado, AlicuotaIVA, IdWF, Estado) values ('27165995703', '119002', 'Azúcar Mascabo gourmet 215g', '', '7', 'Unidad', 'G', 21, 0, 'Vigente')</v>
      </c>
      <c r="D219" s="215">
        <f t="shared" si="7"/>
        <v>1</v>
      </c>
    </row>
    <row r="220" spans="1:4" ht="15">
      <c r="A220" s="124">
        <v>120001</v>
      </c>
      <c r="B220" s="216" t="s">
        <v>248</v>
      </c>
      <c r="C220" s="215" t="str">
        <f t="shared" si="6"/>
        <v>insert Articulo (Cuit, IdArticulo, DescrArticulo, GTIN, IdUnidad, DescrUnidad, IndicacionExentoGravado, AlicuotaIVA, IdWF, Estado) values ('27165995703', '120001', 'Mani Tostado - Sal Marina Ahumada (65g)', '', '7', 'Unidad', 'G', 21, 0, 'Vigente')</v>
      </c>
      <c r="D220" s="215">
        <f t="shared" si="7"/>
        <v>999</v>
      </c>
    </row>
    <row r="221" spans="1:4" ht="15">
      <c r="A221" s="124">
        <v>120002</v>
      </c>
      <c r="B221" s="216" t="s">
        <v>247</v>
      </c>
      <c r="C221" s="215" t="str">
        <f t="shared" si="6"/>
        <v>insert Articulo (Cuit, IdArticulo, DescrArticulo, GTIN, IdUnidad, DescrUnidad, IndicacionExentoGravado, AlicuotaIVA, IdWF, Estado) values ('27165995703', '120002', 'Mani Tostado - Texas Barbecue (65g)', '', '7', 'Unidad', 'G', 21, 0, 'Vigente')</v>
      </c>
      <c r="D221" s="215">
        <f t="shared" si="7"/>
        <v>1</v>
      </c>
    </row>
    <row r="222" spans="1:4" ht="15">
      <c r="A222" s="124">
        <v>120003</v>
      </c>
      <c r="B222" s="216" t="s">
        <v>246</v>
      </c>
      <c r="C222" s="215" t="str">
        <f t="shared" si="6"/>
        <v>insert Articulo (Cuit, IdArticulo, DescrArticulo, GTIN, IdUnidad, DescrUnidad, IndicacionExentoGravado, AlicuotaIVA, IdWF, Estado) values ('27165995703', '120003', 'Mani Tostado - Wasabi Salsa de Soja (65g)', '', '7', 'Unidad', 'G', 21, 0, 'Vigente')</v>
      </c>
      <c r="D222" s="215">
        <f t="shared" si="7"/>
        <v>1</v>
      </c>
    </row>
    <row r="223" spans="1:4" ht="15">
      <c r="A223" s="124">
        <v>120004</v>
      </c>
      <c r="B223" s="216" t="s">
        <v>245</v>
      </c>
      <c r="C223" s="215" t="str">
        <f t="shared" si="6"/>
        <v>insert Articulo (Cuit, IdArticulo, DescrArticulo, GTIN, IdUnidad, DescrUnidad, IndicacionExentoGravado, AlicuotaIVA, IdWF, Estado) values ('27165995703', '120004', 'Mani Tostado - Thai Sweet Chilli (65g)', '', '7', 'Unidad', 'G', 21, 0, 'Vigente')</v>
      </c>
      <c r="D223" s="215">
        <f t="shared" si="7"/>
        <v>1</v>
      </c>
    </row>
    <row r="224" spans="1:4" ht="15">
      <c r="A224" s="124">
        <v>120005</v>
      </c>
      <c r="B224" s="216" t="s">
        <v>281</v>
      </c>
      <c r="C224" s="215" t="str">
        <f t="shared" si="6"/>
        <v>insert Articulo (Cuit, IdArticulo, DescrArticulo, GTIN, IdUnidad, DescrUnidad, IndicacionExentoGravado, AlicuotaIVA, IdWF, Estado) values ('27165995703', '120005', 'pasta Mani', '', '7', 'Unidad', 'G', 21, 0, 'Vigente')</v>
      </c>
      <c r="D224" s="215">
        <f t="shared" si="7"/>
        <v>1</v>
      </c>
    </row>
    <row r="225" spans="1:4" ht="15">
      <c r="A225" s="124">
        <v>120006</v>
      </c>
      <c r="B225" s="216" t="s">
        <v>249</v>
      </c>
      <c r="C225" s="215" t="str">
        <f t="shared" si="6"/>
        <v>insert Articulo (Cuit, IdArticulo, DescrArticulo, GTIN, IdUnidad, DescrUnidad, IndicacionExentoGravado, AlicuotaIVA, IdWF, Estado) values ('27165995703', '120006', 'Papas Fritas Kettle Sal Marina Ahumada (65g)', '', '7', 'Unidad', 'G', 21, 0, 'Vigente')</v>
      </c>
      <c r="D225" s="215">
        <f t="shared" si="7"/>
        <v>1</v>
      </c>
    </row>
    <row r="226" spans="1:4" ht="15">
      <c r="A226" s="124">
        <v>120007</v>
      </c>
      <c r="B226" s="216" t="s">
        <v>250</v>
      </c>
      <c r="C226" s="215" t="str">
        <f t="shared" si="6"/>
        <v>insert Articulo (Cuit, IdArticulo, DescrArticulo, GTIN, IdUnidad, DescrUnidad, IndicacionExentoGravado, AlicuotaIVA, IdWF, Estado) values ('27165995703', '120007', 'Papas Fritas Kettle Wasabi Salsa de Soja (65g)', '', '7', 'Unidad', 'G', 21, 0, 'Vigente')</v>
      </c>
      <c r="D226" s="215">
        <f t="shared" si="7"/>
        <v>1</v>
      </c>
    </row>
    <row r="227" spans="1:4" ht="15">
      <c r="A227" s="124">
        <v>121001</v>
      </c>
      <c r="B227" s="216" t="s">
        <v>257</v>
      </c>
      <c r="C227" s="215" t="str">
        <f t="shared" si="6"/>
        <v>insert Articulo (Cuit, IdArticulo, DescrArticulo, GTIN, IdUnidad, DescrUnidad, IndicacionExentoGravado, AlicuotaIVA, IdWF, Estado) values ('27165995703', '121001', 'Las Brisas Limonada c/Menta 250 cc', '', '7', 'Unidad', 'G', 21, 0, 'Vigente')</v>
      </c>
      <c r="D227" s="215">
        <f t="shared" si="7"/>
        <v>994</v>
      </c>
    </row>
    <row r="228" spans="1:4" ht="15">
      <c r="A228" s="124">
        <v>121002</v>
      </c>
      <c r="B228" s="216" t="s">
        <v>279</v>
      </c>
      <c r="C228" s="215" t="str">
        <f t="shared" si="6"/>
        <v>insert Articulo (Cuit, IdArticulo, DescrArticulo, GTIN, IdUnidad, DescrUnidad, IndicacionExentoGravado, AlicuotaIVA, IdWF, Estado) values ('27165995703', '121002', 'Las Brisas Manzana 250 cc', '', '7', 'Unidad', 'G', 21, 0, 'Vigente')</v>
      </c>
      <c r="D228" s="215">
        <f t="shared" si="7"/>
        <v>1</v>
      </c>
    </row>
    <row r="229" spans="1:4" ht="15">
      <c r="A229" s="124">
        <v>121003</v>
      </c>
      <c r="B229" s="216" t="s">
        <v>280</v>
      </c>
      <c r="C229" s="215" t="str">
        <f t="shared" si="6"/>
        <v>insert Articulo (Cuit, IdArticulo, DescrArticulo, GTIN, IdUnidad, DescrUnidad, IndicacionExentoGravado, AlicuotaIVA, IdWF, Estado) values ('27165995703', '121003', 'Las Brisas Arandanos 250 cc', '', '7', 'Unidad', 'G', 21, 0, 'Vigente')</v>
      </c>
      <c r="D229" s="215">
        <f t="shared" si="7"/>
        <v>1</v>
      </c>
    </row>
    <row r="230" spans="1:4" ht="15">
      <c r="A230" s="124">
        <v>121004</v>
      </c>
      <c r="B230" s="216" t="s">
        <v>282</v>
      </c>
      <c r="C230" s="215" t="str">
        <f t="shared" si="6"/>
        <v>insert Articulo (Cuit, IdArticulo, DescrArticulo, GTIN, IdUnidad, DescrUnidad, IndicacionExentoGravado, AlicuotaIVA, IdWF, Estado) values ('27165995703', '121004', 'Las Brisas Smoothie Arándano 250 cc', '', '7', 'Unidad', 'G', 21, 0, 'Vigente')</v>
      </c>
      <c r="D230" s="215">
        <f t="shared" si="7"/>
        <v>1</v>
      </c>
    </row>
    <row r="231" spans="1:4" ht="15">
      <c r="A231" s="124">
        <v>121005</v>
      </c>
      <c r="B231" s="216" t="s">
        <v>283</v>
      </c>
      <c r="C231" s="215" t="str">
        <f t="shared" si="6"/>
        <v>insert Articulo (Cuit, IdArticulo, DescrArticulo, GTIN, IdUnidad, DescrUnidad, IndicacionExentoGravado, AlicuotaIVA, IdWF, Estado) values ('27165995703', '121005', 'Las Brisas Smoothie Multifruta  250 cc', '', '7', 'Unidad', 'G', 21, 0, 'Vigente')</v>
      </c>
      <c r="D231" s="215">
        <f t="shared" si="7"/>
        <v>1</v>
      </c>
    </row>
    <row r="232" spans="1:4" ht="15">
      <c r="A232" s="124">
        <v>121006</v>
      </c>
      <c r="B232" s="216" t="s">
        <v>284</v>
      </c>
      <c r="C232" s="215" t="str">
        <f t="shared" si="6"/>
        <v>insert Articulo (Cuit, IdArticulo, DescrArticulo, GTIN, IdUnidad, DescrUnidad, IndicacionExentoGravado, AlicuotaIVA, IdWF, Estado) values ('27165995703', '121006', 'Las Brisas Smoothie Pera, Manzana 250 cc', '', '7', 'Unidad', 'G', 21, 0, 'Vigente')</v>
      </c>
      <c r="D232" s="215">
        <f t="shared" si="7"/>
        <v>1</v>
      </c>
    </row>
    <row r="233" spans="1:4" ht="15">
      <c r="A233" s="124">
        <v>121007</v>
      </c>
      <c r="B233" s="216" t="s">
        <v>277</v>
      </c>
      <c r="C233" s="215" t="str">
        <f t="shared" si="6"/>
        <v>insert Articulo (Cuit, IdArticulo, DescrArticulo, GTIN, IdUnidad, DescrUnidad, IndicacionExentoGravado, AlicuotaIVA, IdWF, Estado) values ('27165995703', '121007', 'Las Brisas  Pera Manzana 1000 cc', '', '7', 'Unidad', 'G', 21, 0, 'Vigente')</v>
      </c>
      <c r="D233" s="215">
        <f t="shared" si="7"/>
        <v>1</v>
      </c>
    </row>
    <row r="234" spans="1:4" ht="15">
      <c r="A234" s="124">
        <v>122001</v>
      </c>
      <c r="B234" s="220" t="s">
        <v>296</v>
      </c>
      <c r="C234" s="215" t="str">
        <f t="shared" si="6"/>
        <v>insert Articulo (Cuit, IdArticulo, DescrArticulo, GTIN, IdUnidad, DescrUnidad, IndicacionExentoGravado, AlicuotaIVA, IdWF, Estado) values ('27165995703', '122001', 'Aminopiñada - Almendras, pasas uva, chía y miel.', '', '7', 'Unidad', 'G', 21, 0, 'Vigente')</v>
      </c>
      <c r="D234" s="215">
        <f t="shared" si="7"/>
        <v>994</v>
      </c>
    </row>
    <row r="235" spans="1:4" ht="15">
      <c r="A235" s="124">
        <v>122002</v>
      </c>
      <c r="B235" s="221" t="s">
        <v>297</v>
      </c>
      <c r="C235" s="215" t="str">
        <f t="shared" si="6"/>
        <v>insert Articulo (Cuit, IdArticulo, DescrArticulo, GTIN, IdUnidad, DescrUnidad, IndicacionExentoGravado, AlicuotaIVA, IdWF, Estado) values ('27165995703', '122002', 'KariCajú - Cajú, arándanos, azúcar rubia, sésamo, curry', '', '7', 'Unidad', 'G', 21, 0, 'Vigente')</v>
      </c>
      <c r="D235" s="215">
        <f t="shared" si="7"/>
        <v>1</v>
      </c>
    </row>
    <row r="236" spans="1:4" ht="15">
      <c r="A236" s="124">
        <v>122003</v>
      </c>
      <c r="B236" s="221" t="s">
        <v>298</v>
      </c>
      <c r="C236" s="215" t="str">
        <f t="shared" si="6"/>
        <v>insert Articulo (Cuit, IdArticulo, DescrArticulo, GTIN, IdUnidad, DescrUnidad, IndicacionExentoGravado, AlicuotaIVA, IdWF, Estado) values ('27165995703', '122003', 'Dadou - Cajú, almendras, maní, girasol, pistacho, salsa de soja y pimienta.', '', '7', 'Unidad', 'G', 21, 0, 'Vigente')</v>
      </c>
      <c r="D236" s="215">
        <f t="shared" si="7"/>
        <v>1</v>
      </c>
    </row>
    <row r="237" spans="1:4" ht="15">
      <c r="A237" s="124">
        <v>122004</v>
      </c>
      <c r="B237" s="221" t="s">
        <v>299</v>
      </c>
      <c r="C237" s="215" t="str">
        <f t="shared" si="6"/>
        <v>insert Articulo (Cuit, IdArticulo, DescrArticulo, GTIN, IdUnidad, DescrUnidad, IndicacionExentoGravado, AlicuotaIVA, IdWF, Estado) values ('27165995703', '122004', 'Wazan - Cajú, maní, semillas de girasol, wasabi y sal marina.', '', '7', 'Unidad', 'G', 21, 0, 'Vigente')</v>
      </c>
      <c r="D237" s="215">
        <f t="shared" si="7"/>
        <v>1</v>
      </c>
    </row>
    <row r="238" spans="1:4" ht="15">
      <c r="A238" s="124">
        <v>122005</v>
      </c>
      <c r="B238" s="221" t="s">
        <v>300</v>
      </c>
      <c r="C238" s="215" t="str">
        <f t="shared" si="6"/>
        <v>insert Articulo (Cuit, IdArticulo, DescrArticulo, GTIN, IdUnidad, DescrUnidad, IndicacionExentoGravado, AlicuotaIVA, IdWF, Estado) values ('27165995703', '122005', 'Chiapaz - Avena, pasas de uva y semillas de chía.', '', '7', 'Unidad', 'G', 21, 0, 'Vigente')</v>
      </c>
      <c r="D238" s="215">
        <f t="shared" si="7"/>
        <v>1</v>
      </c>
    </row>
    <row r="239" spans="1:4" ht="15">
      <c r="A239" s="124">
        <v>122006</v>
      </c>
      <c r="B239" s="221" t="s">
        <v>301</v>
      </c>
      <c r="C239" s="215" t="str">
        <f t="shared" si="6"/>
        <v>insert Articulo (Cuit, IdArticulo, DescrArticulo, GTIN, IdUnidad, DescrUnidad, IndicacionExentoGravado, AlicuotaIVA, IdWF, Estado) values ('27165995703', '122006', 'Linocco - Avena, coco rallado y semillas de lino. ', '', '7', 'Unidad', 'G', 21, 0, 'Vigente')</v>
      </c>
      <c r="D239" s="215">
        <f t="shared" si="7"/>
        <v>1</v>
      </c>
    </row>
    <row r="240" spans="1:4" ht="15">
      <c r="A240" s="124">
        <v>122007</v>
      </c>
      <c r="B240" s="221" t="s">
        <v>302</v>
      </c>
      <c r="C240" s="215" t="str">
        <f t="shared" si="6"/>
        <v>insert Articulo (Cuit, IdArticulo, DescrArticulo, GTIN, IdUnidad, DescrUnidad, IndicacionExentoGravado, AlicuotaIVA, IdWF, Estado) values ('27165995703', '122007', 'Takku - Harina de algarroba, pasas de uva y girasol.', '', '7', 'Unidad', 'G', 21, 0, 'Vigente')</v>
      </c>
      <c r="D240" s="215">
        <f t="shared" si="7"/>
        <v>1</v>
      </c>
    </row>
    <row r="241" spans="1:4" ht="15">
      <c r="A241" s="124">
        <v>122008</v>
      </c>
      <c r="B241" s="221" t="s">
        <v>303</v>
      </c>
      <c r="C241" s="215" t="str">
        <f t="shared" si="6"/>
        <v>insert Articulo (Cuit, IdArticulo, DescrArticulo, GTIN, IdUnidad, DescrUnidad, IndicacionExentoGravado, AlicuotaIVA, IdWF, Estado) values ('27165995703', '122008', 'Tanlatam - Cacao amargo, maní y un toque de café.', '', '7', 'Unidad', 'G', 21, 0, 'Vigente')</v>
      </c>
      <c r="D241" s="215">
        <f t="shared" si="7"/>
        <v>1</v>
      </c>
    </row>
  </sheetData>
  <sortState ref="A1:C242">
    <sortCondition ref="A1:A24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Nota de Pedido QF</vt:lpstr>
      <vt:lpstr>Hoja1</vt:lpstr>
      <vt:lpstr>'Nota de Pedido QF'!Área_de_impresión</vt:lpstr>
      <vt:lpstr>'Nota de Pedido QF'!Títulos_a_imprimir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dc:creator>
  <cp:lastModifiedBy>Claudio</cp:lastModifiedBy>
  <cp:lastPrinted>2011-06-15T04:12:20Z</cp:lastPrinted>
  <dcterms:created xsi:type="dcterms:W3CDTF">2005-11-24T15:35:20Z</dcterms:created>
  <dcterms:modified xsi:type="dcterms:W3CDTF">2016-05-31T21:30:19Z</dcterms:modified>
</cp:coreProperties>
</file>