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<sst xmlns="http://schemas.openxmlformats.org/spreadsheetml/2006/main" count="680" uniqueCount="392">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</sst>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IFERROR(__xludf.DUMMYFUNCTION("""COMPUTED_VALUE"""),1.1509923801809082E7)</f>
        <v>11509923.8</v>
      </c>
      <c r="C2" s="3">
        <f>B2-A2</f>
        <v>2344793.765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"),"[SKL] Site")</f>
        <v>[SKL] Site</v>
      </c>
      <c r="G2" s="5">
        <f>IFERROR(__xludf.DUMMYFUNCTION("""COMPUTED_VALUE"""),-0.42256326148078693)</f>
        <v>-0.4225632615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IFERROR(__xludf.DUMMYFUNCTION("""COMPUTED_VALUE"""),-0.5320144096917789)</f>
        <v>-0.5320144097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"),0.7659574468085106)</f>
        <v>0.7659574468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"),0.4166666666666667)</f>
        <v>0.4166666667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IFERROR(__xludf.DUMMYFUNCTION("""COMPUTED_VALUE"""),-0.8121723937099592)</f>
        <v>-0.8121723937</v>
      </c>
      <c r="AC2" s="3">
        <f>IFERROR(__xludf.DUMMYFUNCTION("""COMPUTED_VALUE"""),-3208.85)</f>
        <v>-3208.85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"),"[SKL] CRM - Email")</f>
        <v>[SKL] CRM - Email</v>
      </c>
      <c r="AE2" s="5">
        <f>IFERROR(__xludf.DUMMYFUNCTION("""COMPUTED_VALUE"""),2.838614723437384)</f>
        <v>2.838614723</v>
      </c>
      <c r="AF2" s="3">
        <f>IFERROR(__xludf.DUMMYFUNCTION("""COMPUTED_VALUE"""),5871.844444444445)</f>
        <v>5871.844444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IFERROR(__xludf.DUMMYFUNCTION("""COMPUTED_VALUE"""),"Form G4 Incompleto Outros")</f>
        <v>Form G4 Incompleto Outros</v>
      </c>
      <c r="G3" s="5">
        <f>IFERROR(__xludf.DUMMYFUNCTION("""COMPUTED_VALUE"""),-0.4142119888844777)</f>
        <v>-0.4142119889</v>
      </c>
      <c r="H3" s="4" t="str">
        <f>IFERROR(__xludf.DUMMYFUNCTION("""COMPUTED_VALUE"""),"[SKL] Site")</f>
        <v>[SKL] Site</v>
      </c>
      <c r="I3" s="5">
        <f>IFERROR(__xludf.DUMMYFUNCTION("""COMPUTED_VALUE"""),-0.49066608762334357)</f>
        <v>-0.4906660876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IFERROR(__xludf.DUMMYFUNCTION("""COMPUTED_VALUE"""),-14.174061433447099)</f>
        <v>-14.17406143</v>
      </c>
      <c r="L3" s="4" t="str">
        <f>IFERROR(__xludf.DUMMYFUNCTION("""COMPUTED_VALUE"""),"[SKL] Chat")</f>
        <v>[SKL] Chat</v>
      </c>
      <c r="M3" s="6">
        <f>IFERROR(__xludf.DUMMYFUNCTION("""COMPUTED_VALUE"""),-22.499999999999996)</f>
        <v>-22.5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IFERROR(__xludf.DUMMYFUNCTION("""COMPUTED_VALUE"""),-0.5986315633856204)</f>
        <v>-0.5986315634</v>
      </c>
      <c r="AC3" s="3">
        <f>IFERROR(__xludf.DUMMYFUNCTION("""COMPUTED_VALUE"""),-7419.408749389649)</f>
        <v>-7419.408749</v>
      </c>
      <c r="AD3" s="4" t="str">
        <f>IFERROR(__xludf.DUMMYFUNCTION("""COMPUTED_VALUE"""),"[ON] Form Meta")</f>
        <v>[ON] Form Meta</v>
      </c>
      <c r="AE3" s="5">
        <f>IFERROR(__xludf.DUMMYFUNCTION("""COMPUTED_VALUE"""),2.4191448298919562)</f>
        <v>2.41914483</v>
      </c>
      <c r="AF3" s="3">
        <f>IFERROR(__xludf.DUMMYFUNCTION("""COMPUTED_VALUE"""),1889.0425531914893)</f>
        <v>1889.042553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IFERROR(__xludf.DUMMYFUNCTION("""COMPUTED_VALUE"""),-0.1873954266592299)</f>
        <v>-0.1873954267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IFERROR(__xludf.DUMMYFUNCTION("""COMPUTED_VALUE"""),-0.22125323277501097)</f>
        <v>-0.2212532328</v>
      </c>
      <c r="J4" s="4" t="str">
        <f>IFERROR(__xludf.DUMMYFUNCTION("""COMPUTED_VALUE"""),"[SKL] Outros")</f>
        <v>[SKL] Outros</v>
      </c>
      <c r="K4" s="6">
        <f>IFERROR(__xludf.DUMMYFUNCTION("""COMPUTED_VALUE"""),-14.053254437869821)</f>
        <v>-14.05325444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IFERROR(__xludf.DUMMYFUNCTION("""COMPUTED_VALUE"""),"Form G4 Incompleto Outros")</f>
        <v>Form G4 Incompleto Outros</v>
      </c>
      <c r="AB4" s="5">
        <f>IFERROR(__xludf.DUMMYFUNCTION("""COMPUTED_VALUE"""),-0.5640342220496559)</f>
        <v>-0.564034222</v>
      </c>
      <c r="AC4" s="3">
        <f>IFERROR(__xludf.DUMMYFUNCTION("""COMPUTED_VALUE"""),-1178.1249999999998)</f>
        <v>-1178.125</v>
      </c>
      <c r="AD4" s="4" t="str">
        <f>IFERROR(__xludf.DUMMYFUNCTION("""COMPUTED_VALUE"""),"[SKL] Chat")</f>
        <v>[SKL] Chat</v>
      </c>
      <c r="AE4" s="5">
        <f>IFERROR(__xludf.DUMMYFUNCTION("""COMPUTED_VALUE"""),1.2496209705004118)</f>
        <v>1.249620971</v>
      </c>
      <c r="AF4" s="3">
        <f>IFERROR(__xludf.DUMMYFUNCTION("""COMPUTED_VALUE"""),3287.5)</f>
        <v>3287.5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IFERROR(__xludf.DUMMYFUNCTION("""COMPUTED_VALUE"""),-0.127447552447552)</f>
        <v>-0.1274475524</v>
      </c>
      <c r="H5" s="4" t="str">
        <f>IFERROR(__xludf.DUMMYFUNCTION("""COMPUTED_VALUE"""),"[ON] Chat")</f>
        <v>[ON] Chat</v>
      </c>
      <c r="I5" s="5">
        <f>IFERROR(__xludf.DUMMYFUNCTION("""COMPUTED_VALUE"""),-0.11315956770502174)</f>
        <v>-0.1131595677</v>
      </c>
      <c r="J5" s="4" t="str">
        <f>IFERROR(__xludf.DUMMYFUNCTION("""COMPUTED_VALUE"""),"[SKL] CRM - WhatsApp")</f>
        <v>[SKL] CRM - WhatsApp</v>
      </c>
      <c r="K5" s="6">
        <f>IFERROR(__xludf.DUMMYFUNCTION("""COMPUTED_VALUE"""),-10.268115942028984)</f>
        <v>-10.26811594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IFERROR(__xludf.DUMMYFUNCTION("""COMPUTED_VALUE"""),-15.135135135135137)</f>
        <v>-15.13513514</v>
      </c>
      <c r="N5" s="4" t="str">
        <f>IFERROR(__xludf.DUMMYFUNCTION("""COMPUTED_VALUE"""),"Aplicativo G4 - Indicação")</f>
        <v>Aplicativo G4 - Indicação</v>
      </c>
      <c r="O5" s="5">
        <f>IFERROR(__xludf.DUMMYFUNCTION("""COMPUTED_VALUE"""),-0.613)</f>
        <v>-0.613</v>
      </c>
      <c r="P5" s="3">
        <f>IFERROR(__xludf.DUMMYFUNCTION("""COMPUTED_VALUE"""),-17777.0)</f>
        <v>-17777</v>
      </c>
      <c r="S5" s="4"/>
      <c r="T5" s="4"/>
      <c r="AA5" s="4" t="str">
        <f>IFERROR(__xludf.DUMMYFUNCTION("""COMPUTED_VALUE"""),"[IM] Form Facebook Ads")</f>
        <v>[IM] Form Facebook Ads</v>
      </c>
      <c r="AB5" s="5">
        <f>IFERROR(__xludf.DUMMYFUNCTION("""COMPUTED_VALUE"""),-0.5581642022981794)</f>
        <v>-0.5581642023</v>
      </c>
      <c r="AC5" s="3">
        <f>IFERROR(__xludf.DUMMYFUNCTION("""COMPUTED_VALUE"""),-3298.050279329608)</f>
        <v>-3298.050279</v>
      </c>
      <c r="AD5" s="4" t="str">
        <f>IFERROR(__xludf.DUMMYFUNCTION("""COMPUTED_VALUE"""),"Form G4 Google")</f>
        <v>Form G4 Google</v>
      </c>
      <c r="AE5" s="5">
        <f>IFERROR(__xludf.DUMMYFUNCTION("""COMPUTED_VALUE"""),1.1335888342165754)</f>
        <v>1.133588834</v>
      </c>
      <c r="AF5" s="3">
        <f>IFERROR(__xludf.DUMMYFUNCTION("""COMPUTED_VALUE"""),3813.144736842105)</f>
        <v>3813.144737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IFERROR(__xludf.DUMMYFUNCTION("""COMPUTED_VALUE"""),"Form G4 - K Outros")</f>
        <v>Form G4 - K Outros</v>
      </c>
      <c r="G6" s="5">
        <f>IFERROR(__xludf.DUMMYFUNCTION("""COMPUTED_VALUE"""),-0.07517030772844682)</f>
        <v>-0.07517030773</v>
      </c>
      <c r="H6" s="4" t="str">
        <f>IFERROR(__xludf.DUMMYFUNCTION("""COMPUTED_VALUE"""),"[IM] Form G4 Facebook Ads - K")</f>
        <v>[IM] Form G4 Facebook Ads - K</v>
      </c>
      <c r="I6" s="5">
        <f>IFERROR(__xludf.DUMMYFUNCTION("""COMPUTED_VALUE"""),-0.03525781766680061)</f>
        <v>-0.03525781767</v>
      </c>
      <c r="J6" s="4" t="str">
        <f>IFERROR(__xludf.DUMMYFUNCTION("""COMPUTED_VALUE"""),"[SKL] CRM - Email")</f>
        <v>[SKL] CRM - Email</v>
      </c>
      <c r="K6" s="6">
        <f>IFERROR(__xludf.DUMMYFUNCTION("""COMPUTED_VALUE"""),-9.837837837837837)</f>
        <v>-9.837837838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IFERROR(__xludf.DUMMYFUNCTION("""COMPUTED_VALUE"""),-14.365853658536585)</f>
        <v>-14.36585366</v>
      </c>
      <c r="N6" s="4" t="str">
        <f>IFERROR(__xludf.DUMMYFUNCTION("""COMPUTED_VALUE"""),"[SKL] Midia Paga - Frio")</f>
        <v>[SKL] Midia Paga - Frio</v>
      </c>
      <c r="O6" s="5">
        <f>IFERROR(__xludf.DUMMYFUNCTION("""COMPUTED_VALUE"""),-0.6101040906050524)</f>
        <v>-0.6101040906</v>
      </c>
      <c r="P6" s="3">
        <f>IFERROR(__xludf.DUMMYFUNCTION("""COMPUTED_VALUE"""),-10418.137451171875)</f>
        <v>-10418.13745</v>
      </c>
      <c r="Q6" s="7"/>
      <c r="S6" s="4"/>
      <c r="T6" s="4"/>
      <c r="AA6" s="4" t="str">
        <f>IFERROR(__xludf.DUMMYFUNCTION("""COMPUTED_VALUE"""),"Form G4 Outros - Orgânico")</f>
        <v>Form G4 Outros - Orgânico</v>
      </c>
      <c r="AB6" s="5">
        <f>IFERROR(__xludf.DUMMYFUNCTION("""COMPUTED_VALUE"""),-0.46271466309545906)</f>
        <v>-0.4627146631</v>
      </c>
      <c r="AC6" s="3">
        <f>IFERROR(__xludf.DUMMYFUNCTION("""COMPUTED_VALUE"""),-3996.5853658536575)</f>
        <v>-3996.585366</v>
      </c>
      <c r="AD6" s="4" t="str">
        <f>IFERROR(__xludf.DUMMYFUNCTION("""COMPUTED_VALUE"""),"[CM] Form G4 - Outros")</f>
        <v>[CM] Form G4 - Outros</v>
      </c>
      <c r="AE6" s="5">
        <f>IFERROR(__xludf.DUMMYFUNCTION("""COMPUTED_VALUE"""),0.7376037323620319)</f>
        <v>0.7376037324</v>
      </c>
      <c r="AF6" s="3">
        <f>IFERROR(__xludf.DUMMYFUNCTION("""COMPUTED_VALUE"""),3166.666666666666)</f>
        <v>3166.666667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Incompleto Instagram")</f>
        <v>Form G4 Incompleto Instagram</v>
      </c>
      <c r="G7" s="5">
        <f>IFERROR(__xludf.DUMMYFUNCTION("""COMPUTED_VALUE"""),-0.05121212121212059)</f>
        <v>-0.05121212121</v>
      </c>
      <c r="H7" s="4" t="str">
        <f>IFERROR(__xludf.DUMMYFUNCTION("""COMPUTED_VALUE"""),"Form G4 Incompleto Instagram")</f>
        <v>Form G4 Incompleto Instagram</v>
      </c>
      <c r="I7" s="5">
        <f>IFERROR(__xludf.DUMMYFUNCTION("""COMPUTED_VALUE"""),-0.029286103542233814)</f>
        <v>-0.02928610354</v>
      </c>
      <c r="J7" s="4" t="str">
        <f>IFERROR(__xludf.DUMMYFUNCTION("""COMPUTED_VALUE"""),"[IM] Link de Indicação")</f>
        <v>[IM] Link de Indicação</v>
      </c>
      <c r="K7" s="6">
        <f>IFERROR(__xludf.DUMMYFUNCTION("""COMPUTED_VALUE"""),-9.269230769230766)</f>
        <v>-9.269230769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IFERROR(__xludf.DUMMYFUNCTION("""COMPUTED_VALUE"""),-12.297872340425531)</f>
        <v>-12.29787234</v>
      </c>
      <c r="N7" s="4" t="str">
        <f>IFERROR(__xludf.DUMMYFUNCTION("""COMPUTED_VALUE"""),"[IM] Social DM")</f>
        <v>[IM] Social DM</v>
      </c>
      <c r="O7" s="5">
        <f>IFERROR(__xludf.DUMMYFUNCTION("""COMPUTED_VALUE"""),-0.6067509942488236)</f>
        <v>-0.6067509942</v>
      </c>
      <c r="P7" s="3">
        <f>IFERROR(__xludf.DUMMYFUNCTION("""COMPUTED_VALUE"""),-19416.031815962357)</f>
        <v>-19416.03182</v>
      </c>
      <c r="S7" s="4"/>
      <c r="T7" s="4"/>
      <c r="AA7" s="4" t="str">
        <f>IFERROR(__xludf.DUMMYFUNCTION("""COMPUTED_VALUE"""),"[IM] Chat")</f>
        <v>[IM] Chat</v>
      </c>
      <c r="AB7" s="5">
        <f>IFERROR(__xludf.DUMMYFUNCTION("""COMPUTED_VALUE"""),-0.42602297145652823)</f>
        <v>-0.4260229715</v>
      </c>
      <c r="AC7" s="3">
        <f>IFERROR(__xludf.DUMMYFUNCTION("""COMPUTED_VALUE"""),-2693.017687739158)</f>
        <v>-2693.017688</v>
      </c>
      <c r="AD7" s="4" t="str">
        <f>IFERROR(__xludf.DUMMYFUNCTION("""COMPUTED_VALUE"""),"Form G4 Instagram Tallis")</f>
        <v>Form G4 Instagram Tallis</v>
      </c>
      <c r="AE7" s="5">
        <f>IFERROR(__xludf.DUMMYFUNCTION("""COMPUTED_VALUE"""),0.6514408569527683)</f>
        <v>0.651440857</v>
      </c>
      <c r="AF7" s="3">
        <f>IFERROR(__xludf.DUMMYFUNCTION("""COMPUTED_VALUE"""),1308.9022556390973)</f>
        <v>1308.902256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 t="str">
        <f>IFERROR(__xludf.DUMMYFUNCTION("""COMPUTED_VALUE"""),"Form G4 - K Outros")</f>
        <v>Form G4 - K Outros</v>
      </c>
      <c r="I8" s="5">
        <f>IFERROR(__xludf.DUMMYFUNCTION("""COMPUTED_VALUE"""),-0.02251999953725312)</f>
        <v>-0.02251999954</v>
      </c>
      <c r="J8" s="4" t="str">
        <f>IFERROR(__xludf.DUMMYFUNCTION("""COMPUTED_VALUE"""),"[CM] Form G4 - Instagram")</f>
        <v>[CM] Form G4 - Instagram</v>
      </c>
      <c r="K8" s="6">
        <f>IFERROR(__xludf.DUMMYFUNCTION("""COMPUTED_VALUE"""),-8.32786885245902)</f>
        <v>-8.327868852</v>
      </c>
      <c r="L8" s="4" t="str">
        <f>IFERROR(__xludf.DUMMYFUNCTION("""COMPUTED_VALUE"""),"[ON] Form G4")</f>
        <v>[ON] Form G4</v>
      </c>
      <c r="M8" s="6">
        <f>IFERROR(__xludf.DUMMYFUNCTION("""COMPUTED_VALUE"""),-11.571428571428573)</f>
        <v>-11.57142857</v>
      </c>
      <c r="N8" s="4" t="str">
        <f>IFERROR(__xludf.DUMMYFUNCTION("""COMPUTED_VALUE"""),"[FS] Time de vendas")</f>
        <v>[FS] Time de vendas</v>
      </c>
      <c r="O8" s="5">
        <f>IFERROR(__xludf.DUMMYFUNCTION("""COMPUTED_VALUE"""),-0.5471429762555615)</f>
        <v>-0.5471429763</v>
      </c>
      <c r="P8" s="3">
        <f>IFERROR(__xludf.DUMMYFUNCTION("""COMPUTED_VALUE"""),-29302.86913401332)</f>
        <v>-29302.86913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IFERROR(__xludf.DUMMYFUNCTION("""COMPUTED_VALUE"""),-0.42210279326251954)</f>
        <v>-0.4221027933</v>
      </c>
      <c r="AC8" s="3">
        <f>IFERROR(__xludf.DUMMYFUNCTION("""COMPUTED_VALUE"""),-1821.25)</f>
        <v>-1821.25</v>
      </c>
      <c r="AD8" s="4" t="str">
        <f>IFERROR(__xludf.DUMMYFUNCTION("""COMPUTED_VALUE"""),"[IM] Link de Indicação")</f>
        <v>[IM] Link de Indicação</v>
      </c>
      <c r="AE8" s="5">
        <f>IFERROR(__xludf.DUMMYFUNCTION("""COMPUTED_VALUE"""),0.5757633947537972)</f>
        <v>0.5757633948</v>
      </c>
      <c r="AF8" s="3">
        <f>IFERROR(__xludf.DUMMYFUNCTION("""COMPUTED_VALUE"""),1372.999999999999)</f>
        <v>1373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IFERROR(__xludf.DUMMYFUNCTION("""COMPUTED_VALUE"""),-6.879463087248321)</f>
        <v>-6.879463087</v>
      </c>
      <c r="L9" s="4" t="str">
        <f>IFERROR(__xludf.DUMMYFUNCTION("""COMPUTED_VALUE"""),"[SKL] Site")</f>
        <v>[SKL] Site</v>
      </c>
      <c r="M9" s="6">
        <f>IFERROR(__xludf.DUMMYFUNCTION("""COMPUTED_VALUE"""),-11.210526315789476)</f>
        <v>-11.21052632</v>
      </c>
      <c r="N9" s="9" t="str">
        <f>IFERROR(__xludf.DUMMYFUNCTION("""COMPUTED_VALUE"""),"[SKL] Midia Paga - Quente")</f>
        <v>[SKL] Midia Paga - Quente</v>
      </c>
      <c r="O9" s="5">
        <f>IFERROR(__xludf.DUMMYFUNCTION("""COMPUTED_VALUE"""),-0.4976453589489739)</f>
        <v>-0.4976453589</v>
      </c>
      <c r="P9" s="3">
        <f>IFERROR(__xludf.DUMMYFUNCTION("""COMPUTED_VALUE"""),-10627.714285714286)</f>
        <v>-10627.71429</v>
      </c>
      <c r="S9" s="4"/>
      <c r="T9" s="4"/>
      <c r="AA9" s="4" t="str">
        <f>IFERROR(__xludf.DUMMYFUNCTION("""COMPUTED_VALUE"""),"[SKL] Outros")</f>
        <v>[SKL] Outros</v>
      </c>
      <c r="AB9" s="5">
        <f>IFERROR(__xludf.DUMMYFUNCTION("""COMPUTED_VALUE"""),-0.37971117910851004)</f>
        <v>-0.3797111791</v>
      </c>
      <c r="AC9" s="3">
        <f>IFERROR(__xludf.DUMMYFUNCTION("""COMPUTED_VALUE"""),-3508.2702702702695)</f>
        <v>-3508.27027</v>
      </c>
      <c r="AD9" s="4" t="str">
        <f>IFERROR(__xludf.DUMMYFUNCTION("""COMPUTED_VALUE"""),"[SKL] Site")</f>
        <v>[SKL] Site</v>
      </c>
      <c r="AE9" s="5">
        <f>IFERROR(__xludf.DUMMYFUNCTION("""COMPUTED_VALUE"""),0.4823690107138283)</f>
        <v>0.4823690107</v>
      </c>
      <c r="AF9" s="3">
        <f>IFERROR(__xludf.DUMMYFUNCTION("""COMPUTED_VALUE"""),896.3157894736842)</f>
        <v>896.3157895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IFERROR(__xludf.DUMMYFUNCTION("""COMPUTED_VALUE"""),-6.307583643122677)</f>
        <v>-6.307583643</v>
      </c>
      <c r="L10" s="4" t="str">
        <f>IFERROR(__xludf.DUMMYFUNCTION("""COMPUTED_VALUE"""),"[SKL] Outros")</f>
        <v>[SKL] Outros</v>
      </c>
      <c r="M10" s="6">
        <f>IFERROR(__xludf.DUMMYFUNCTION("""COMPUTED_VALUE"""),-11.081081081081079)</f>
        <v>-11.08108108</v>
      </c>
      <c r="N10" s="9" t="str">
        <f>IFERROR(__xludf.DUMMYFUNCTION("""COMPUTED_VALUE"""),"Form G4 Instagram G4")</f>
        <v>Form G4 Instagram G4</v>
      </c>
      <c r="O10" s="5">
        <f>IFERROR(__xludf.DUMMYFUNCTION("""COMPUTED_VALUE"""),-0.3491414285776566)</f>
        <v>-0.3491414286</v>
      </c>
      <c r="P10" s="3">
        <f>IFERROR(__xludf.DUMMYFUNCTION("""COMPUTED_VALUE"""),-11172.525714485011)</f>
        <v>-11172.52571</v>
      </c>
      <c r="Q10" s="4"/>
      <c r="S10" s="4"/>
      <c r="T10" s="4"/>
      <c r="AA10" s="4" t="str">
        <f>IFERROR(__xludf.DUMMYFUNCTION("""COMPUTED_VALUE"""),"Form G4 - K Outros")</f>
        <v>Form G4 - K Outros</v>
      </c>
      <c r="AB10" s="5">
        <f>IFERROR(__xludf.DUMMYFUNCTION("""COMPUTED_VALUE"""),-0.33956225827143394)</f>
        <v>-0.3395622583</v>
      </c>
      <c r="AC10" s="3">
        <f>IFERROR(__xludf.DUMMYFUNCTION("""COMPUTED_VALUE"""),-960.4064096304085)</f>
        <v>-960.4064096</v>
      </c>
      <c r="AD10" s="9" t="str">
        <f>IFERROR(__xludf.DUMMYFUNCTION("""COMPUTED_VALUE"""),"[IM] Form G4 Facebook Ads - K")</f>
        <v>[IM] Form G4 Facebook Ads - K</v>
      </c>
      <c r="AE10" s="10">
        <f>IFERROR(__xludf.DUMMYFUNCTION("""COMPUTED_VALUE"""),0.21792232108918697)</f>
        <v>0.2179223211</v>
      </c>
      <c r="AF10" s="11">
        <f>IFERROR(__xludf.DUMMYFUNCTION("""COMPUTED_VALUE"""),-48.757056206424295)</f>
        <v>-48.75705621</v>
      </c>
    </row>
    <row r="11">
      <c r="F11" s="4"/>
      <c r="G11" s="4"/>
      <c r="H11" s="4"/>
      <c r="I11" s="4"/>
      <c r="J11" s="4" t="str">
        <f>IFERROR(__xludf.DUMMYFUNCTION("""COMPUTED_VALUE"""),"[ON] Form G4 Incompleto")</f>
        <v>[ON] Form G4 Incompleto</v>
      </c>
      <c r="K11" s="6">
        <f>IFERROR(__xludf.DUMMYFUNCTION("""COMPUTED_VALUE"""),-6.070796460176991)</f>
        <v>-6.07079646</v>
      </c>
      <c r="L11" s="4" t="str">
        <f>IFERROR(__xludf.DUMMYFUNCTION("""COMPUTED_VALUE"""),"Form G4 Incompleto Outros")</f>
        <v>Form G4 Incompleto Outros</v>
      </c>
      <c r="M11" s="6">
        <f>IFERROR(__xludf.DUMMYFUNCTION("""COMPUTED_VALUE"""),-8.875)</f>
        <v>-8.875</v>
      </c>
      <c r="N11" s="9" t="str">
        <f>IFERROR(__xludf.DUMMYFUNCTION("""COMPUTED_VALUE"""),"[IM] Chat")</f>
        <v>[IM] Chat</v>
      </c>
      <c r="O11" s="5">
        <f>IFERROR(__xludf.DUMMYFUNCTION("""COMPUTED_VALUE"""),-0.33136356295072117)</f>
        <v>-0.331363563</v>
      </c>
      <c r="P11" s="3">
        <f>IFERROR(__xludf.DUMMYFUNCTION("""COMPUTED_VALUE"""),-8615.45263671875)</f>
        <v>-8615.452637</v>
      </c>
      <c r="AA11" s="4" t="str">
        <f>IFERROR(__xludf.DUMMYFUNCTION("""COMPUTED_VALUE"""),"[ON] Form G4 Incompleto")</f>
        <v>[ON] Form G4 Incompleto</v>
      </c>
      <c r="AB11" s="5">
        <f>IFERROR(__xludf.DUMMYFUNCTION("""COMPUTED_VALUE"""),-0.33741007422079705)</f>
        <v>-0.3374100742</v>
      </c>
      <c r="AC11" s="3">
        <f>IFERROR(__xludf.DUMMYFUNCTION("""COMPUTED_VALUE"""),-565.1583319769966)</f>
        <v>-565.158332</v>
      </c>
      <c r="AD11" s="9" t="str">
        <f>IFERROR(__xludf.DUMMYFUNCTION("""COMPUTED_VALUE"""),"[SKL] CRM - WhatsApp")</f>
        <v>[SKL] CRM - WhatsApp</v>
      </c>
      <c r="AE11" s="10">
        <f>IFERROR(__xludf.DUMMYFUNCTION("""COMPUTED_VALUE"""),0.09962442396789162)</f>
        <v>0.09962442397</v>
      </c>
      <c r="AF11" s="11">
        <f>IFERROR(__xludf.DUMMYFUNCTION("""COMPUTED_VALUE"""),-371.3677387852822)</f>
        <v>-371.3677388</v>
      </c>
    </row>
    <row r="12">
      <c r="F12" s="4"/>
      <c r="G12" s="4"/>
      <c r="H12" s="4"/>
      <c r="I12" s="4"/>
      <c r="J12" s="4" t="str">
        <f>IFERROR(__xludf.DUMMYFUNCTION("""COMPUTED_VALUE"""),"Form G4 Incompleto Outros")</f>
        <v>Form G4 Incompleto Outros</v>
      </c>
      <c r="K12" s="6">
        <f>IFERROR(__xludf.DUMMYFUNCTION("""COMPUTED_VALUE"""),-3.9699248120300763)</f>
        <v>-3.969924812</v>
      </c>
      <c r="L12" s="4" t="str">
        <f>IFERROR(__xludf.DUMMYFUNCTION("""COMPUTED_VALUE"""),"[ON] Form G4 Incompleto")</f>
        <v>[ON] Form G4 Incompleto</v>
      </c>
      <c r="M12" s="6">
        <f>IFERROR(__xludf.DUMMYFUNCTION("""COMPUTED_VALUE"""),-8.666666666666668)</f>
        <v>-8.666666667</v>
      </c>
      <c r="N12" s="9" t="str">
        <f>IFERROR(__xludf.DUMMYFUNCTION("""COMPUTED_VALUE"""),"[SKL] Social")</f>
        <v>[SKL] Social</v>
      </c>
      <c r="O12" s="5">
        <f>IFERROR(__xludf.DUMMYFUNCTION("""COMPUTED_VALUE"""),-0.3161111111111111)</f>
        <v>-0.3161111111</v>
      </c>
      <c r="P12" s="3">
        <f>IFERROR(__xludf.DUMMYFUNCTION("""COMPUTED_VALUE"""),-6638.333333333334)</f>
        <v>-6638.333333</v>
      </c>
      <c r="AA12" s="4" t="str">
        <f>IFERROR(__xludf.DUMMYFUNCTION("""COMPUTED_VALUE"""),"Form G4 Incompleto Instagram")</f>
        <v>Form G4 Incompleto Instagram</v>
      </c>
      <c r="AB12" s="5">
        <f>IFERROR(__xludf.DUMMYFUNCTION("""COMPUTED_VALUE"""),-0.3245400430621087)</f>
        <v>-0.3245400431</v>
      </c>
      <c r="AC12" s="3">
        <f>IFERROR(__xludf.DUMMYFUNCTION("""COMPUTED_VALUE"""),-948.0368852459014)</f>
        <v>-948.0368852</v>
      </c>
    </row>
    <row r="13">
      <c r="F13" s="4"/>
      <c r="G13" s="4"/>
      <c r="H13" s="4"/>
      <c r="I13" s="4"/>
      <c r="J13" s="4" t="str">
        <f>IFERROR(__xludf.DUMMYFUNCTION("""COMPUTED_VALUE"""),"[IM] Form G4 Facebook Ads - K")</f>
        <v>[IM] Form G4 Facebook Ads - K</v>
      </c>
      <c r="K13" s="6">
        <f>IFERROR(__xludf.DUMMYFUNCTION("""COMPUTED_VALUE"""),-3.7688456471065197)</f>
        <v>-3.768845647</v>
      </c>
      <c r="L13" s="4" t="str">
        <f>IFERROR(__xludf.DUMMYFUNCTION("""COMPUTED_VALUE"""),"[IM] Form Facebook Ads")</f>
        <v>[IM] Form Facebook Ads</v>
      </c>
      <c r="M13" s="6">
        <f>IFERROR(__xludf.DUMMYFUNCTION("""COMPUTED_VALUE"""),-8.56145251396648)</f>
        <v>-8.561452514</v>
      </c>
      <c r="N13" s="9" t="str">
        <f>IFERROR(__xludf.DUMMYFUNCTION("""COMPUTED_VALUE"""),"[IM] Form Facebook Ads")</f>
        <v>[IM] Form Facebook Ads</v>
      </c>
      <c r="O13" s="5">
        <f>IFERROR(__xludf.DUMMYFUNCTION("""COMPUTED_VALUE"""),-0.31449568965517244)</f>
        <v>-0.3144956897</v>
      </c>
      <c r="P13" s="3">
        <f>IFERROR(__xludf.DUMMYFUNCTION("""COMPUTED_VALUE"""),-9120.375)</f>
        <v>-9120.375</v>
      </c>
      <c r="AA13" s="4" t="str">
        <f>IFERROR(__xludf.DUMMYFUNCTION("""COMPUTED_VALUE"""),"[ON] Form G4")</f>
        <v>[ON] Form G4</v>
      </c>
      <c r="AB13" s="5">
        <f>IFERROR(__xludf.DUMMYFUNCTION("""COMPUTED_VALUE"""),-0.30095826182253993)</f>
        <v>-0.3009582618</v>
      </c>
      <c r="AC13" s="3">
        <f>IFERROR(__xludf.DUMMYFUNCTION("""COMPUTED_VALUE"""),-1333.6485630580357)</f>
        <v>-1333.648563</v>
      </c>
    </row>
    <row r="14">
      <c r="F14" s="4"/>
      <c r="G14" s="4"/>
      <c r="H14" s="4"/>
      <c r="I14" s="4"/>
      <c r="J14" s="4" t="str">
        <f>IFERROR(__xludf.DUMMYFUNCTION("""COMPUTED_VALUE"""),"[ON] Abandono de carrinho")</f>
        <v>[ON] Abandono de carrinho</v>
      </c>
      <c r="K14" s="6">
        <f>IFERROR(__xludf.DUMMYFUNCTION("""COMPUTED_VALUE"""),-3.526315789473686)</f>
        <v>-3.526315789</v>
      </c>
      <c r="L14" s="4" t="str">
        <f>IFERROR(__xludf.DUMMYFUNCTION("""COMPUTED_VALUE"""),"Aplicativo G4 - Indicação")</f>
        <v>Aplicativo G4 - Indicação</v>
      </c>
      <c r="M14" s="6">
        <f>IFERROR(__xludf.DUMMYFUNCTION("""COMPUTED_VALUE"""),-8.0)</f>
        <v>-8</v>
      </c>
      <c r="N14" s="9" t="str">
        <f>IFERROR(__xludf.DUMMYFUNCTION("""COMPUTED_VALUE"""),"[SKL] Outros")</f>
        <v>[SKL] Outros</v>
      </c>
      <c r="O14" s="5">
        <f>IFERROR(__xludf.DUMMYFUNCTION("""COMPUTED_VALUE"""),-0.2205341614906832)</f>
        <v>-0.2205341615</v>
      </c>
      <c r="P14" s="3">
        <f>IFERROR(__xludf.DUMMYFUNCTION("""COMPUTED_VALUE"""),-5072.285714285714)</f>
        <v>-5072.285714</v>
      </c>
      <c r="AA14" s="4" t="str">
        <f>IFERROR(__xludf.DUMMYFUNCTION("""COMPUTED_VALUE"""),"Form G4 Instagram G4")</f>
        <v>Form G4 Instagram G4</v>
      </c>
      <c r="AB14" s="5">
        <f>IFERROR(__xludf.DUMMYFUNCTION("""COMPUTED_VALUE"""),-0.29395942536105635)</f>
        <v>-0.2939594254</v>
      </c>
      <c r="AC14" s="3">
        <f>IFERROR(__xludf.DUMMYFUNCTION("""COMPUTED_VALUE"""),-2678.179200032553)</f>
        <v>-2678.1792</v>
      </c>
    </row>
    <row r="15">
      <c r="F15" s="4"/>
      <c r="G15" s="4"/>
      <c r="H15" s="4"/>
      <c r="I15" s="4"/>
      <c r="J15" s="4" t="str">
        <f>IFERROR(__xludf.DUMMYFUNCTION("""COMPUTED_VALUE"""),"Form G4 Facebook")</f>
        <v>Form G4 Facebook</v>
      </c>
      <c r="K15" s="6">
        <f>IFERROR(__xludf.DUMMYFUNCTION("""COMPUTED_VALUE"""),-3.521739130434784)</f>
        <v>-3.52173913</v>
      </c>
      <c r="L15" s="9" t="str">
        <f>IFERROR(__xludf.DUMMYFUNCTION("""COMPUTED_VALUE"""),"[ON] Chat")</f>
        <v>[ON] Chat</v>
      </c>
      <c r="M15" s="6">
        <f>IFERROR(__xludf.DUMMYFUNCTION("""COMPUTED_VALUE"""),-7.5625)</f>
        <v>-7.5625</v>
      </c>
      <c r="N15" s="9" t="str">
        <f>IFERROR(__xludf.DUMMYFUNCTION("""COMPUTED_VALUE"""),"Form G4 Incompleto Instagram")</f>
        <v>Form G4 Incompleto Instagram</v>
      </c>
      <c r="O15" s="5">
        <f>IFERROR(__xludf.DUMMYFUNCTION("""COMPUTED_VALUE"""),-0.21635588235294112)</f>
        <v>-0.2163558824</v>
      </c>
      <c r="P15" s="3">
        <f>IFERROR(__xludf.DUMMYFUNCTION("""COMPUTED_VALUE"""),-3678.0499999999993)</f>
        <v>-3678.05</v>
      </c>
      <c r="AA15" s="4" t="str">
        <f>IFERROR(__xludf.DUMMYFUNCTION("""COMPUTED_VALUE"""),"[ON] Chat")</f>
        <v>[ON] Chat</v>
      </c>
      <c r="AB15" s="5">
        <f>IFERROR(__xludf.DUMMYFUNCTION("""COMPUTED_VALUE"""),-0.23651187153916753)</f>
        <v>-0.2365118715</v>
      </c>
      <c r="AC15" s="3">
        <f>IFERROR(__xludf.DUMMYFUNCTION("""COMPUTED_VALUE"""),-808.0984373092654)</f>
        <v>-808.0984373</v>
      </c>
    </row>
    <row r="16">
      <c r="F16" s="4"/>
      <c r="G16" s="4"/>
      <c r="H16" s="4"/>
      <c r="I16" s="4"/>
      <c r="J16" s="4" t="str">
        <f>IFERROR(__xludf.DUMMYFUNCTION("""COMPUTED_VALUE"""),"Form G4 Outros - Não Orgânico")</f>
        <v>Form G4 Outros - Não Orgânico</v>
      </c>
      <c r="K16" s="6">
        <f>IFERROR(__xludf.DUMMYFUNCTION("""COMPUTED_VALUE"""),-3.129870129870133)</f>
        <v>-3.12987013</v>
      </c>
      <c r="L16" s="9" t="str">
        <f>IFERROR(__xludf.DUMMYFUNCTION("""COMPUTED_VALUE"""),"[SKL] CRM - Email")</f>
        <v>[SKL] CRM - Email</v>
      </c>
      <c r="M16" s="6">
        <f>IFERROR(__xludf.DUMMYFUNCTION("""COMPUTED_VALUE"""),-7.088888888888889)</f>
        <v>-7.088888889</v>
      </c>
      <c r="N16" s="9" t="str">
        <f>IFERROR(__xludf.DUMMYFUNCTION("""COMPUTED_VALUE"""),"Form G4 - K Outros")</f>
        <v>Form G4 - K Outros</v>
      </c>
      <c r="O16" s="5">
        <f>IFERROR(__xludf.DUMMYFUNCTION("""COMPUTED_VALUE"""),-0.20905480722280648)</f>
        <v>-0.2090548072</v>
      </c>
      <c r="P16" s="3">
        <f>IFERROR(__xludf.DUMMYFUNCTION("""COMPUTED_VALUE"""),-2717.7124938964844)</f>
        <v>-2717.712494</v>
      </c>
      <c r="AA16" s="4" t="str">
        <f>IFERROR(__xludf.DUMMYFUNCTION("""COMPUTED_VALUE"""),"Form G4 Instagram Outros")</f>
        <v>Form G4 Instagram Outros</v>
      </c>
      <c r="AB16" s="5">
        <f>IFERROR(__xludf.DUMMYFUNCTION("""COMPUTED_VALUE"""),-0.1520008954440314)</f>
        <v>-0.1520008954</v>
      </c>
      <c r="AC16" s="3">
        <f>IFERROR(__xludf.DUMMYFUNCTION("""COMPUTED_VALUE"""),-2007.3191489361707)</f>
        <v>-2007.319149</v>
      </c>
    </row>
    <row r="17">
      <c r="F17" s="4"/>
      <c r="G17" s="4"/>
      <c r="H17" s="4"/>
      <c r="I17" s="4"/>
      <c r="J17" s="4" t="str">
        <f>IFERROR(__xludf.DUMMYFUNCTION("""COMPUTED_VALUE"""),"[IM] Social DM")</f>
        <v>[IM] Social DM</v>
      </c>
      <c r="K17" s="6">
        <f>IFERROR(__xludf.DUMMYFUNCTION("""COMPUTED_VALUE"""),-2.5555555555555554)</f>
        <v>-2.555555556</v>
      </c>
      <c r="L17" s="9" t="str">
        <f>IFERROR(__xludf.DUMMYFUNCTION("""COMPUTED_VALUE"""),"[IM] Form G4 Facebook Ads - K")</f>
        <v>[IM] Form G4 Facebook Ads - K</v>
      </c>
      <c r="M17" s="6">
        <f>IFERROR(__xludf.DUMMYFUNCTION("""COMPUTED_VALUE"""),-6.9315031982942426)</f>
        <v>-6.931503198</v>
      </c>
      <c r="N17" s="9" t="str">
        <f>IFERROR(__xludf.DUMMYFUNCTION("""COMPUTED_VALUE"""),"[ON] Chat")</f>
        <v>[ON] Chat</v>
      </c>
      <c r="O17" s="5">
        <f>IFERROR(__xludf.DUMMYFUNCTION("""COMPUTED_VALUE"""),-0.1997404039171007)</f>
        <v>-0.1997404039</v>
      </c>
      <c r="P17" s="3">
        <f>IFERROR(__xludf.DUMMYFUNCTION("""COMPUTED_VALUE"""),-1318.2866658528646)</f>
        <v>-1318.286666</v>
      </c>
      <c r="AA17" s="4" t="str">
        <f>IFERROR(__xludf.DUMMYFUNCTION("""COMPUTED_VALUE"""),"[SKL] Midia Paga - Frio")</f>
        <v>[SKL] Midia Paga - Frio</v>
      </c>
      <c r="AB17" s="5">
        <f>IFERROR(__xludf.DUMMYFUNCTION("""COMPUTED_VALUE"""),-0.07500263573556343)</f>
        <v>-0.07500263574</v>
      </c>
      <c r="AC17" s="3">
        <f>IFERROR(__xludf.DUMMYFUNCTION("""COMPUTED_VALUE"""),-269.4290945746528)</f>
        <v>-269.4290946</v>
      </c>
    </row>
    <row r="18">
      <c r="F18" s="4"/>
      <c r="G18" s="4"/>
      <c r="H18" s="4"/>
      <c r="I18" s="4"/>
      <c r="J18" s="4" t="str">
        <f>IFERROR(__xludf.DUMMYFUNCTION("""COMPUTED_VALUE"""),"[SKL] Social")</f>
        <v>[SKL] Social</v>
      </c>
      <c r="K18" s="6">
        <f>IFERROR(__xludf.DUMMYFUNCTION("""COMPUTED_VALUE"""),-2.4444444444444438)</f>
        <v>-2.444444444</v>
      </c>
      <c r="L18" s="9" t="str">
        <f>IFERROR(__xludf.DUMMYFUNCTION("""COMPUTED_VALUE"""),"[IM] Social DM")</f>
        <v>[IM] Social DM</v>
      </c>
      <c r="M18" s="6">
        <f>IFERROR(__xludf.DUMMYFUNCTION("""COMPUTED_VALUE"""),-6.5)</f>
        <v>-6.5</v>
      </c>
      <c r="N18" s="9" t="str">
        <f>IFERROR(__xludf.DUMMYFUNCTION("""COMPUTED_VALUE"""),"[IM] Time de vendas")</f>
        <v>[IM] Time de vendas</v>
      </c>
      <c r="O18" s="5">
        <f>IFERROR(__xludf.DUMMYFUNCTION("""COMPUTED_VALUE"""),-0.18222523498233134)</f>
        <v>-0.182225235</v>
      </c>
      <c r="P18" s="3">
        <f>IFERROR(__xludf.DUMMYFUNCTION("""COMPUTED_VALUE"""),-5452.454585403066)</f>
        <v>-5452.454585</v>
      </c>
      <c r="AA18" s="4" t="str">
        <f>IFERROR(__xludf.DUMMYFUNCTION("""COMPUTED_VALUE"""),"[SKL] Midia Paga - Quente")</f>
        <v>[SKL] Midia Paga - Quente</v>
      </c>
      <c r="AB18" s="5">
        <f>IFERROR(__xludf.DUMMYFUNCTION("""COMPUTED_VALUE"""),-0.06855221806801137)</f>
        <v>-0.06855221807</v>
      </c>
      <c r="AC18" s="3">
        <f>IFERROR(__xludf.DUMMYFUNCTION("""COMPUTED_VALUE"""),-444.0330666666666)</f>
        <v>-444.0330667</v>
      </c>
    </row>
    <row r="19">
      <c r="F19" s="4"/>
      <c r="G19" s="4"/>
      <c r="H19" s="4"/>
      <c r="I19" s="4"/>
      <c r="J19" s="4" t="str">
        <f>IFERROR(__xludf.DUMMYFUNCTION("""COMPUTED_VALUE"""),"Form G4 Instagram G4")</f>
        <v>Form G4 Instagram G4</v>
      </c>
      <c r="K19" s="6">
        <f>IFERROR(__xludf.DUMMYFUNCTION("""COMPUTED_VALUE"""),-2.2203389830508513)</f>
        <v>-2.220338983</v>
      </c>
      <c r="L19" s="9" t="str">
        <f>IFERROR(__xludf.DUMMYFUNCTION("""COMPUTED_VALUE"""),"Form G4 - K Instagram")</f>
        <v>Form G4 - K Instagram</v>
      </c>
      <c r="M19" s="6">
        <f>IFERROR(__xludf.DUMMYFUNCTION("""COMPUTED_VALUE"""),-6.344262295081969)</f>
        <v>-6.344262295</v>
      </c>
      <c r="N19" s="9" t="str">
        <f>IFERROR(__xludf.DUMMYFUNCTION("""COMPUTED_VALUE"""),"Form G4 Outros - Orgânico")</f>
        <v>Form G4 Outros - Orgânico</v>
      </c>
      <c r="O19" s="5">
        <f>IFERROR(__xludf.DUMMYFUNCTION("""COMPUTED_VALUE"""),-0.15625)</f>
        <v>-0.15625</v>
      </c>
      <c r="P19" s="3">
        <f>IFERROR(__xludf.DUMMYFUNCTION("""COMPUTED_VALUE"""),-3750.0)</f>
        <v>-3750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IFERROR(__xludf.DUMMYFUNCTION("""COMPUTED_VALUE"""),"[IM] Chat")</f>
        <v>[IM] Chat</v>
      </c>
      <c r="K20" s="6">
        <f>IFERROR(__xludf.DUMMYFUNCTION("""COMPUTED_VALUE"""),-1.3695652173913053)</f>
        <v>-1.369565217</v>
      </c>
      <c r="L20" s="9" t="str">
        <f>IFERROR(__xludf.DUMMYFUNCTION("""COMPUTED_VALUE"""),"[IM] Chat")</f>
        <v>[IM] Chat</v>
      </c>
      <c r="M20" s="6">
        <f>IFERROR(__xludf.DUMMYFUNCTION("""COMPUTED_VALUE"""),-6.074829931972789)</f>
        <v>-6.074829932</v>
      </c>
      <c r="N20" s="9" t="str">
        <f>IFERROR(__xludf.DUMMYFUNCTION("""COMPUTED_VALUE"""),"[IM] Link de Indicação")</f>
        <v>[IM] Link de Indicação</v>
      </c>
      <c r="O20" s="5">
        <f>IFERROR(__xludf.DUMMYFUNCTION("""COMPUTED_VALUE"""),-0.138375)</f>
        <v>-0.138375</v>
      </c>
      <c r="P20" s="3">
        <f>IFERROR(__xludf.DUMMYFUNCTION("""COMPUTED_VALUE"""),-3321.0)</f>
        <v>-3321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IFERROR(__xludf.DUMMYFUNCTION("""COMPUTED_VALUE"""),"Form G4 - K Outros")</f>
        <v>Form G4 - K Outros</v>
      </c>
      <c r="K21" s="6">
        <f>IFERROR(__xludf.DUMMYFUNCTION("""COMPUTED_VALUE"""),-1.255319148936171)</f>
        <v>-1.255319149</v>
      </c>
      <c r="L21" s="9" t="str">
        <f>IFERROR(__xludf.DUMMYFUNCTION("""COMPUTED_VALUE"""),"[SKL] Midia Paga - Morno")</f>
        <v>[SKL] Midia Paga - Morno</v>
      </c>
      <c r="M21" s="6">
        <f>IFERROR(__xludf.DUMMYFUNCTION("""COMPUTED_VALUE"""),-5.92)</f>
        <v>-5.92</v>
      </c>
      <c r="N21" s="9" t="str">
        <f>IFERROR(__xludf.DUMMYFUNCTION("""COMPUTED_VALUE"""),"[ON] Abandono de carrinho")</f>
        <v>[ON] Abandono de carrinho</v>
      </c>
      <c r="O21" s="5">
        <f>IFERROR(__xludf.DUMMYFUNCTION("""COMPUTED_VALUE"""),-0.052550120753870645)</f>
        <v>-0.05255012075</v>
      </c>
      <c r="P21" s="3">
        <f>IFERROR(__xludf.DUMMYFUNCTION("""COMPUTED_VALUE"""),-178.6704105631602)</f>
        <v>-178.6704106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IFERROR(__xludf.DUMMYFUNCTION("""COMPUTED_VALUE"""),"Form G4 Incompleto Instagram")</f>
        <v>Form G4 Incompleto Instagram</v>
      </c>
      <c r="K22" s="6">
        <f>IFERROR(__xludf.DUMMYFUNCTION("""COMPUTED_VALUE"""),-1.1898395721925108)</f>
        <v>-1.189839572</v>
      </c>
      <c r="L22" s="9" t="str">
        <f>IFERROR(__xludf.DUMMYFUNCTION("""COMPUTED_VALUE"""),"[SKL] Social")</f>
        <v>[SKL] Social</v>
      </c>
      <c r="M22" s="6">
        <f>IFERROR(__xludf.DUMMYFUNCTION("""COMPUTED_VALUE"""),-5.2857142857142865)</f>
        <v>-5.285714286</v>
      </c>
      <c r="N22" s="9" t="str">
        <f>IFERROR(__xludf.DUMMYFUNCTION("""COMPUTED_VALUE"""),"Form G4 Facebook")</f>
        <v>Form G4 Facebook</v>
      </c>
      <c r="O22" s="5">
        <f>IFERROR(__xludf.DUMMYFUNCTION("""COMPUTED_VALUE"""),-0.00817391304347826)</f>
        <v>-0.008173913043</v>
      </c>
      <c r="P22" s="3">
        <f>IFERROR(__xludf.DUMMYFUNCTION("""COMPUTED_VALUE"""),-188.0)</f>
        <v>-188</v>
      </c>
      <c r="AA22" s="4"/>
      <c r="AB22" s="4"/>
    </row>
    <row r="23">
      <c r="F23" s="4"/>
      <c r="G23" s="4"/>
      <c r="H23" s="4"/>
      <c r="I23" s="4"/>
      <c r="J23" s="4" t="str">
        <f>IFERROR(__xludf.DUMMYFUNCTION("""COMPUTED_VALUE"""),"[IM] Form Facebook Ads")</f>
        <v>[IM] Form Facebook Ads</v>
      </c>
      <c r="K23" s="6">
        <f>IFERROR(__xludf.DUMMYFUNCTION("""COMPUTED_VALUE"""),-0.7062937062937091)</f>
        <v>-0.7062937063</v>
      </c>
      <c r="L23" s="9" t="str">
        <f>IFERROR(__xludf.DUMMYFUNCTION("""COMPUTED_VALUE"""),"Form G4 - K Outros")</f>
        <v>Form G4 - K Outros</v>
      </c>
      <c r="M23" s="6">
        <f>IFERROR(__xludf.DUMMYFUNCTION("""COMPUTED_VALUE"""),-5.243589743589744)</f>
        <v>-5.243589744</v>
      </c>
      <c r="O23" s="4"/>
      <c r="P23" s="4"/>
      <c r="AA23" s="4"/>
      <c r="AB23" s="4"/>
    </row>
    <row r="24">
      <c r="F24" s="4"/>
      <c r="G24" s="4"/>
      <c r="H24" s="4"/>
      <c r="I24" s="4"/>
      <c r="J24" s="4" t="str">
        <f>IFERROR(__xludf.DUMMYFUNCTION("""COMPUTED_VALUE"""),"Form G4 Instagram Outros")</f>
        <v>Form G4 Instagram Outros</v>
      </c>
      <c r="K24" s="6">
        <f>IFERROR(__xludf.DUMMYFUNCTION("""COMPUTED_VALUE"""),-0.3811074918566748)</f>
        <v>-0.3811074919</v>
      </c>
      <c r="L24" s="9" t="str">
        <f>IFERROR(__xludf.DUMMYFUNCTION("""COMPUTED_VALUE"""),"Form G4 Incompleto Instagram")</f>
        <v>Form G4 Incompleto Instagram</v>
      </c>
      <c r="M24" s="6">
        <f>IFERROR(__xludf.DUMMYFUNCTION("""COMPUTED_VALUE"""),-3.8032786885245904)</f>
        <v>-3.803278689</v>
      </c>
      <c r="O24" s="4"/>
      <c r="P24" s="4"/>
      <c r="AA24" s="4"/>
      <c r="AB24" s="4"/>
    </row>
    <row r="25">
      <c r="F25" s="4"/>
      <c r="G25" s="4"/>
      <c r="H25" s="4"/>
      <c r="I25" s="4"/>
      <c r="J25" s="4" t="str">
        <f>IFERROR(__xludf.DUMMYFUNCTION("""COMPUTED_VALUE"""),"[ON] Form G4")</f>
        <v>[ON] Form G4</v>
      </c>
      <c r="K25" s="6">
        <f>IFERROR(__xludf.DUMMYFUNCTION("""COMPUTED_VALUE"""),-0.28244274809160475)</f>
        <v>-0.2824427481</v>
      </c>
      <c r="L25" s="9" t="str">
        <f>IFERROR(__xludf.DUMMYFUNCTION("""COMPUTED_VALUE"""),"Form G4 Facebook")</f>
        <v>Form G4 Facebook</v>
      </c>
      <c r="M25" s="6">
        <f>IFERROR(__xludf.DUMMYFUNCTION("""COMPUTED_VALUE"""),-2.888888888888891)</f>
        <v>-2.888888889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IFERROR(__xludf.DUMMYFUNCTION("""COMPUTED_VALUE"""),"[SKL] CRM - WhatsApp")</f>
        <v>[SKL] CRM - WhatsApp</v>
      </c>
      <c r="M26" s="6">
        <f>IFERROR(__xludf.DUMMYFUNCTION("""COMPUTED_VALUE"""),-2.8709677419354844)</f>
        <v>-2.870967742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IFERROR(__xludf.DUMMYFUNCTION("""COMPUTED_VALUE"""),-2.666666666666667)</f>
        <v>-2.666666667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Comercial!AE1"")"),9683899.938602416)</f>
        <v>9683899.939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Comercial!AF4"")"),6378093.190063477)</f>
        <v>6378093.19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Comercial!AE4"")"),6756456.987162906)</f>
        <v>6756456.987</v>
      </c>
    </row>
    <row r="5">
      <c r="A5" s="1" t="s">
        <v>36</v>
      </c>
      <c r="B5" s="1" t="s">
        <v>2</v>
      </c>
      <c r="C5" s="3">
        <f>C3-C4</f>
        <v>-378363.7971</v>
      </c>
    </row>
    <row r="6">
      <c r="A6" s="1" t="s">
        <v>36</v>
      </c>
      <c r="B6" s="1" t="s">
        <v>39</v>
      </c>
      <c r="C6" s="5">
        <f>C3/C2</f>
        <v>0.6586285722</v>
      </c>
    </row>
    <row r="7">
      <c r="A7" s="1" t="s">
        <v>36</v>
      </c>
      <c r="B7" s="1" t="s">
        <v>40</v>
      </c>
      <c r="C7" s="5">
        <f>C3/C4</f>
        <v>0.9439996735</v>
      </c>
    </row>
    <row r="8">
      <c r="A8" s="1" t="s">
        <v>36</v>
      </c>
      <c r="B8" s="1" t="s">
        <v>41</v>
      </c>
      <c r="C8" s="5">
        <f>C9-C6</f>
        <v>0.03907142778</v>
      </c>
    </row>
    <row r="9">
      <c r="A9" s="1" t="s">
        <v>36</v>
      </c>
      <c r="B9" s="1" t="s">
        <v>42</v>
      </c>
      <c r="C9" s="7">
        <f>C4/C2</f>
        <v>0.6977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11378093.19</v>
      </c>
    </row>
    <row r="12">
      <c r="A12" s="1" t="s">
        <v>36</v>
      </c>
      <c r="B12" s="1" t="s">
        <v>45</v>
      </c>
      <c r="C12" s="12">
        <f>C2-C11</f>
        <v>-1694193.251</v>
      </c>
    </row>
    <row r="13">
      <c r="A13" s="1" t="s">
        <v>46</v>
      </c>
      <c r="B13" s="1" t="s">
        <v>47</v>
      </c>
      <c r="C13" s="7">
        <f t="array" ref="C13:C14">TRANSPOSE('Dados Relatório'!Q2:R2)</f>
        <v>0.7659574468</v>
      </c>
    </row>
    <row r="14">
      <c r="A14" s="1" t="s">
        <v>46</v>
      </c>
      <c r="B14" s="1" t="s">
        <v>48</v>
      </c>
      <c r="C14" s="7">
        <v>0.4166666666666667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IFERROR(__xludf.DUMMYFUNCTION("""COMPUTED_VALUE"""),-93423.01365071393)</f>
        <v>-93423.01365</v>
      </c>
      <c r="C2" s="7">
        <f t="shared" ref="C2:C1000" si="1">IF(B2="","",B2/SUM($B$2:$B$1000))</f>
        <v>0.5625697667</v>
      </c>
      <c r="D2" s="7">
        <f>IF(B2="","",C2)</f>
        <v>0.5625697667</v>
      </c>
      <c r="E2" s="3">
        <f t="array" ref="E2">XLOOKUP(A2,'Dados Funil'!$A:$A,'Dados Funil'!$K:$K,"")</f>
        <v>-57.52648624</v>
      </c>
      <c r="F2" s="5">
        <f t="array" ref="F2">XLOOKUP(A2,'Dados Funil'!$A:$A,'Dados Funil'!$L:$L,"")</f>
        <v>-0.1852546845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IFERROR(__xludf.DUMMYFUNCTION("""COMPUTED_VALUE"""),-178999.59999999998)</f>
        <v>-178999.6</v>
      </c>
      <c r="I2" s="7">
        <f t="shared" ref="I2:I1000" si="2">IF(H2="","",H2/SUM($H$2:$H$1000))</f>
        <v>0.3525817115</v>
      </c>
      <c r="J2" s="7">
        <f>IF(H2="","",I2)</f>
        <v>0.3525817115</v>
      </c>
      <c r="K2" s="6">
        <f t="array" ref="K2">XLOOKUP(G2,'Dados Funil'!A:A,'Dados Funil'!O:O,"")</f>
        <v>-16.48611111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IFERROR(__xludf.DUMMYFUNCTION("""COMPUTED_VALUE"""),-838375.7600097659)</f>
        <v>-838375.76</v>
      </c>
      <c r="N2" s="7">
        <f t="shared" ref="N2:N1000" si="3">IF(M2="","",M2/SUM($M$2:$M$1000))</f>
        <v>0.28965255</v>
      </c>
      <c r="O2" s="7">
        <f>IF(M2="","",N2)</f>
        <v>0.28965255</v>
      </c>
      <c r="P2" s="12">
        <f t="array" ref="P2">XLOOKUP(L2,'Dados Funil'!A:A,'Dados Funil'!AM:AM,"")</f>
        <v>-2900.954187</v>
      </c>
      <c r="Q2" s="5">
        <f t="array" ref="Q2">XLOOKUP(L2,'Dados Funil'!A:A,'Dados Funil'!AN:AN,"")</f>
        <v>-0.4771306228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IFERROR(__xludf.DUMMYFUNCTION("""COMPUTED_VALUE"""),230457.7086773729)</f>
        <v>230457.7087</v>
      </c>
      <c r="T2" s="7">
        <f t="shared" ref="T2:T1000" si="4">IF(S2="","",S2/SUM($S$2:$S$1000))</f>
        <v>0.2782611888</v>
      </c>
      <c r="U2" s="7">
        <f>IF(S2="","",T2)</f>
        <v>0.2782611888</v>
      </c>
      <c r="V2" s="3">
        <f t="array" ref="V2">XLOOKUP(R2,'Dados Funil'!$A:$A,'Dados Funil'!$K:$K,"")</f>
        <v>112.836716</v>
      </c>
      <c r="W2" s="5">
        <f t="array" ref="W2">XLOOKUP(R2,'Dados Funil'!$A:$A,'Dados Funil'!$L:$L,"")</f>
        <v>1.705427982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IFERROR(__xludf.DUMMYFUNCTION("""COMPUTED_VALUE"""),132152.99999999997)</f>
        <v>132153</v>
      </c>
      <c r="Z2" s="7">
        <f t="shared" ref="Z2:Z1000" si="5">IF(Y2="","",Y2/SUM($Y$2:$Y$1000))</f>
        <v>0.3347637202</v>
      </c>
      <c r="AA2" s="7">
        <f>IF(Y2="","",Z2)</f>
        <v>0.3347637202</v>
      </c>
      <c r="AB2" s="6">
        <f t="array" ref="AB2">XLOOKUP(X2,'Dados Funil'!A:A,'Dados Funil'!O:O,"")</f>
        <v>10.29249012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IFERROR(__xludf.DUMMYFUNCTION("""COMPUTED_VALUE"""),257508.99999999997)</f>
        <v>257509</v>
      </c>
      <c r="AE2" s="7">
        <f t="shared" ref="AE2:AE1000" si="6">IF(AD2="","",AD2/SUM($AD$2:$AD$1000))</f>
        <v>0.52223741</v>
      </c>
      <c r="AF2" s="7">
        <f>IF(AD2="","",AE2)</f>
        <v>0.52223741</v>
      </c>
      <c r="AG2" s="12">
        <f t="array" ref="AG2">XLOOKUP(AC2,'Dados Funil'!A:A,'Dados Funil'!AM:AM,"")</f>
        <v>3433.453333</v>
      </c>
      <c r="AH2" s="5">
        <f t="array" ref="AH2">XLOOKUP(AC2,'Dados Funil'!A:A,'Dados Funil'!AN:AN,"")</f>
        <v>0.6220024155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IFERROR(__xludf.DUMMYFUNCTION("""COMPUTED_VALUE"""),895.0706599275796)</f>
        <v>895.0706599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1850290.068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IFERROR(__xludf.DUMMYFUNCTION("""COMPUTED_VALUE"""),915.0)</f>
        <v>915</v>
      </c>
      <c r="AP2" s="10">
        <f>IFERROR(__xludf.DUMMYFUNCTION("""COMPUTED_VALUE"""),0.3158469945355191)</f>
        <v>0.3158469945</v>
      </c>
      <c r="AQ2" s="14">
        <f>IFERROR(__xludf.DUMMYFUNCTION("""COMPUTED_VALUE"""),3179.045813114998)</f>
        <v>3179.045813</v>
      </c>
      <c r="AR2" s="9">
        <f t="shared" ref="AR2:AR15" si="8">AO2*AP2*AQ2</f>
        <v>918744.24</v>
      </c>
    </row>
    <row r="3">
      <c r="A3" s="4" t="str">
        <f>IFERROR(__xludf.DUMMYFUNCTION("""COMPUTED_VALUE"""),"Form G4 Outros - Não Orgânico")</f>
        <v>Form G4 Outros - Não Orgânico</v>
      </c>
      <c r="B3" s="12">
        <f>IFERROR(__xludf.DUMMYFUNCTION("""COMPUTED_VALUE"""),-72641.74699557229)</f>
        <v>-72641.747</v>
      </c>
      <c r="C3" s="7">
        <f t="shared" si="1"/>
        <v>0.4374302333</v>
      </c>
      <c r="D3" s="7">
        <f t="shared" ref="D3:D1000" si="9">IF(B3="","",C3+D2)</f>
        <v>1</v>
      </c>
      <c r="E3" s="3">
        <f t="array" ref="E3">XLOOKUP(A3,'Dados Funil'!$A:$A,'Dados Funil'!$K:$K,"")</f>
        <v>-33.86561631</v>
      </c>
      <c r="F3" s="5">
        <f t="array" ref="F3">XLOOKUP(A3,'Dados Funil'!$A:$A,'Dados Funil'!$L:$L,"")</f>
        <v>-0.3139611813</v>
      </c>
      <c r="G3" s="4" t="str">
        <f>IFERROR(__xludf.DUMMYFUNCTION("""COMPUTED_VALUE"""),"Form G4 Instagram G4")</f>
        <v>Form G4 Instagram G4</v>
      </c>
      <c r="H3" s="12">
        <f>IFERROR(__xludf.DUMMYFUNCTION("""COMPUTED_VALUE"""),-134368.00000000017)</f>
        <v>-134368</v>
      </c>
      <c r="I3" s="7">
        <f t="shared" si="2"/>
        <v>0.2646693032</v>
      </c>
      <c r="J3" s="7">
        <f t="shared" ref="J3:J1000" si="10">IF(H3="","",I3+J2)</f>
        <v>0.6172510147</v>
      </c>
      <c r="K3" s="6">
        <f t="array" ref="K3">XLOOKUP(G3,'Dados Funil'!A:A,'Dados Funil'!O:O,"")</f>
        <v>-2.415300546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IFERROR(__xludf.DUMMYFUNCTION("""COMPUTED_VALUE"""),-484619.9999999999)</f>
        <v>-484620</v>
      </c>
      <c r="N3" s="7">
        <f t="shared" si="3"/>
        <v>0.1674325827</v>
      </c>
      <c r="O3" s="7">
        <f t="shared" ref="O3:O1000" si="11">IF(N3="","",N3+O2)</f>
        <v>0.4570851326</v>
      </c>
      <c r="P3" s="12">
        <f t="array" ref="P3">XLOOKUP(L3,'Dados Funil'!A:A,'Dados Funil'!AM:AM,"")</f>
        <v>-3972.295082</v>
      </c>
      <c r="Q3" s="5">
        <f t="array" ref="Q3">XLOOKUP(L3,'Dados Funil'!A:A,'Dados Funil'!AN:AN,"")</f>
        <v>-0.570732052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IFERROR(__xludf.DUMMYFUNCTION("""COMPUTED_VALUE"""),161509.91023865316)</f>
        <v>161509.9102</v>
      </c>
      <c r="T3" s="7">
        <f t="shared" si="4"/>
        <v>0.1950116569</v>
      </c>
      <c r="U3" s="7">
        <f t="shared" ref="U3:U9" si="12">IF(S3="","",T3+U2)</f>
        <v>0.4732728457</v>
      </c>
      <c r="V3" s="3">
        <f t="array" ref="V3">XLOOKUP(R3,'Dados Funil'!$A:$A,'Dados Funil'!$K:$K,"")</f>
        <v>204.0039286</v>
      </c>
      <c r="W3" s="5">
        <f t="array" ref="W3">XLOOKUP(R3,'Dados Funil'!$A:$A,'Dados Funil'!$L:$L,"")</f>
        <v>2.428731785</v>
      </c>
      <c r="X3" s="4" t="str">
        <f>IFERROR(__xludf.DUMMYFUNCTION("""COMPUTED_VALUE"""),"Form G4 Instagram Tallis")</f>
        <v>Form G4 Instagram Tallis</v>
      </c>
      <c r="Y3" s="12">
        <f>IFERROR(__xludf.DUMMYFUNCTION("""COMPUTED_VALUE"""),98367.99999999994)</f>
        <v>98368</v>
      </c>
      <c r="Z3" s="7">
        <f t="shared" si="5"/>
        <v>0.2491811584</v>
      </c>
      <c r="AA3" s="7">
        <f t="shared" ref="AA3:AA1000" si="13">IF(Y3="","",Z3+AA2)</f>
        <v>0.5839448786</v>
      </c>
      <c r="AB3" s="6">
        <f t="array" ref="AB3">XLOOKUP(X3,'Dados Funil'!A:A,'Dados Funil'!O:O,"")</f>
        <v>7.25</v>
      </c>
      <c r="AC3" s="4" t="str">
        <f>IFERROR(__xludf.DUMMYFUNCTION("""COMPUTED_VALUE"""),"Form G4 Instagram Tallis")</f>
        <v>Form G4 Instagram Tallis</v>
      </c>
      <c r="AD3" s="12">
        <f>IFERROR(__xludf.DUMMYFUNCTION("""COMPUTED_VALUE"""),178324.0)</f>
        <v>178324</v>
      </c>
      <c r="AE3" s="7">
        <f t="shared" si="6"/>
        <v>0.3616474138</v>
      </c>
      <c r="AF3" s="7">
        <f t="shared" ref="AF3:AF11" si="14">IF(AE3="","",AE3+AF2)</f>
        <v>0.8838848238</v>
      </c>
      <c r="AG3" s="12">
        <f t="array" ref="AG3">XLOOKUP(AC3,'Dados Funil'!A:A,'Dados Funil'!AM:AM,"")</f>
        <v>1350.939394</v>
      </c>
      <c r="AH3" s="5">
        <f t="array" ref="AH3">XLOOKUP(AC3,'Dados Funil'!A:A,'Dados Funil'!AN:AN,"")</f>
        <v>0.3186177816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IFERROR(__xludf.DUMMYFUNCTION("""COMPUTED_VALUE"""),250.44284237041893)</f>
        <v>250.4428424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732094.5168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IFERROR(__xludf.DUMMYFUNCTION("""COMPUTED_VALUE"""),262.0)</f>
        <v>262</v>
      </c>
      <c r="AP3" s="10">
        <f>IFERROR(__xludf.DUMMYFUNCTION("""COMPUTED_VALUE"""),0.46564885496183206)</f>
        <v>0.465648855</v>
      </c>
      <c r="AQ3" s="14">
        <f>IFERROR(__xludf.DUMMYFUNCTION("""COMPUTED_VALUE"""),2987.7049180327867)</f>
        <v>2987.704918</v>
      </c>
      <c r="AR3" s="9">
        <f t="shared" si="8"/>
        <v>364500</v>
      </c>
    </row>
    <row r="4">
      <c r="A4" s="4"/>
      <c r="B4" s="4"/>
      <c r="C4" s="7" t="str">
        <f t="shared" si="1"/>
        <v/>
      </c>
      <c r="D4" s="4" t="str">
        <f t="shared" si="9"/>
        <v/>
      </c>
      <c r="E4" s="4" t="str">
        <f t="array" ref="E4">XLOOKUP(A4,'Dados Funil'!$A:$A,'Dados Funil'!$K:$K,"")</f>
        <v/>
      </c>
      <c r="F4" s="4" t="str">
        <f t="array" ref="F4">XLOOKUP(A4,'Dados Funil'!$A:$A,'Dados Funil'!$L:$L,"")</f>
        <v/>
      </c>
      <c r="G4" s="4" t="str">
        <f>IFERROR(__xludf.DUMMYFUNCTION("""COMPUTED_VALUE"""),"[IM] Link de Indicação")</f>
        <v>[IM] Link de Indicação</v>
      </c>
      <c r="H4" s="12">
        <f>IFERROR(__xludf.DUMMYFUNCTION("""COMPUTED_VALUE"""),-51750.0)</f>
        <v>-51750</v>
      </c>
      <c r="I4" s="7">
        <f t="shared" si="2"/>
        <v>0.1019337673</v>
      </c>
      <c r="J4" s="7">
        <f t="shared" si="10"/>
        <v>0.719184782</v>
      </c>
      <c r="K4" s="6">
        <f t="array" ref="K4">XLOOKUP(G4,'Dados Funil'!A:A,'Dados Funil'!O:O,"")</f>
        <v>-12.5</v>
      </c>
      <c r="L4" s="4" t="str">
        <f>IFERROR(__xludf.DUMMYFUNCTION("""COMPUTED_VALUE"""),"[IM] Form Facebook Ads")</f>
        <v>[IM] Form Facebook Ads</v>
      </c>
      <c r="M4" s="12">
        <f>IFERROR(__xludf.DUMMYFUNCTION("""COMPUTED_VALUE"""),-420383.99999999994)</f>
        <v>-420384</v>
      </c>
      <c r="N4" s="7">
        <f t="shared" si="3"/>
        <v>0.1452395255</v>
      </c>
      <c r="O4" s="7">
        <f t="shared" si="11"/>
        <v>0.6023246581</v>
      </c>
      <c r="P4" s="12">
        <f t="array" ref="P4">XLOOKUP(L4,'Dados Funil'!A:A,'Dados Funil'!AM:AM,"")</f>
        <v>-3928.82243</v>
      </c>
      <c r="Q4" s="5">
        <f t="array" ref="Q4">XLOOKUP(L4,'Dados Funil'!A:A,'Dados Funil'!AN:AN,"")</f>
        <v>-0.7741522029</v>
      </c>
      <c r="R4" s="4" t="str">
        <f>IFERROR(__xludf.DUMMYFUNCTION("""COMPUTED_VALUE"""),"Form G4 Instagram Tallis")</f>
        <v>Form G4 Instagram Tallis</v>
      </c>
      <c r="S4" s="12">
        <f>IFERROR(__xludf.DUMMYFUNCTION("""COMPUTED_VALUE"""),132375.68518360084)</f>
        <v>132375.6852</v>
      </c>
      <c r="T4" s="7">
        <f t="shared" si="4"/>
        <v>0.1598341654</v>
      </c>
      <c r="U4" s="7">
        <f t="shared" si="12"/>
        <v>0.6331070111</v>
      </c>
      <c r="V4" s="3">
        <f t="array" ref="V4">XLOOKUP(R4,'Dados Funil'!$A:$A,'Dados Funil'!$K:$K,"")</f>
        <v>91.82553079</v>
      </c>
      <c r="W4" s="5">
        <f t="array" ref="W4">XLOOKUP(R4,'Dados Funil'!$A:$A,'Dados Funil'!$L:$L,"")</f>
        <v>0.402435606</v>
      </c>
      <c r="X4" s="4" t="str">
        <f>IFERROR(__xludf.DUMMYFUNCTION("""COMPUTED_VALUE"""),"Form G4 Outros - Orgânico")</f>
        <v>Form G4 Outros - Orgânico</v>
      </c>
      <c r="Y4" s="12">
        <f>IFERROR(__xludf.DUMMYFUNCTION("""COMPUTED_VALUE"""),83241.60000000002)</f>
        <v>83241.6</v>
      </c>
      <c r="Z4" s="7">
        <f t="shared" si="5"/>
        <v>0.2108636784</v>
      </c>
      <c r="AA4" s="7">
        <f t="shared" si="13"/>
        <v>0.794808557</v>
      </c>
      <c r="AB4" s="6">
        <f t="array" ref="AB4">XLOOKUP(X4,'Dados Funil'!A:A,'Dados Funil'!O:O,"")</f>
        <v>4.564885496</v>
      </c>
      <c r="AC4" s="4" t="str">
        <f>IFERROR(__xludf.DUMMYFUNCTION("""COMPUTED_VALUE"""),"[CM] Form G4 - Outros")</f>
        <v>[CM] Form G4 - Outros</v>
      </c>
      <c r="AD4" s="12">
        <f>IFERROR(__xludf.DUMMYFUNCTION("""COMPUTED_VALUE"""),37999.99999999999)</f>
        <v>38000</v>
      </c>
      <c r="AE4" s="7">
        <f t="shared" si="6"/>
        <v>0.07706535142</v>
      </c>
      <c r="AF4" s="7">
        <f t="shared" si="14"/>
        <v>0.9609501752</v>
      </c>
      <c r="AG4" s="12">
        <f t="array" ref="AG4">XLOOKUP(AC4,'Dados Funil'!A:A,'Dados Funil'!AM:AM,"")</f>
        <v>3166.666667</v>
      </c>
      <c r="AH4" s="5">
        <f t="array" ref="AH4">XLOOKUP(AC4,'Dados Funil'!A:A,'Dados Funil'!AN:AN,"")</f>
        <v>0.376984127</v>
      </c>
      <c r="AI4" s="9" t="str">
        <f>IFERROR(__xludf.DUMMYFUNCTION("""COMPUTED_VALUE"""),"[IM] Chat")</f>
        <v>[IM] Chat</v>
      </c>
      <c r="AJ4" s="11">
        <f>IFERROR(__xludf.DUMMYFUNCTION("""COMPUTED_VALUE"""),519.5269811288958)</f>
        <v>519.5269811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718609.7203</v>
      </c>
      <c r="AN4" s="9" t="str">
        <f>IFERROR(__xludf.DUMMYFUNCTION("""COMPUTED_VALUE"""),"[IM] Chat")</f>
        <v>[IM] Chat</v>
      </c>
      <c r="AO4" s="11">
        <f>IFERROR(__xludf.DUMMYFUNCTION("""COMPUTED_VALUE"""),549.0)</f>
        <v>549</v>
      </c>
      <c r="AP4" s="10">
        <f>IFERROR(__xludf.DUMMYFUNCTION("""COMPUTED_VALUE"""),0.2641165755919854)</f>
        <v>0.2641165756</v>
      </c>
      <c r="AQ4" s="14">
        <f>IFERROR(__xludf.DUMMYFUNCTION("""COMPUTED_VALUE"""),2158.595861395474)</f>
        <v>2158.595861</v>
      </c>
      <c r="AR4" s="9">
        <f t="shared" si="8"/>
        <v>312996.3999</v>
      </c>
    </row>
    <row r="5">
      <c r="A5" s="4"/>
      <c r="B5" s="4"/>
      <c r="C5" s="7" t="str">
        <f t="shared" si="1"/>
        <v/>
      </c>
      <c r="D5" s="4" t="str">
        <f t="shared" si="9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IFERROR(__xludf.DUMMYFUNCTION("""COMPUTED_VALUE"""),"[IM] Chat")</f>
        <v>[IM] Chat</v>
      </c>
      <c r="H5" s="12">
        <f>IFERROR(__xludf.DUMMYFUNCTION("""COMPUTED_VALUE"""),-43076.80000000008)</f>
        <v>-43076.8</v>
      </c>
      <c r="I5" s="7">
        <f t="shared" si="2"/>
        <v>0.08484986486</v>
      </c>
      <c r="J5" s="7">
        <f t="shared" si="10"/>
        <v>0.8040346468</v>
      </c>
      <c r="K5" s="6">
        <f t="array" ref="K5">XLOOKUP(G5,'Dados Funil'!A:A,'Dados Funil'!O:O,"")</f>
        <v>-1.588342441</v>
      </c>
      <c r="L5" s="4" t="str">
        <f>IFERROR(__xludf.DUMMYFUNCTION("""COMPUTED_VALUE"""),"[IM] Chat")</f>
        <v>[IM] Chat</v>
      </c>
      <c r="M5" s="12">
        <f>IFERROR(__xludf.DUMMYFUNCTION("""COMPUTED_VALUE"""),-403303.60009765625)</f>
        <v>-403303.6001</v>
      </c>
      <c r="N5" s="7">
        <f t="shared" si="3"/>
        <v>0.1393383752</v>
      </c>
      <c r="O5" s="7">
        <f t="shared" si="11"/>
        <v>0.7416630333</v>
      </c>
      <c r="P5" s="12">
        <f t="array" ref="P5">XLOOKUP(L5,'Dados Funil'!A:A,'Dados Funil'!AM:AM,"")</f>
        <v>-2781.404139</v>
      </c>
      <c r="Q5" s="5">
        <f t="array" ref="Q5">XLOOKUP(L5,'Dados Funil'!A:A,'Dados Funil'!AN:AN,"")</f>
        <v>-0.563037275</v>
      </c>
      <c r="R5" s="4" t="str">
        <f>IFERROR(__xludf.DUMMYFUNCTION("""COMPUTED_VALUE"""),"Form G4 Instagram Outros")</f>
        <v>Form G4 Instagram Outros</v>
      </c>
      <c r="S5" s="12">
        <f>IFERROR(__xludf.DUMMYFUNCTION("""COMPUTED_VALUE"""),88880.23808853528)</f>
        <v>88880.23809</v>
      </c>
      <c r="T5" s="7">
        <f t="shared" si="4"/>
        <v>0.1073165261</v>
      </c>
      <c r="U5" s="7">
        <f t="shared" si="12"/>
        <v>0.7404235372</v>
      </c>
      <c r="V5" s="3">
        <f t="array" ref="V5">XLOOKUP(R5,'Dados Funil'!$A:$A,'Dados Funil'!$K:$K,"")</f>
        <v>46.848112</v>
      </c>
      <c r="W5" s="5">
        <f t="array" ref="W5">XLOOKUP(R5,'Dados Funil'!$A:$A,'Dados Funil'!$L:$L,"")</f>
        <v>0.1843311587</v>
      </c>
      <c r="X5" s="4" t="str">
        <f>IFERROR(__xludf.DUMMYFUNCTION("""COMPUTED_VALUE"""),"Form G4 Google")</f>
        <v>Form G4 Google</v>
      </c>
      <c r="Y5" s="12">
        <f>IFERROR(__xludf.DUMMYFUNCTION("""COMPUTED_VALUE"""),48410.40000000001)</f>
        <v>48410.4</v>
      </c>
      <c r="Z5" s="7">
        <f t="shared" si="5"/>
        <v>0.1226309323</v>
      </c>
      <c r="AA5" s="7">
        <f t="shared" si="13"/>
        <v>0.9174394893</v>
      </c>
      <c r="AB5" s="6">
        <f t="array" ref="AB5">XLOOKUP(X5,'Dados Funil'!A:A,'Dados Funil'!O:O,"")</f>
        <v>4.899441341</v>
      </c>
      <c r="AC5" s="4" t="str">
        <f>IFERROR(__xludf.DUMMYFUNCTION("""COMPUTED_VALUE"""),"[IM] Link de Indicação")</f>
        <v>[IM] Link de Indicação</v>
      </c>
      <c r="AD5" s="12">
        <f>IFERROR(__xludf.DUMMYFUNCTION("""COMPUTED_VALUE"""),19254.999999999985)</f>
        <v>19255</v>
      </c>
      <c r="AE5" s="7">
        <f t="shared" si="6"/>
        <v>0.03904982478</v>
      </c>
      <c r="AF5" s="7">
        <f t="shared" si="14"/>
        <v>1</v>
      </c>
      <c r="AG5" s="12">
        <f t="array" ref="AG5">XLOOKUP(AC5,'Dados Funil'!A:A,'Dados Funil'!AM:AM,"")</f>
        <v>1604.583333</v>
      </c>
      <c r="AH5" s="5">
        <f t="array" ref="AH5">XLOOKUP(AC5,'Dados Funil'!A:A,'Dados Funil'!AN:AN,"")</f>
        <v>0.2906853865</v>
      </c>
      <c r="AI5" s="9" t="str">
        <f>IFERROR(__xludf.DUMMYFUNCTION("""COMPUTED_VALUE"""),"[IM] Form Facebook Ads")</f>
        <v>[IM] Form Facebook Ads</v>
      </c>
      <c r="AJ5" s="11">
        <f>IFERROR(__xludf.DUMMYFUNCTION("""COMPUTED_VALUE"""),310.52648623812433)</f>
        <v>310.5264862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504295.0137</v>
      </c>
      <c r="AN5" s="9" t="str">
        <f>IFERROR(__xludf.DUMMYFUNCTION("""COMPUTED_VALUE"""),"[IM] Form Facebook Ads")</f>
        <v>[IM] Form Facebook Ads</v>
      </c>
      <c r="AO5" s="11">
        <f>IFERROR(__xludf.DUMMYFUNCTION("""COMPUTED_VALUE"""),253.0)</f>
        <v>253</v>
      </c>
      <c r="AP5" s="10">
        <f>IFERROR(__xludf.DUMMYFUNCTION("""COMPUTED_VALUE"""),0.42292490118577075)</f>
        <v>0.4229249012</v>
      </c>
      <c r="AQ5" s="14">
        <f>IFERROR(__xludf.DUMMYFUNCTION("""COMPUTED_VALUE"""),1146.177570093458)</f>
        <v>1146.17757</v>
      </c>
      <c r="AR5" s="9">
        <f t="shared" si="8"/>
        <v>122641</v>
      </c>
    </row>
    <row r="6">
      <c r="A6" s="4"/>
      <c r="B6" s="4"/>
      <c r="C6" s="7" t="str">
        <f t="shared" si="1"/>
        <v/>
      </c>
      <c r="D6" s="4" t="str">
        <f t="shared" si="9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 t="str">
        <f>IFERROR(__xludf.DUMMYFUNCTION("""COMPUTED_VALUE"""),"[CM] Form G4 - Instagram")</f>
        <v>[CM] Form G4 - Instagram</v>
      </c>
      <c r="H6" s="12">
        <f>IFERROR(__xludf.DUMMYFUNCTION("""COMPUTED_VALUE"""),-37296.00000000001)</f>
        <v>-37296</v>
      </c>
      <c r="I6" s="7">
        <f t="shared" si="2"/>
        <v>0.07346322289</v>
      </c>
      <c r="J6" s="7">
        <f t="shared" si="10"/>
        <v>0.8774978697</v>
      </c>
      <c r="K6" s="6">
        <f t="array" ref="K6">XLOOKUP(G6,'Dados Funil'!A:A,'Dados Funil'!O:O,"")</f>
        <v>-9.25</v>
      </c>
      <c r="L6" s="4" t="str">
        <f>IFERROR(__xludf.DUMMYFUNCTION("""COMPUTED_VALUE"""),"[IM] Social DM")</f>
        <v>[IM] Social DM</v>
      </c>
      <c r="M6" s="12">
        <f>IFERROR(__xludf.DUMMYFUNCTION("""COMPUTED_VALUE"""),-296776.34997558594)</f>
        <v>-296776.35</v>
      </c>
      <c r="N6" s="7">
        <f t="shared" si="3"/>
        <v>0.1025340076</v>
      </c>
      <c r="O6" s="7">
        <f t="shared" si="11"/>
        <v>0.8441970409</v>
      </c>
      <c r="P6" s="12">
        <f t="array" ref="P6">XLOOKUP(L6,'Dados Funil'!A:A,'Dados Funil'!AM:AM,"")</f>
        <v>-7419.408749</v>
      </c>
      <c r="Q6" s="5">
        <f t="array" ref="Q6">XLOOKUP(L6,'Dados Funil'!A:A,'Dados Funil'!AN:AN,"")</f>
        <v>-0.6819309512</v>
      </c>
      <c r="R6" s="4" t="str">
        <f>IFERROR(__xludf.DUMMYFUNCTION("""COMPUTED_VALUE"""),"[IM] Social DM")</f>
        <v>[IM] Social DM</v>
      </c>
      <c r="S6" s="12">
        <f>IFERROR(__xludf.DUMMYFUNCTION("""COMPUTED_VALUE"""),66669.78637992853)</f>
        <v>66669.78638</v>
      </c>
      <c r="T6" s="7">
        <f t="shared" si="4"/>
        <v>0.08049899533</v>
      </c>
      <c r="U6" s="7">
        <f t="shared" si="12"/>
        <v>0.8209225326</v>
      </c>
      <c r="V6" s="3">
        <f t="array" ref="V6">XLOOKUP(R6,'Dados Funil'!$A:$A,'Dados Funil'!$K:$K,"")</f>
        <v>13.03773983</v>
      </c>
      <c r="W6" s="5">
        <f t="array" ref="W6">XLOOKUP(R6,'Dados Funil'!$A:$A,'Dados Funil'!$L:$L,"")</f>
        <v>0.1694043262</v>
      </c>
      <c r="X6" s="4" t="str">
        <f>IFERROR(__xludf.DUMMYFUNCTION("""COMPUTED_VALUE"""),"[CM] Form G4 - Outros")</f>
        <v>[CM] Form G4 - Outros</v>
      </c>
      <c r="Y6" s="12">
        <f>IFERROR(__xludf.DUMMYFUNCTION("""COMPUTED_VALUE"""),32591.999999999993)</f>
        <v>32592</v>
      </c>
      <c r="Z6" s="7">
        <f t="shared" si="5"/>
        <v>0.08256051068</v>
      </c>
      <c r="AA6" s="7">
        <f t="shared" si="13"/>
        <v>1</v>
      </c>
      <c r="AB6" s="6">
        <f t="array" ref="AB6">XLOOKUP(X6,'Dados Funil'!A:A,'Dados Funil'!O:O,"")</f>
        <v>13.37931034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IFERROR(__xludf.DUMMYFUNCTION("""COMPUTED_VALUE"""),254.1518879988745)</f>
        <v>254.151888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482176.9619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IFERROR(__xludf.DUMMYFUNCTION("""COMPUTED_VALUE"""),301.0)</f>
        <v>301</v>
      </c>
      <c r="AP6" s="10">
        <f>IFERROR(__xludf.DUMMYFUNCTION("""COMPUTED_VALUE"""),0.3089700996677741)</f>
        <v>0.3089700997</v>
      </c>
      <c r="AQ6" s="14">
        <f>IFERROR(__xludf.DUMMYFUNCTION("""COMPUTED_VALUE"""),4156.903225806452)</f>
        <v>4156.903226</v>
      </c>
      <c r="AR6" s="9">
        <f t="shared" si="8"/>
        <v>386592</v>
      </c>
    </row>
    <row r="7">
      <c r="A7" s="4"/>
      <c r="B7" s="4"/>
      <c r="C7" s="7" t="str">
        <f t="shared" si="1"/>
        <v/>
      </c>
      <c r="D7" s="4" t="str">
        <f t="shared" si="9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 t="str">
        <f>IFERROR(__xludf.DUMMYFUNCTION("""COMPUTED_VALUE"""),"[IM] Social DM")</f>
        <v>[IM] Social DM</v>
      </c>
      <c r="H7" s="12">
        <f>IFERROR(__xludf.DUMMYFUNCTION("""COMPUTED_VALUE"""),-25023.999999999996)</f>
        <v>-25024</v>
      </c>
      <c r="I7" s="7">
        <f t="shared" si="2"/>
        <v>0.04929063947</v>
      </c>
      <c r="J7" s="7">
        <f t="shared" si="10"/>
        <v>0.9267885092</v>
      </c>
      <c r="K7" s="6">
        <f t="array" ref="K7">XLOOKUP(G7,'Dados Funil'!A:A,'Dados Funil'!O:O,"")</f>
        <v>-2.555555556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IFERROR(__xludf.DUMMYFUNCTION("""COMPUTED_VALUE"""),-182568.00000000012)</f>
        <v>-182568</v>
      </c>
      <c r="N7" s="7">
        <f t="shared" si="3"/>
        <v>0.0630758775</v>
      </c>
      <c r="O7" s="7">
        <f t="shared" si="11"/>
        <v>0.9072729184</v>
      </c>
      <c r="P7" s="12">
        <f t="array" ref="P7">XLOOKUP(L7,'Dados Funil'!A:A,'Dados Funil'!AM:AM,"")</f>
        <v>-1963.096774</v>
      </c>
      <c r="Q7" s="5">
        <f t="array" ref="Q7">XLOOKUP(L7,'Dados Funil'!A:A,'Dados Funil'!AN:AN,"")</f>
        <v>-0.3207674468</v>
      </c>
      <c r="R7" s="4" t="str">
        <f>IFERROR(__xludf.DUMMYFUNCTION("""COMPUTED_VALUE"""),"Form G4 Instagram G4")</f>
        <v>Form G4 Instagram G4</v>
      </c>
      <c r="S7" s="12">
        <f>IFERROR(__xludf.DUMMYFUNCTION("""COMPUTED_VALUE"""),41197.93179770737)</f>
        <v>41197.9318</v>
      </c>
      <c r="T7" s="7">
        <f t="shared" si="4"/>
        <v>0.04974355401</v>
      </c>
      <c r="U7" s="7">
        <f t="shared" si="12"/>
        <v>0.8706660866</v>
      </c>
      <c r="V7" s="3">
        <f t="array" ref="V7">XLOOKUP(R7,'Dados Funil'!$A:$A,'Dados Funil'!$K:$K,"")</f>
        <v>19.92934007</v>
      </c>
      <c r="W7" s="5">
        <f t="array" ref="W7">XLOOKUP(R7,'Dados Funil'!$A:$A,'Dados Funil'!$L:$L,"")</f>
        <v>0.02226566121</v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IFERROR(__xludf.DUMMYFUNCTION("""COMPUTED_VALUE"""),76.96226017288632)</f>
        <v>76.96226017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393554.2136</v>
      </c>
      <c r="AN7" s="9" t="str">
        <f>IFERROR(__xludf.DUMMYFUNCTION("""COMPUTED_VALUE"""),"[IM] Social DM")</f>
        <v>[IM] Social DM</v>
      </c>
      <c r="AO7" s="11">
        <f>IFERROR(__xludf.DUMMYFUNCTION("""COMPUTED_VALUE"""),90.0)</f>
        <v>90</v>
      </c>
      <c r="AP7" s="10">
        <f>IFERROR(__xludf.DUMMYFUNCTION("""COMPUTED_VALUE"""),0.4444444444444444)</f>
        <v>0.4444444444</v>
      </c>
      <c r="AQ7" s="14">
        <f>IFERROR(__xludf.DUMMYFUNCTION("""COMPUTED_VALUE"""),3460.5912506103514)</f>
        <v>3460.591251</v>
      </c>
      <c r="AR7" s="9">
        <f t="shared" si="8"/>
        <v>138423.65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9" t="str">
        <f>IFERROR(__xludf.DUMMYFUNCTION("""COMPUTED_VALUE"""),"Form G4 Outros - Não Orgânico")</f>
        <v>Form G4 Outros - Não Orgânico</v>
      </c>
      <c r="H8" s="12">
        <f>IFERROR(__xludf.DUMMYFUNCTION("""COMPUTED_VALUE"""),-22230.000000000015)</f>
        <v>-22230</v>
      </c>
      <c r="I8" s="7">
        <f t="shared" si="2"/>
        <v>0.0437872009</v>
      </c>
      <c r="J8" s="7">
        <f t="shared" si="10"/>
        <v>0.9705757101</v>
      </c>
      <c r="K8" s="6">
        <f t="array" ref="K8">XLOOKUP(G8,'Dados Funil'!A:A,'Dados Funil'!O:O,"")</f>
        <v>-4.621621622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IFERROR(__xludf.DUMMYFUNCTION("""COMPUTED_VALUE"""),-136500.0)</f>
        <v>-136500</v>
      </c>
      <c r="N8" s="7">
        <f t="shared" si="3"/>
        <v>0.04715972832</v>
      </c>
      <c r="O8" s="7">
        <f t="shared" si="11"/>
        <v>0.9544326467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 t="str">
        <f>IFERROR(__xludf.DUMMYFUNCTION("""COMPUTED_VALUE"""),"[IM] Chat")</f>
        <v>[IM] Chat</v>
      </c>
      <c r="S8" s="12">
        <f>IFERROR(__xludf.DUMMYFUNCTION("""COMPUTED_VALUE"""),40767.079702511284)</f>
        <v>40767.0797</v>
      </c>
      <c r="T8" s="7">
        <f t="shared" si="4"/>
        <v>0.04922333094</v>
      </c>
      <c r="U8" s="7">
        <f t="shared" si="12"/>
        <v>0.9198894175</v>
      </c>
      <c r="V8" s="3">
        <f t="array" ref="V8">XLOOKUP(R8,'Dados Funil'!$A:$A,'Dados Funil'!$K:$K,"")</f>
        <v>29.47301887</v>
      </c>
      <c r="W8" s="5">
        <f t="array" ref="W8">XLOOKUP(R8,'Dados Funil'!$A:$A,'Dados Funil'!$L:$L,"")</f>
        <v>0.05673048743</v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Instagram Tallis")</f>
        <v>Form G4 Instagram Tallis</v>
      </c>
      <c r="AJ8" s="11">
        <f>IFERROR(__xludf.DUMMYFUNCTION("""COMPUTED_VALUE"""),228.17446921226357)</f>
        <v>228.1744692</v>
      </c>
      <c r="AK8" s="10">
        <f>IFERROR(__xludf.DUMMYFUNCTION("""COMPUTED_VALUE"""),0.34)</f>
        <v>0.34</v>
      </c>
      <c r="AL8" s="9">
        <f>IFERROR(__xludf.DUMMYFUNCTION("""COMPUTED_VALUE"""),4240.0)</f>
        <v>4240</v>
      </c>
      <c r="AM8" s="9">
        <f t="shared" si="7"/>
        <v>328936.3148</v>
      </c>
      <c r="AN8" s="9" t="str">
        <f>IFERROR(__xludf.DUMMYFUNCTION("""COMPUTED_VALUE"""),"Form G4 Instagram Tallis")</f>
        <v>Form G4 Instagram Tallis</v>
      </c>
      <c r="AO8" s="11">
        <f>IFERROR(__xludf.DUMMYFUNCTION("""COMPUTED_VALUE"""),320.0)</f>
        <v>320</v>
      </c>
      <c r="AP8" s="10">
        <f>IFERROR(__xludf.DUMMYFUNCTION("""COMPUTED_VALUE"""),0.4125)</f>
        <v>0.4125</v>
      </c>
      <c r="AQ8" s="14">
        <f>IFERROR(__xludf.DUMMYFUNCTION("""COMPUTED_VALUE"""),5590.939393939394)</f>
        <v>5590.939394</v>
      </c>
      <c r="AR8" s="9">
        <f t="shared" si="8"/>
        <v>738004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9" t="str">
        <f>IFERROR(__xludf.DUMMYFUNCTION("""COMPUTED_VALUE"""),"Form G4 Facebook")</f>
        <v>Form G4 Facebook</v>
      </c>
      <c r="H9" s="15">
        <f>IFERROR(__xludf.DUMMYFUNCTION("""COMPUTED_VALUE"""),-13041.000000000005)</f>
        <v>-13041</v>
      </c>
      <c r="I9" s="7">
        <f t="shared" si="2"/>
        <v>0.02568730935</v>
      </c>
      <c r="J9" s="7">
        <f t="shared" si="10"/>
        <v>0.9962630195</v>
      </c>
      <c r="K9" s="6">
        <f t="array" ref="K9">XLOOKUP(G9,'Dados Funil'!A:A,'Dados Funil'!O:O,"")</f>
        <v>-3.52173913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0.02611923414</v>
      </c>
      <c r="O9" s="7">
        <f t="shared" si="11"/>
        <v>0.9805518808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 t="str">
        <f>IFERROR(__xludf.DUMMYFUNCTION("""COMPUTED_VALUE"""),"Form G4 Outros - Orgânico")</f>
        <v>Form G4 Outros - Orgânico</v>
      </c>
      <c r="S9" s="12">
        <f>IFERROR(__xludf.DUMMYFUNCTION("""COMPUTED_VALUE"""),33783.883182791375)</f>
        <v>33783.88318</v>
      </c>
      <c r="T9" s="7">
        <f t="shared" si="4"/>
        <v>0.04079162095</v>
      </c>
      <c r="U9" s="7">
        <f t="shared" si="12"/>
        <v>0.9606810385</v>
      </c>
      <c r="V9" s="3">
        <f t="array" ref="V9">XLOOKUP(R9,'Dados Funil'!$A:$A,'Dados Funil'!$K:$K,"")</f>
        <v>11.55715763</v>
      </c>
      <c r="W9" s="5">
        <f t="array" ref="W9">XLOOKUP(R9,'Dados Funil'!$A:$A,'Dados Funil'!$L:$L,"")</f>
        <v>0.04614688733</v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Outros - Não Orgânico")</f>
        <v>Form G4 Outros - Não Orgânico</v>
      </c>
      <c r="AJ9" s="11">
        <f>IFERROR(__xludf.DUMMYFUNCTION("""COMPUTED_VALUE"""),107.86561631495212)</f>
        <v>107.8656163</v>
      </c>
      <c r="AK9" s="10">
        <f>IFERROR(__xludf.DUMMYFUNCTION("""COMPUTED_VALUE"""),0.33)</f>
        <v>0.33</v>
      </c>
      <c r="AL9" s="9">
        <f>IFERROR(__xludf.DUMMYFUNCTION("""COMPUTED_VALUE"""),6500.0)</f>
        <v>6500</v>
      </c>
      <c r="AM9" s="9">
        <f t="shared" si="7"/>
        <v>231371.747</v>
      </c>
      <c r="AN9" s="9" t="str">
        <f>IFERROR(__xludf.DUMMYFUNCTION("""COMPUTED_VALUE"""),"Form G4 Outros - Não Orgânico")</f>
        <v>Form G4 Outros - Não Orgânico</v>
      </c>
      <c r="AO9" s="11">
        <f>IFERROR(__xludf.DUMMYFUNCTION("""COMPUTED_VALUE"""),74.0)</f>
        <v>74</v>
      </c>
      <c r="AP9" s="10">
        <f>IFERROR(__xludf.DUMMYFUNCTION("""COMPUTED_VALUE"""),0.28378378378378377)</f>
        <v>0.2837837838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9" t="str">
        <f>IFERROR(__xludf.DUMMYFUNCTION("""COMPUTED_VALUE"""),"Form G4 Instagram Outros")</f>
        <v>Form G4 Instagram Outros</v>
      </c>
      <c r="H10" s="15">
        <f>IFERROR(__xludf.DUMMYFUNCTION("""COMPUTED_VALUE"""),-1897.1999999999493)</f>
        <v>-1897.2</v>
      </c>
      <c r="I10" s="7">
        <f t="shared" si="2"/>
        <v>0.003736980547</v>
      </c>
      <c r="J10" s="7">
        <f t="shared" si="10"/>
        <v>1</v>
      </c>
      <c r="K10" s="6">
        <f t="array" ref="K10">XLOOKUP(G10,'Dados Funil'!A:A,'Dados Funil'!O:O,"")</f>
        <v>-0.1029900332</v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IFERROR(__xludf.DUMMYFUNCTION("""COMPUTED_VALUE"""),-37787.0)</f>
        <v>-37787</v>
      </c>
      <c r="N10" s="7">
        <f t="shared" si="3"/>
        <v>0.01305512567</v>
      </c>
      <c r="O10" s="7">
        <f t="shared" si="11"/>
        <v>0.9936070065</v>
      </c>
      <c r="P10" s="12">
        <f t="array" ref="P10">XLOOKUP(L10,'Dados Funil'!A:A,'Dados Funil'!AM:AM,"")</f>
        <v>-2906.692308</v>
      </c>
      <c r="Q10" s="5">
        <f t="array" ref="Q10">XLOOKUP(L10,'Dados Funil'!A:A,'Dados Funil'!AN:AN,"")</f>
        <v>-0.7710059172</v>
      </c>
      <c r="R10" s="9" t="str">
        <f>IFERROR(__xludf.DUMMYFUNCTION("""COMPUTED_VALUE"""),"[IM] Link de Indicação")</f>
        <v>[IM] Link de Indicação</v>
      </c>
      <c r="S10" s="15">
        <f>IFERROR(__xludf.DUMMYFUNCTION("""COMPUTED_VALUE"""),11727.76557025932)</f>
        <v>11727.76557</v>
      </c>
      <c r="T10" s="7">
        <f t="shared" si="4"/>
        <v>0.01416043754</v>
      </c>
      <c r="V10" s="3">
        <f t="array" ref="V10">XLOOKUP(R10,'Dados Funil'!$A:$A,'Dados Funil'!$K:$K,"")</f>
        <v>7.454720042</v>
      </c>
      <c r="W10" s="5">
        <f t="array" ref="W10">XLOOKUP(R10,'Dados Funil'!$A:$A,'Dados Funil'!$L:$L,"")</f>
        <v>0.1103662617</v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IFERROR(__xludf.DUMMYFUNCTION("""COMPUTED_VALUE"""),66.16328403967249)</f>
        <v>66.16328404</v>
      </c>
      <c r="AK10" s="10">
        <f>IFERROR(__xludf.DUMMYFUNCTION("""COMPUTED_VALUE"""),0.37)</f>
        <v>0.37</v>
      </c>
      <c r="AL10" s="9">
        <f>IFERROR(__xludf.DUMMYFUNCTION("""COMPUTED_VALUE"""),5520.0)</f>
        <v>5520</v>
      </c>
      <c r="AM10" s="9">
        <f t="shared" si="7"/>
        <v>135131.8913</v>
      </c>
      <c r="AN10" s="9" t="str">
        <f>IFERROR(__xludf.DUMMYFUNCTION("""COMPUTED_VALUE"""),"Form G4 Google")</f>
        <v>Form G4 Google</v>
      </c>
      <c r="AO10" s="11">
        <f>IFERROR(__xludf.DUMMYFUNCTION("""COMPUTED_VALUE"""),179.0)</f>
        <v>179</v>
      </c>
      <c r="AP10" s="10">
        <f>IFERROR(__xludf.DUMMYFUNCTION("""COMPUTED_VALUE"""),0.41899441340782123)</f>
        <v>0.4189944134</v>
      </c>
      <c r="AQ10" s="14">
        <f>IFERROR(__xludf.DUMMYFUNCTION("""COMPUTED_VALUE"""),8953.453333333333)</f>
        <v>8953.453333</v>
      </c>
      <c r="AR10" s="9">
        <f t="shared" si="8"/>
        <v>671509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IFERROR(__xludf.DUMMYFUNCTION("""COMPUTED_VALUE"""),-18504.000000000004)</f>
        <v>-18504</v>
      </c>
      <c r="N11" s="7">
        <f t="shared" si="3"/>
        <v>0.0063929935</v>
      </c>
      <c r="O11" s="7">
        <f t="shared" si="11"/>
        <v>1</v>
      </c>
      <c r="P11" s="12">
        <f t="array" ref="P11">XLOOKUP(L11,'Dados Funil'!A:A,'Dados Funil'!AM:AM,"")</f>
        <v>-685.3333333</v>
      </c>
      <c r="Q11" s="5">
        <f t="array" ref="Q11">XLOOKUP(L11,'Dados Funil'!A:A,'Dados Funil'!AN:AN,"")</f>
        <v>-0.2128364389</v>
      </c>
      <c r="R11" s="9" t="str">
        <f>IFERROR(__xludf.DUMMYFUNCTION("""COMPUTED_VALUE"""),"[CM] Form G4 - Instagram")</f>
        <v>[CM] Form G4 - Instagram</v>
      </c>
      <c r="S11" s="15">
        <f>IFERROR(__xludf.DUMMYFUNCTION("""COMPUTED_VALUE"""),11180.34580645169)</f>
        <v>11180.34581</v>
      </c>
      <c r="T11" s="7">
        <f t="shared" si="4"/>
        <v>0.01349946736</v>
      </c>
      <c r="V11" s="3">
        <f t="array" ref="V11">XLOOKUP(R11,'Dados Funil'!$A:$A,'Dados Funil'!$K:$K,"")</f>
        <v>4.753548387</v>
      </c>
      <c r="W11" s="5">
        <f t="array" ref="W11">XLOOKUP(R11,'Dados Funil'!$A:$A,'Dados Funil'!$L:$L,"")</f>
        <v>0.1099176513</v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IFERROR(__xludf.DUMMYFUNCTION("""COMPUTED_VALUE"""),"[IM] Link de Indicação")</f>
        <v>[IM] Link de Indicação</v>
      </c>
      <c r="AJ11" s="11">
        <f>IFERROR(__xludf.DUMMYFUNCTION("""COMPUTED_VALUE"""),67.54527995788246)</f>
        <v>67.54527996</v>
      </c>
      <c r="AK11" s="10">
        <f>IFERROR(__xludf.DUMMYFUNCTION("""COMPUTED_VALUE"""),0.285)</f>
        <v>0.285</v>
      </c>
      <c r="AL11" s="9">
        <f>IFERROR(__xludf.DUMMYFUNCTION("""COMPUTED_VALUE"""),5520.000000000001)</f>
        <v>5520</v>
      </c>
      <c r="AM11" s="9">
        <f t="shared" si="7"/>
        <v>106262.2344</v>
      </c>
      <c r="AN11" s="9" t="str">
        <f>IFERROR(__xludf.DUMMYFUNCTION("""COMPUTED_VALUE"""),"[IM] Link de Indicação")</f>
        <v>[IM] Link de Indicação</v>
      </c>
      <c r="AO11" s="11">
        <f>IFERROR(__xludf.DUMMYFUNCTION("""COMPUTED_VALUE"""),75.0)</f>
        <v>75</v>
      </c>
      <c r="AP11" s="10">
        <f>IFERROR(__xludf.DUMMYFUNCTION("""COMPUTED_VALUE"""),0.16)</f>
        <v>0.16</v>
      </c>
      <c r="AQ11" s="14">
        <f>IFERROR(__xludf.DUMMYFUNCTION("""COMPUTED_VALUE"""),7124.583333333333)</f>
        <v>7124.583333</v>
      </c>
      <c r="AR11" s="9">
        <f t="shared" si="8"/>
        <v>85495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R12" s="9" t="str">
        <f>IFERROR(__xludf.DUMMYFUNCTION("""COMPUTED_VALUE"""),"Form G4 Facebook")</f>
        <v>Form G4 Facebook</v>
      </c>
      <c r="S12" s="15">
        <f>IFERROR(__xludf.DUMMYFUNCTION("""COMPUTED_VALUE"""),9258.541939187036)</f>
        <v>9258.541939</v>
      </c>
      <c r="T12" s="7">
        <f t="shared" si="4"/>
        <v>0.01117902673</v>
      </c>
      <c r="V12" s="3">
        <f t="array" ref="V12">XLOOKUP(R12,'Dados Funil'!$A:$A,'Dados Funil'!$K:$K,"")</f>
        <v>10.64934661</v>
      </c>
      <c r="W12" s="5">
        <f t="array" ref="W12">XLOOKUP(R12,'Dados Funil'!$A:$A,'Dados Funil'!$L:$L,"")</f>
        <v>0.1020534732</v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IFERROR(__xludf.DUMMYFUNCTION("""COMPUTED_VALUE"""),"[CM] Form G4 - Instagram")</f>
        <v>[CM] Form G4 - Instagram</v>
      </c>
      <c r="AJ12" s="11">
        <f>IFERROR(__xludf.DUMMYFUNCTION("""COMPUTED_VALUE"""),43.24645161290319)</f>
        <v>43.24645161</v>
      </c>
      <c r="AK12" s="10">
        <f>IFERROR(__xludf.DUMMYFUNCTION("""COMPUTED_VALUE"""),0.28)</f>
        <v>0.28</v>
      </c>
      <c r="AL12" s="9">
        <f>IFERROR(__xludf.DUMMYFUNCTION("""COMPUTED_VALUE"""),8400.0)</f>
        <v>8400</v>
      </c>
      <c r="AM12" s="9">
        <f t="shared" si="7"/>
        <v>101715.6542</v>
      </c>
      <c r="AN12" s="9" t="str">
        <f>IFERROR(__xludf.DUMMYFUNCTION("""COMPUTED_VALUE"""),"[CM] Form G4 - Instagram")</f>
        <v>[CM] Form G4 - Instagram</v>
      </c>
      <c r="AO12" s="11">
        <f>IFERROR(__xludf.DUMMYFUNCTION("""COMPUTED_VALUE"""),48.0)</f>
        <v>48</v>
      </c>
      <c r="AP12" s="10">
        <f>IFERROR(__xludf.DUMMYFUNCTION("""COMPUTED_VALUE"""),0.1875)</f>
        <v>0.1875</v>
      </c>
      <c r="AQ12" s="14">
        <f>IFERROR(__xludf.DUMMYFUNCTION("""COMPUTED_VALUE"""),0.0)</f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R13" s="9" t="str">
        <f>IFERROR(__xludf.DUMMYFUNCTION("""COMPUTED_VALUE"""),"[CM] Form G4 - Outros")</f>
        <v>[CM] Form G4 - Outros</v>
      </c>
      <c r="S13" s="15">
        <f>IFERROR(__xludf.DUMMYFUNCTION("""COMPUTED_VALUE"""),397.56387096778144)</f>
        <v>397.563871</v>
      </c>
      <c r="T13" s="7">
        <f t="shared" si="4"/>
        <v>0.0004800299195</v>
      </c>
      <c r="V13" s="3">
        <f t="array" ref="V13">XLOOKUP(R13,'Dados Funil'!$A:$A,'Dados Funil'!$K:$K,"")</f>
        <v>0.1690322581</v>
      </c>
      <c r="W13" s="5">
        <f t="array" ref="W13">XLOOKUP(R13,'Dados Funil'!$A:$A,'Dados Funil'!$L:$L,"")</f>
        <v>0.005862871464</v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Facebook")</f>
        <v>Form G4 Facebook</v>
      </c>
      <c r="AJ13" s="11">
        <f>IFERROR(__xludf.DUMMYFUNCTION("""COMPUTED_VALUE"""),104.35065339407979)</f>
        <v>104.3506534</v>
      </c>
      <c r="AK13" s="10">
        <f>IFERROR(__xludf.DUMMYFUNCTION("""COMPUTED_VALUE"""),0.27)</f>
        <v>0.27</v>
      </c>
      <c r="AL13" s="9">
        <f>IFERROR(__xludf.DUMMYFUNCTION("""COMPUTED_VALUE"""),3220.0)</f>
        <v>3220</v>
      </c>
      <c r="AM13" s="9">
        <f t="shared" si="7"/>
        <v>90722.45806</v>
      </c>
      <c r="AN13" s="9" t="str">
        <f>IFERROR(__xludf.DUMMYFUNCTION("""COMPUTED_VALUE"""),"Form G4 Facebook")</f>
        <v>Form G4 Facebook</v>
      </c>
      <c r="AO13" s="11">
        <f>IFERROR(__xludf.DUMMYFUNCTION("""COMPUTED_VALUE"""),115.0)</f>
        <v>115</v>
      </c>
      <c r="AP13" s="10">
        <f>IFERROR(__xludf.DUMMYFUNCTION("""COMPUTED_VALUE"""),0.23478260869565218)</f>
        <v>0.2347826087</v>
      </c>
      <c r="AQ13" s="14">
        <f>IFERROR(__xludf.DUMMYFUNCTION("""COMPUTED_VALUE"""),2534.6666666666665)</f>
        <v>2534.666667</v>
      </c>
      <c r="AR13" s="9">
        <f t="shared" si="8"/>
        <v>68436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IFERROR(__xludf.DUMMYFUNCTION("""COMPUTED_VALUE"""),"[CM] Form G4 - Outros")</f>
        <v>[CM] Form G4 - Outros</v>
      </c>
      <c r="AJ14" s="11">
        <f>IFERROR(__xludf.DUMMYFUNCTION("""COMPUTED_VALUE"""),28.830967741935467)</f>
        <v>28.83096774</v>
      </c>
      <c r="AK14" s="10">
        <f>IFERROR(__xludf.DUMMYFUNCTION("""COMPUTED_VALUE"""),0.28)</f>
        <v>0.28</v>
      </c>
      <c r="AL14" s="9">
        <f>IFERROR(__xludf.DUMMYFUNCTION("""COMPUTED_VALUE"""),8400.0)</f>
        <v>8400</v>
      </c>
      <c r="AM14" s="9">
        <f t="shared" si="7"/>
        <v>67810.43613</v>
      </c>
      <c r="AN14" s="9" t="str">
        <f>IFERROR(__xludf.DUMMYFUNCTION("""COMPUTED_VALUE"""),"[CM] Form G4 - Outros")</f>
        <v>[CM] Form G4 - Outros</v>
      </c>
      <c r="AO14" s="11">
        <f>IFERROR(__xludf.DUMMYFUNCTION("""COMPUTED_VALUE"""),29.0)</f>
        <v>29</v>
      </c>
      <c r="AP14" s="10">
        <f>IFERROR(__xludf.DUMMYFUNCTION("""COMPUTED_VALUE"""),0.41379310344827586)</f>
        <v>0.4137931034</v>
      </c>
      <c r="AQ14" s="14">
        <f>IFERROR(__xludf.DUMMYFUNCTION("""COMPUTED_VALUE"""),11566.666666666666)</f>
        <v>11566.66667</v>
      </c>
      <c r="AR14" s="9">
        <f t="shared" si="8"/>
        <v>138800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IFERROR(__xludf.DUMMYFUNCTION("""COMPUTED_VALUE"""),"Aplicativo G4 - Indicação")</f>
        <v>Aplicativo G4 - Indicação</v>
      </c>
      <c r="AJ15" s="11">
        <f>IFERROR(__xludf.DUMMYFUNCTION("""COMPUTED_VALUE"""),83.99607144290366)</f>
        <v>83.99607144</v>
      </c>
      <c r="AK15" s="10">
        <f>IFERROR(__xludf.DUMMYFUNCTION("""COMPUTED_VALUE"""),0.21)</f>
        <v>0.21</v>
      </c>
      <c r="AL15" s="9">
        <f>IFERROR(__xludf.DUMMYFUNCTION("""COMPUTED_VALUE"""),3770.0)</f>
        <v>3770</v>
      </c>
      <c r="AM15" s="9">
        <f t="shared" si="7"/>
        <v>66499.68976</v>
      </c>
      <c r="AN15" s="9" t="str">
        <f>IFERROR(__xludf.DUMMYFUNCTION("""COMPUTED_VALUE"""),"Aplicativo G4 - Indicação")</f>
        <v>Aplicativo G4 - Indicação</v>
      </c>
      <c r="AO15" s="11">
        <f>IFERROR(__xludf.DUMMYFUNCTION("""COMPUTED_VALUE"""),288.0)</f>
        <v>288</v>
      </c>
      <c r="AP15" s="10">
        <f>IFERROR(__xludf.DUMMYFUNCTION("""COMPUTED_VALUE"""),0.04513888888888889)</f>
        <v>0.04513888889</v>
      </c>
      <c r="AQ15" s="14">
        <f>IFERROR(__xludf.DUMMYFUNCTION("""COMPUTED_VALUE"""),863.3076923076923)</f>
        <v>863.3076923</v>
      </c>
      <c r="AR15" s="9">
        <f t="shared" si="8"/>
        <v>11223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94</v>
      </c>
      <c r="B1" s="16" t="s">
        <v>95</v>
      </c>
      <c r="C1" s="16" t="s">
        <v>96</v>
      </c>
      <c r="D1" s="16" t="s">
        <v>97</v>
      </c>
      <c r="E1" s="17" t="s">
        <v>98</v>
      </c>
      <c r="F1" s="16" t="s">
        <v>99</v>
      </c>
      <c r="G1" s="16" t="s">
        <v>100</v>
      </c>
      <c r="H1" s="18" t="s">
        <v>101</v>
      </c>
      <c r="I1" s="16" t="s">
        <v>85</v>
      </c>
      <c r="J1" s="16" t="s">
        <v>90</v>
      </c>
      <c r="K1" s="16" t="s">
        <v>54</v>
      </c>
      <c r="L1" s="16" t="s">
        <v>55</v>
      </c>
      <c r="M1" s="17" t="s">
        <v>102</v>
      </c>
      <c r="N1" s="16" t="s">
        <v>103</v>
      </c>
      <c r="O1" s="16" t="s">
        <v>104</v>
      </c>
      <c r="P1" s="16" t="s">
        <v>105</v>
      </c>
      <c r="Q1" s="16" t="s">
        <v>106</v>
      </c>
      <c r="R1" s="16" t="s">
        <v>107</v>
      </c>
      <c r="S1" s="16" t="s">
        <v>108</v>
      </c>
      <c r="T1" s="16" t="s">
        <v>109</v>
      </c>
      <c r="U1" s="16" t="s">
        <v>110</v>
      </c>
      <c r="V1" s="16" t="s">
        <v>111</v>
      </c>
      <c r="W1" s="16" t="s">
        <v>112</v>
      </c>
      <c r="X1" s="16" t="s">
        <v>113</v>
      </c>
      <c r="Y1" s="16" t="s">
        <v>114</v>
      </c>
      <c r="Z1" s="16" t="s">
        <v>115</v>
      </c>
      <c r="AA1" s="16" t="s">
        <v>116</v>
      </c>
      <c r="AB1" s="16" t="s">
        <v>117</v>
      </c>
      <c r="AC1" s="16" t="s">
        <v>118</v>
      </c>
      <c r="AD1" s="16" t="s">
        <v>119</v>
      </c>
      <c r="AE1" s="16" t="s">
        <v>120</v>
      </c>
      <c r="AF1" s="16" t="s">
        <v>121</v>
      </c>
      <c r="AG1" s="16" t="s">
        <v>122</v>
      </c>
      <c r="AH1" s="16" t="s">
        <v>123</v>
      </c>
      <c r="AI1" s="16" t="s">
        <v>124</v>
      </c>
      <c r="AJ1" s="16" t="s">
        <v>125</v>
      </c>
      <c r="AK1" s="16" t="s">
        <v>87</v>
      </c>
      <c r="AL1" s="16" t="s">
        <v>92</v>
      </c>
      <c r="AM1" s="16" t="s">
        <v>65</v>
      </c>
      <c r="AN1" s="16" t="s">
        <v>66</v>
      </c>
      <c r="AO1" s="16" t="s">
        <v>126</v>
      </c>
      <c r="AP1" s="16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IFERROR(__xludf.DUMMYFUNCTION("""COMPUTED_VALUE"""),1062.1935483870961)</f>
        <v>1062.193548</v>
      </c>
      <c r="C2" s="20">
        <f>IFERROR(__xludf.DUMMYFUNCTION("""COMPUTED_VALUE"""),1077.0)</f>
        <v>1077</v>
      </c>
      <c r="D2" s="21">
        <f>IFERROR(__xludf.DUMMYFUNCTION("""COMPUTED_VALUE"""),14.806451612903857)</f>
        <v>14.80645161</v>
      </c>
      <c r="E2" s="22">
        <f>IFERROR(__xludf.DUMMYFUNCTION("""COMPUTED_VALUE"""),0.013939504373178445)</f>
        <v>0.01393950437</v>
      </c>
      <c r="F2" s="23">
        <f>IFERROR(__xludf.DUMMYFUNCTION("""COMPUTED_VALUE"""),0.8426624896062617)</f>
        <v>0.8426624896</v>
      </c>
      <c r="G2" s="23">
        <f>IFERROR(__xludf.DUMMYFUNCTION("""COMPUTED_VALUE"""),0.8495821727019499)</f>
        <v>0.8495821727</v>
      </c>
      <c r="H2" s="24">
        <f>IFERROR(__xludf.DUMMYFUNCTION("""COMPUTED_VALUE"""),0.6919683095688245)</f>
        <v>0.6919683096</v>
      </c>
      <c r="I2" s="19">
        <f>IFERROR(__xludf.DUMMYFUNCTION("""COMPUTED_VALUE"""),895.0706599275796)</f>
        <v>895.0706599</v>
      </c>
      <c r="J2" s="20">
        <f>IFERROR(__xludf.DUMMYFUNCTION("""COMPUTED_VALUE"""),915.0)</f>
        <v>915</v>
      </c>
      <c r="K2" s="21">
        <f>IFERROR(__xludf.DUMMYFUNCTION("""COMPUTED_VALUE"""),19.92934007242036)</f>
        <v>19.92934007</v>
      </c>
      <c r="L2" s="22">
        <f>IFERROR(__xludf.DUMMYFUNCTION("""COMPUTED_VALUE"""),0.022265661209398647)</f>
        <v>0.02226566121</v>
      </c>
      <c r="M2" s="25">
        <f>IFERROR(__xludf.DUMMYFUNCTION("""COMPUTED_VALUE"""),0.34)</f>
        <v>0.34</v>
      </c>
      <c r="N2" s="23">
        <f>IFERROR(__xludf.DUMMYFUNCTION("""COMPUTED_VALUE"""),0.3158469945355191)</f>
        <v>0.3158469945</v>
      </c>
      <c r="O2" s="26">
        <f>IFERROR(__xludf.DUMMYFUNCTION("""COMPUTED_VALUE"""),-2.4153005464480906)</f>
        <v>-2.415300546</v>
      </c>
      <c r="P2" s="19">
        <f>IFERROR(__xludf.DUMMYFUNCTION("""COMPUTED_VALUE"""),294.81389861364676)</f>
        <v>294.8138986</v>
      </c>
      <c r="Q2" s="20">
        <f>IFERROR(__xludf.DUMMYFUNCTION("""COMPUTED_VALUE"""),289.0)</f>
        <v>289</v>
      </c>
      <c r="R2" s="21">
        <f>IFERROR(__xludf.DUMMYFUNCTION("""COMPUTED_VALUE"""),-5.8138986136467565)</f>
        <v>-5.813898614</v>
      </c>
      <c r="S2" s="27">
        <f>IFERROR(__xludf.DUMMYFUNCTION("""COMPUTED_VALUE"""),-0.019720571658888658)</f>
        <v>-0.01972057166</v>
      </c>
      <c r="T2" s="23">
        <f>IFERROR(__xludf.DUMMYFUNCTION("""COMPUTED_VALUE"""),0.19)</f>
        <v>0.19</v>
      </c>
      <c r="U2" s="23">
        <f>IFERROR(__xludf.DUMMYFUNCTION("""COMPUTED_VALUE"""),0.15570934256055363)</f>
        <v>0.1557093426</v>
      </c>
      <c r="V2" s="24">
        <f>IFERROR(__xludf.DUMMYFUNCTION("""COMPUTED_VALUE"""),-3.429065743944637)</f>
        <v>-3.429065744</v>
      </c>
      <c r="W2" s="19">
        <f>IFERROR(__xludf.DUMMYFUNCTION("""COMPUTED_VALUE"""),56.01464073659289)</f>
        <v>56.01464074</v>
      </c>
      <c r="X2" s="20">
        <f>IFERROR(__xludf.DUMMYFUNCTION("""COMPUTED_VALUE"""),45.0)</f>
        <v>45</v>
      </c>
      <c r="Y2" s="21">
        <f>IFERROR(__xludf.DUMMYFUNCTION("""COMPUTED_VALUE"""),-11.014640736592888)</f>
        <v>-11.01464074</v>
      </c>
      <c r="Z2" s="28">
        <f>IFERROR(__xludf.DUMMYFUNCTION("""COMPUTED_VALUE"""),-0.196638603617738)</f>
        <v>-0.1966386036</v>
      </c>
      <c r="AA2" s="19">
        <f>IFERROR(__xludf.DUMMYFUNCTION("""COMPUTED_VALUE"""),32000.0)</f>
        <v>32000</v>
      </c>
      <c r="AB2" s="20">
        <f>IFERROR(__xludf.DUMMYFUNCTION("""COMPUTED_VALUE"""),20416.538666449655)</f>
        <v>20416.53867</v>
      </c>
      <c r="AC2" s="21">
        <f>IFERROR(__xludf.DUMMYFUNCTION("""COMPUTED_VALUE"""),-11583.461333550345)</f>
        <v>-11583.46133</v>
      </c>
      <c r="AD2" s="28">
        <f>IFERROR(__xludf.DUMMYFUNCTION("""COMPUTED_VALUE"""),-0.3619831666734483)</f>
        <v>-0.3619831667</v>
      </c>
      <c r="AE2" s="19">
        <f>IFERROR(__xludf.DUMMYFUNCTION("""COMPUTED_VALUE"""),1667473.6999219565)</f>
        <v>1667473.7</v>
      </c>
      <c r="AF2" s="20">
        <f>IFERROR(__xludf.DUMMYFUNCTION("""COMPUTED_VALUE"""),918744.2399902344)</f>
        <v>918744.24</v>
      </c>
      <c r="AG2" s="21">
        <f>IFERROR(__xludf.DUMMYFUNCTION("""COMPUTED_VALUE"""),-748729.4599317221)</f>
        <v>-748729.4599</v>
      </c>
      <c r="AH2" s="29">
        <f>IFERROR(__xludf.DUMMYFUNCTION("""COMPUTED_VALUE"""),-0.4490202513939292)</f>
        <v>-0.4490202514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"),41197.93179770737)</f>
        <v>41197.9318</v>
      </c>
      <c r="AJ2" s="30">
        <f>IFERROR(__xludf.DUMMYFUNCTION("""COMPUTED_VALUE"""),-972743.760009766)</f>
        <v>-972743.76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IFERROR(__xludf.DUMMYFUNCTION("""COMPUTED_VALUE"""),3179.045813114998)</f>
        <v>3179.045813</v>
      </c>
      <c r="AM2" s="30">
        <f t="shared" ref="AM2:AM16" si="1">AL2-AK2</f>
        <v>-2900.954187</v>
      </c>
      <c r="AN2" s="32">
        <f t="shared" ref="AN2:AN16" si="2">AM2/AK2</f>
        <v>-0.4771306228</v>
      </c>
      <c r="AO2" s="12">
        <f t="shared" ref="AO2:AO16" si="3">J2*(N2-M2)*AK2</f>
        <v>-134368</v>
      </c>
      <c r="AP2" s="12">
        <f t="shared" ref="AP2:AP16" si="4">J2*N2*AM2</f>
        <v>-838375.76</v>
      </c>
      <c r="AQ2" s="12">
        <f>SUMIFS(AP2:AP16,AP2:AP16,"&lt;"&amp;0)</f>
        <v>-2894418.71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9">
        <f>IFERROR(__xludf.DUMMYFUNCTION("""COMPUTED_VALUE"""),397.9354838709675)</f>
        <v>397.9354839</v>
      </c>
      <c r="C3" s="20">
        <f>IFERROR(__xludf.DUMMYFUNCTION("""COMPUTED_VALUE"""),414.0)</f>
        <v>414</v>
      </c>
      <c r="D3" s="21">
        <f>IFERROR(__xludf.DUMMYFUNCTION("""COMPUTED_VALUE"""),16.064516129032484)</f>
        <v>16.06451613</v>
      </c>
      <c r="E3" s="22">
        <f>IFERROR(__xludf.DUMMYFUNCTION("""COMPUTED_VALUE"""),0.04036964980544806)</f>
        <v>0.04036964981</v>
      </c>
      <c r="F3" s="23">
        <f>IFERROR(__xludf.DUMMYFUNCTION("""COMPUTED_VALUE"""),0.6293553918193087)</f>
        <v>0.6293553918</v>
      </c>
      <c r="G3" s="23">
        <f>IFERROR(__xludf.DUMMYFUNCTION("""COMPUTED_VALUE"""),0.6328502415458938)</f>
        <v>0.6328502415</v>
      </c>
      <c r="H3" s="24">
        <f>IFERROR(__xludf.DUMMYFUNCTION("""COMPUTED_VALUE"""),0.3494849726585092)</f>
        <v>0.3494849727</v>
      </c>
      <c r="I3" s="19">
        <f>IFERROR(__xludf.DUMMYFUNCTION("""COMPUTED_VALUE"""),250.44284237041893)</f>
        <v>250.4428424</v>
      </c>
      <c r="J3" s="20">
        <f>IFERROR(__xludf.DUMMYFUNCTION("""COMPUTED_VALUE"""),262.0)</f>
        <v>262</v>
      </c>
      <c r="K3" s="21">
        <f>IFERROR(__xludf.DUMMYFUNCTION("""COMPUTED_VALUE"""),11.55715762958107)</f>
        <v>11.55715763</v>
      </c>
      <c r="L3" s="22">
        <f>IFERROR(__xludf.DUMMYFUNCTION("""COMPUTED_VALUE"""),0.046146887330432824)</f>
        <v>0.04614688733</v>
      </c>
      <c r="M3" s="25">
        <f>IFERROR(__xludf.DUMMYFUNCTION("""COMPUTED_VALUE"""),0.42)</f>
        <v>0.42</v>
      </c>
      <c r="N3" s="23">
        <f>IFERROR(__xludf.DUMMYFUNCTION("""COMPUTED_VALUE"""),0.46564885496183206)</f>
        <v>0.465648855</v>
      </c>
      <c r="O3" s="26">
        <f>IFERROR(__xludf.DUMMYFUNCTION("""COMPUTED_VALUE"""),4.564885496183208)</f>
        <v>4.564885496</v>
      </c>
      <c r="P3" s="19">
        <f>IFERROR(__xludf.DUMMYFUNCTION("""COMPUTED_VALUE"""),101.89893148946427)</f>
        <v>101.8989315</v>
      </c>
      <c r="Q3" s="20">
        <f>IFERROR(__xludf.DUMMYFUNCTION("""COMPUTED_VALUE"""),122.0)</f>
        <v>122</v>
      </c>
      <c r="R3" s="21">
        <f>IFERROR(__xludf.DUMMYFUNCTION("""COMPUTED_VALUE"""),20.101068510535725)</f>
        <v>20.10106851</v>
      </c>
      <c r="S3" s="27">
        <f>IFERROR(__xludf.DUMMYFUNCTION("""COMPUTED_VALUE"""),0.19726476241425606)</f>
        <v>0.1972647624</v>
      </c>
      <c r="T3" s="23">
        <f>IFERROR(__xludf.DUMMYFUNCTION("""COMPUTED_VALUE"""),0.29)</f>
        <v>0.29</v>
      </c>
      <c r="U3" s="23">
        <f>IFERROR(__xludf.DUMMYFUNCTION("""COMPUTED_VALUE"""),0.14754098360655737)</f>
        <v>0.1475409836</v>
      </c>
      <c r="V3" s="24">
        <f>IFERROR(__xludf.DUMMYFUNCTION("""COMPUTED_VALUE"""),-14.245901639344261)</f>
        <v>-14.24590164</v>
      </c>
      <c r="W3" s="19">
        <f>IFERROR(__xludf.DUMMYFUNCTION("""COMPUTED_VALUE"""),29.550690131944634)</f>
        <v>29.55069013</v>
      </c>
      <c r="X3" s="20">
        <f>IFERROR(__xludf.DUMMYFUNCTION("""COMPUTED_VALUE"""),18.0)</f>
        <v>18</v>
      </c>
      <c r="Y3" s="21">
        <f>IFERROR(__xludf.DUMMYFUNCTION("""COMPUTED_VALUE"""),-11.550690131944634)</f>
        <v>-11.55069013</v>
      </c>
      <c r="Z3" s="28">
        <f>IFERROR(__xludf.DUMMYFUNCTION("""COMPUTED_VALUE"""),-0.39087717005492895)</f>
        <v>-0.3908771701</v>
      </c>
      <c r="AA3" s="19">
        <f>IFERROR(__xludf.DUMMYFUNCTION("""COMPUTED_VALUE"""),24000.0)</f>
        <v>24000</v>
      </c>
      <c r="AB3" s="20">
        <f>IFERROR(__xludf.DUMMYFUNCTION("""COMPUTED_VALUE"""),20250.0)</f>
        <v>20250</v>
      </c>
      <c r="AC3" s="21">
        <f>IFERROR(__xludf.DUMMYFUNCTION("""COMPUTED_VALUE"""),-3750.0)</f>
        <v>-3750</v>
      </c>
      <c r="AD3" s="28">
        <f>IFERROR(__xludf.DUMMYFUNCTION("""COMPUTED_VALUE"""),-0.15625)</f>
        <v>-0.15625</v>
      </c>
      <c r="AE3" s="19">
        <f>IFERROR(__xludf.DUMMYFUNCTION("""COMPUTED_VALUE"""),659760.5281618485)</f>
        <v>659760.5282</v>
      </c>
      <c r="AF3" s="20">
        <f>IFERROR(__xludf.DUMMYFUNCTION("""COMPUTED_VALUE"""),364500.0)</f>
        <v>364500</v>
      </c>
      <c r="AG3" s="21">
        <f>IFERROR(__xludf.DUMMYFUNCTION("""COMPUTED_VALUE"""),-295260.52816184855)</f>
        <v>-295260.5282</v>
      </c>
      <c r="AH3" s="29">
        <f>IFERROR(__xludf.DUMMYFUNCTION("""COMPUTED_VALUE"""),-0.44752681550148293)</f>
        <v>-0.4475268155</v>
      </c>
      <c r="AI3" s="30">
        <f>IFERROR(__xludf.DUMMYFUNCTION("""COMPUTED_VALUE"""),33783.883182791375)</f>
        <v>33783.88318</v>
      </c>
      <c r="AJ3" s="30">
        <f>IFERROR(__xludf.DUMMYFUNCTION("""COMPUTED_VALUE"""),-401378.39999999985)</f>
        <v>-401378.4</v>
      </c>
      <c r="AK3" s="4">
        <f>IFERROR(__xludf.DUMMYFUNCTION("""COMPUTED_VALUE"""),6959.999999999999)</f>
        <v>6960</v>
      </c>
      <c r="AL3" s="31">
        <f>IFERROR(__xludf.DUMMYFUNCTION("""COMPUTED_VALUE"""),2987.7049180327867)</f>
        <v>2987.704918</v>
      </c>
      <c r="AM3" s="30">
        <f t="shared" si="1"/>
        <v>-3972.295082</v>
      </c>
      <c r="AN3" s="32">
        <f t="shared" si="2"/>
        <v>-0.570732052</v>
      </c>
      <c r="AO3" s="12">
        <f t="shared" si="3"/>
        <v>83241.6</v>
      </c>
      <c r="AP3" s="12">
        <f t="shared" si="4"/>
        <v>-484620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9">
        <f>IFERROR(__xludf.DUMMYFUNCTION("""COMPUTED_VALUE"""),603.8709677419351)</f>
        <v>603.8709677</v>
      </c>
      <c r="C4" s="20">
        <f>IFERROR(__xludf.DUMMYFUNCTION("""COMPUTED_VALUE"""),718.0)</f>
        <v>718</v>
      </c>
      <c r="D4" s="21">
        <f>IFERROR(__xludf.DUMMYFUNCTION("""COMPUTED_VALUE"""),114.12903225806485)</f>
        <v>114.1290323</v>
      </c>
      <c r="E4" s="22">
        <f>IFERROR(__xludf.DUMMYFUNCTION("""COMPUTED_VALUE"""),0.18899572649572716)</f>
        <v>0.1889957265</v>
      </c>
      <c r="F4" s="23">
        <f>IFERROR(__xludf.DUMMYFUNCTION("""COMPUTED_VALUE"""),0.8603277999463558)</f>
        <v>0.8603277999</v>
      </c>
      <c r="G4" s="23">
        <f>IFERROR(__xludf.DUMMYFUNCTION("""COMPUTED_VALUE"""),0.7646239554317549)</f>
        <v>0.7646239554</v>
      </c>
      <c r="H4" s="24">
        <f>IFERROR(__xludf.DUMMYFUNCTION("""COMPUTED_VALUE"""),-9.57038445146009)</f>
        <v>-9.570384451</v>
      </c>
      <c r="I4" s="19">
        <f>IFERROR(__xludf.DUMMYFUNCTION("""COMPUTED_VALUE"""),519.5269811288958)</f>
        <v>519.5269811</v>
      </c>
      <c r="J4" s="20">
        <f>IFERROR(__xludf.DUMMYFUNCTION("""COMPUTED_VALUE"""),549.0)</f>
        <v>549</v>
      </c>
      <c r="K4" s="21">
        <f>IFERROR(__xludf.DUMMYFUNCTION("""COMPUTED_VALUE"""),29.47301887110416)</f>
        <v>29.47301887</v>
      </c>
      <c r="L4" s="22">
        <f>IFERROR(__xludf.DUMMYFUNCTION("""COMPUTED_VALUE"""),0.0567304874273543)</f>
        <v>0.05673048743</v>
      </c>
      <c r="M4" s="25">
        <f>IFERROR(__xludf.DUMMYFUNCTION("""COMPUTED_VALUE"""),0.28)</f>
        <v>0.28</v>
      </c>
      <c r="N4" s="23">
        <f>IFERROR(__xludf.DUMMYFUNCTION("""COMPUTED_VALUE"""),0.2641165755919854)</f>
        <v>0.2641165756</v>
      </c>
      <c r="O4" s="26">
        <f>IFERROR(__xludf.DUMMYFUNCTION("""COMPUTED_VALUE"""),-1.5883424408014601)</f>
        <v>-1.588342441</v>
      </c>
      <c r="P4" s="19">
        <f>IFERROR(__xludf.DUMMYFUNCTION("""COMPUTED_VALUE"""),140.92169363121312)</f>
        <v>140.9216936</v>
      </c>
      <c r="Q4" s="20">
        <f>IFERROR(__xludf.DUMMYFUNCTION("""COMPUTED_VALUE"""),145.0)</f>
        <v>145</v>
      </c>
      <c r="R4" s="21">
        <f>IFERROR(__xludf.DUMMYFUNCTION("""COMPUTED_VALUE"""),4.078306368786883)</f>
        <v>4.078306369</v>
      </c>
      <c r="S4" s="27">
        <f>IFERROR(__xludf.DUMMYFUNCTION("""COMPUTED_VALUE"""),0.028940231015528815)</f>
        <v>0.02894023102</v>
      </c>
      <c r="T4" s="23">
        <f>IFERROR(__xludf.DUMMYFUNCTION("""COMPUTED_VALUE"""),0.19)</f>
        <v>0.19</v>
      </c>
      <c r="U4" s="23">
        <f>IFERROR(__xludf.DUMMYFUNCTION("""COMPUTED_VALUE"""),0.11724137931034483)</f>
        <v>0.1172413793</v>
      </c>
      <c r="V4" s="24">
        <f>IFERROR(__xludf.DUMMYFUNCTION("""COMPUTED_VALUE"""),-7.275862068965518)</f>
        <v>-7.275862069</v>
      </c>
      <c r="W4" s="19">
        <f>IFERROR(__xludf.DUMMYFUNCTION("""COMPUTED_VALUE"""),26.775121789930495)</f>
        <v>26.77512179</v>
      </c>
      <c r="X4" s="20">
        <f>IFERROR(__xludf.DUMMYFUNCTION("""COMPUTED_VALUE"""),17.0)</f>
        <v>17</v>
      </c>
      <c r="Y4" s="21">
        <f>IFERROR(__xludf.DUMMYFUNCTION("""COMPUTED_VALUE"""),-9.775121789930495)</f>
        <v>-9.77512179</v>
      </c>
      <c r="Z4" s="28">
        <f>IFERROR(__xludf.DUMMYFUNCTION("""COMPUTED_VALUE"""),-0.3650822530938661)</f>
        <v>-0.3650822531</v>
      </c>
      <c r="AA4" s="19">
        <f>IFERROR(__xludf.DUMMYFUNCTION("""COMPUTED_VALUE"""),26000.0)</f>
        <v>26000</v>
      </c>
      <c r="AB4" s="20">
        <f>IFERROR(__xludf.DUMMYFUNCTION("""COMPUTED_VALUE"""),18411.552935431984)</f>
        <v>18411.55294</v>
      </c>
      <c r="AC4" s="21">
        <f>IFERROR(__xludf.DUMMYFUNCTION("""COMPUTED_VALUE"""),-7588.447064568016)</f>
        <v>-7588.447065</v>
      </c>
      <c r="AD4" s="28">
        <f>IFERROR(__xludf.DUMMYFUNCTION("""COMPUTED_VALUE"""),-0.2918633486372314)</f>
        <v>-0.2918633486</v>
      </c>
      <c r="AE4" s="19">
        <f>IFERROR(__xludf.DUMMYFUNCTION("""COMPUTED_VALUE"""),647608.0857249293)</f>
        <v>647608.0857</v>
      </c>
      <c r="AF4" s="20">
        <f>IFERROR(__xludf.DUMMYFUNCTION("""COMPUTED_VALUE"""),312996.39990234375)</f>
        <v>312996.3999</v>
      </c>
      <c r="AG4" s="21">
        <f>IFERROR(__xludf.DUMMYFUNCTION("""COMPUTED_VALUE"""),-334611.6858225856)</f>
        <v>-334611.6858</v>
      </c>
      <c r="AH4" s="29">
        <f>IFERROR(__xludf.DUMMYFUNCTION("""COMPUTED_VALUE"""),-0.5166885546958897)</f>
        <v>-0.5166885547</v>
      </c>
      <c r="AI4" s="30">
        <f>IFERROR(__xludf.DUMMYFUNCTION("""COMPUTED_VALUE"""),40767.079702511284)</f>
        <v>40767.0797</v>
      </c>
      <c r="AJ4" s="30">
        <f>IFERROR(__xludf.DUMMYFUNCTION("""COMPUTED_VALUE"""),-446380.40009765635)</f>
        <v>-446380.4001</v>
      </c>
      <c r="AK4" s="4">
        <f>IFERROR(__xludf.DUMMYFUNCTION("""COMPUTED_VALUE"""),4940.0)</f>
        <v>4940</v>
      </c>
      <c r="AL4" s="31">
        <f>IFERROR(__xludf.DUMMYFUNCTION("""COMPUTED_VALUE"""),2158.595861395474)</f>
        <v>2158.595861</v>
      </c>
      <c r="AM4" s="30">
        <f t="shared" si="1"/>
        <v>-2781.404139</v>
      </c>
      <c r="AN4" s="32">
        <f t="shared" si="2"/>
        <v>-0.563037275</v>
      </c>
      <c r="AO4" s="12">
        <f t="shared" si="3"/>
        <v>-43076.8</v>
      </c>
      <c r="AP4" s="12">
        <f t="shared" si="4"/>
        <v>-403303.6001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9">
        <f>IFERROR(__xludf.DUMMYFUNCTION("""COMPUTED_VALUE"""),357.6774193548385)</f>
        <v>357.6774194</v>
      </c>
      <c r="C5" s="20">
        <f>IFERROR(__xludf.DUMMYFUNCTION("""COMPUTED_VALUE"""),358.0)</f>
        <v>358</v>
      </c>
      <c r="D5" s="21">
        <f>IFERROR(__xludf.DUMMYFUNCTION("""COMPUTED_VALUE"""),0.32258064516150853)</f>
        <v>0.3225806452</v>
      </c>
      <c r="E5" s="22">
        <f>IFERROR(__xludf.DUMMYFUNCTION("""COMPUTED_VALUE"""),9.018759018765125E-4)</f>
        <v>0.0009018759019</v>
      </c>
      <c r="F5" s="23">
        <f>IFERROR(__xludf.DUMMYFUNCTION("""COMPUTED_VALUE"""),0.8681746999803265)</f>
        <v>0.8681747</v>
      </c>
      <c r="G5" s="23">
        <f>IFERROR(__xludf.DUMMYFUNCTION("""COMPUTED_VALUE"""),0.7067039106145251)</f>
        <v>0.7067039106</v>
      </c>
      <c r="H5" s="24">
        <f>IFERROR(__xludf.DUMMYFUNCTION("""COMPUTED_VALUE"""),-16.14707893658014)</f>
        <v>-16.14707894</v>
      </c>
      <c r="I5" s="19">
        <f>IFERROR(__xludf.DUMMYFUNCTION("""COMPUTED_VALUE"""),310.52648623812433)</f>
        <v>310.5264862</v>
      </c>
      <c r="J5" s="20">
        <f>IFERROR(__xludf.DUMMYFUNCTION("""COMPUTED_VALUE"""),253.0)</f>
        <v>253</v>
      </c>
      <c r="K5" s="21">
        <f>IFERROR(__xludf.DUMMYFUNCTION("""COMPUTED_VALUE"""),-57.526486238124335)</f>
        <v>-57.52648624</v>
      </c>
      <c r="L5" s="22">
        <f>IFERROR(__xludf.DUMMYFUNCTION("""COMPUTED_VALUE"""),-0.1852546845038226)</f>
        <v>-0.1852546845</v>
      </c>
      <c r="M5" s="25">
        <f>IFERROR(__xludf.DUMMYFUNCTION("""COMPUTED_VALUE"""),0.32)</f>
        <v>0.32</v>
      </c>
      <c r="N5" s="23">
        <f>IFERROR(__xludf.DUMMYFUNCTION("""COMPUTED_VALUE"""),0.42292490118577075)</f>
        <v>0.4229249012</v>
      </c>
      <c r="O5" s="26">
        <f>IFERROR(__xludf.DUMMYFUNCTION("""COMPUTED_VALUE"""),10.292490118577074)</f>
        <v>10.29249012</v>
      </c>
      <c r="P5" s="19">
        <f>IFERROR(__xludf.DUMMYFUNCTION("""COMPUTED_VALUE"""),96.26321073381862)</f>
        <v>96.26321073</v>
      </c>
      <c r="Q5" s="20">
        <f>IFERROR(__xludf.DUMMYFUNCTION("""COMPUTED_VALUE"""),107.0)</f>
        <v>107</v>
      </c>
      <c r="R5" s="21">
        <f>IFERROR(__xludf.DUMMYFUNCTION("""COMPUTED_VALUE"""),10.736789266181376)</f>
        <v>10.73678927</v>
      </c>
      <c r="S5" s="27">
        <f>IFERROR(__xludf.DUMMYFUNCTION("""COMPUTED_VALUE"""),0.11153574854125856)</f>
        <v>0.1115357485</v>
      </c>
      <c r="T5" s="23">
        <f>IFERROR(__xludf.DUMMYFUNCTION("""COMPUTED_VALUE"""),0.175)</f>
        <v>0.175</v>
      </c>
      <c r="U5" s="23">
        <f>IFERROR(__xludf.DUMMYFUNCTION("""COMPUTED_VALUE"""),0.07476635514018691)</f>
        <v>0.07476635514</v>
      </c>
      <c r="V5" s="24">
        <f>IFERROR(__xludf.DUMMYFUNCTION("""COMPUTED_VALUE"""),-10.023364485981308)</f>
        <v>-10.02336449</v>
      </c>
      <c r="W5" s="19">
        <f>IFERROR(__xludf.DUMMYFUNCTION("""COMPUTED_VALUE"""),16.846061878418258)</f>
        <v>16.84606188</v>
      </c>
      <c r="X5" s="20">
        <f>IFERROR(__xludf.DUMMYFUNCTION("""COMPUTED_VALUE"""),8.0)</f>
        <v>8</v>
      </c>
      <c r="Y5" s="21">
        <f>IFERROR(__xludf.DUMMYFUNCTION("""COMPUTED_VALUE"""),-8.846061878418258)</f>
        <v>-8.846061878</v>
      </c>
      <c r="Z5" s="28">
        <f>IFERROR(__xludf.DUMMYFUNCTION("""COMPUTED_VALUE"""),-0.5251115627060043)</f>
        <v>-0.5251115627</v>
      </c>
      <c r="AA5" s="19">
        <f>IFERROR(__xludf.DUMMYFUNCTION("""COMPUTED_VALUE"""),29000.0)</f>
        <v>29000</v>
      </c>
      <c r="AB5" s="20">
        <f>IFERROR(__xludf.DUMMYFUNCTION("""COMPUTED_VALUE"""),15330.125)</f>
        <v>15330.125</v>
      </c>
      <c r="AC5" s="21">
        <f>IFERROR(__xludf.DUMMYFUNCTION("""COMPUTED_VALUE"""),-13669.875)</f>
        <v>-13669.875</v>
      </c>
      <c r="AD5" s="28">
        <f>IFERROR(__xludf.DUMMYFUNCTION("""COMPUTED_VALUE"""),-0.471375)</f>
        <v>-0.471375</v>
      </c>
      <c r="AE5" s="19">
        <f>IFERROR(__xludf.DUMMYFUNCTION("""COMPUTED_VALUE"""),454468.5650728001)</f>
        <v>454468.5651</v>
      </c>
      <c r="AF5" s="20">
        <f>IFERROR(__xludf.DUMMYFUNCTION("""COMPUTED_VALUE"""),122641.0)</f>
        <v>122641</v>
      </c>
      <c r="AG5" s="21">
        <f>IFERROR(__xludf.DUMMYFUNCTION("""COMPUTED_VALUE"""),-331827.5650728001)</f>
        <v>-331827.5651</v>
      </c>
      <c r="AH5" s="29">
        <f>IFERROR(__xludf.DUMMYFUNCTION("""COMPUTED_VALUE"""),-0.7301441520375463)</f>
        <v>-0.730144152</v>
      </c>
      <c r="AI5" s="30">
        <f>IFERROR(__xludf.DUMMYFUNCTION("""COMPUTED_VALUE"""),-93423.01365071393)</f>
        <v>-93423.01365</v>
      </c>
      <c r="AJ5" s="30">
        <f>IFERROR(__xludf.DUMMYFUNCTION("""COMPUTED_VALUE"""),-288231.0)</f>
        <v>-288231</v>
      </c>
      <c r="AK5" s="4">
        <f>IFERROR(__xludf.DUMMYFUNCTION("""COMPUTED_VALUE"""),5074.999999999999)</f>
        <v>5075</v>
      </c>
      <c r="AL5" s="31">
        <f>IFERROR(__xludf.DUMMYFUNCTION("""COMPUTED_VALUE"""),1146.177570093458)</f>
        <v>1146.17757</v>
      </c>
      <c r="AM5" s="30">
        <f t="shared" si="1"/>
        <v>-3928.82243</v>
      </c>
      <c r="AN5" s="32">
        <f t="shared" si="2"/>
        <v>-0.7741522029</v>
      </c>
      <c r="AO5" s="12">
        <f t="shared" si="3"/>
        <v>132153</v>
      </c>
      <c r="AP5" s="12">
        <f t="shared" si="4"/>
        <v>-420384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9">
        <f>IFERROR(__xludf.DUMMYFUNCTION("""COMPUTED_VALUE"""),309.67741935483855)</f>
        <v>309.6774194</v>
      </c>
      <c r="C6" s="20">
        <f>IFERROR(__xludf.DUMMYFUNCTION("""COMPUTED_VALUE"""),344.0)</f>
        <v>344</v>
      </c>
      <c r="D6" s="21">
        <f>IFERROR(__xludf.DUMMYFUNCTION("""COMPUTED_VALUE"""),34.32258064516145)</f>
        <v>34.32258065</v>
      </c>
      <c r="E6" s="22">
        <f>IFERROR(__xludf.DUMMYFUNCTION("""COMPUTED_VALUE"""),0.11083333333333391)</f>
        <v>0.1108333333</v>
      </c>
      <c r="F6" s="23">
        <f>IFERROR(__xludf.DUMMYFUNCTION("""COMPUTED_VALUE"""),0.820698804996366)</f>
        <v>0.820698805</v>
      </c>
      <c r="G6" s="23">
        <f>IFERROR(__xludf.DUMMYFUNCTION("""COMPUTED_VALUE"""),0.875)</f>
        <v>0.875</v>
      </c>
      <c r="H6" s="24">
        <f>IFERROR(__xludf.DUMMYFUNCTION("""COMPUTED_VALUE"""),5.430119500363395)</f>
        <v>5.4301195</v>
      </c>
      <c r="I6" s="19">
        <f>IFERROR(__xludf.DUMMYFUNCTION("""COMPUTED_VALUE"""),254.1518879988745)</f>
        <v>254.151888</v>
      </c>
      <c r="J6" s="20">
        <f>IFERROR(__xludf.DUMMYFUNCTION("""COMPUTED_VALUE"""),301.0)</f>
        <v>301</v>
      </c>
      <c r="K6" s="21">
        <f>IFERROR(__xludf.DUMMYFUNCTION("""COMPUTED_VALUE"""),46.848112001125486)</f>
        <v>46.848112</v>
      </c>
      <c r="L6" s="22">
        <f>IFERROR(__xludf.DUMMYFUNCTION("""COMPUTED_VALUE"""),0.1843311587019686)</f>
        <v>0.1843311587</v>
      </c>
      <c r="M6" s="25">
        <f>IFERROR(__xludf.DUMMYFUNCTION("""COMPUTED_VALUE"""),0.31)</f>
        <v>0.31</v>
      </c>
      <c r="N6" s="23">
        <f>IFERROR(__xludf.DUMMYFUNCTION("""COMPUTED_VALUE"""),0.3089700996677741)</f>
        <v>0.3089700997</v>
      </c>
      <c r="O6" s="26">
        <f>IFERROR(__xludf.DUMMYFUNCTION("""COMPUTED_VALUE"""),-0.1029900332225886)</f>
        <v>-0.1029900332</v>
      </c>
      <c r="P6" s="19">
        <f>IFERROR(__xludf.DUMMYFUNCTION("""COMPUTED_VALUE"""),76.32498886466206)</f>
        <v>76.32498886</v>
      </c>
      <c r="Q6" s="20">
        <f>IFERROR(__xludf.DUMMYFUNCTION("""COMPUTED_VALUE"""),93.0)</f>
        <v>93</v>
      </c>
      <c r="R6" s="21">
        <f>IFERROR(__xludf.DUMMYFUNCTION("""COMPUTED_VALUE"""),16.67501113533794)</f>
        <v>16.67501114</v>
      </c>
      <c r="S6" s="27">
        <f>IFERROR(__xludf.DUMMYFUNCTION("""COMPUTED_VALUE"""),0.21847381026030327)</f>
        <v>0.2184738103</v>
      </c>
      <c r="T6" s="23">
        <f>IFERROR(__xludf.DUMMYFUNCTION("""COMPUTED_VALUE"""),0.24)</f>
        <v>0.24</v>
      </c>
      <c r="U6" s="23">
        <f>IFERROR(__xludf.DUMMYFUNCTION("""COMPUTED_VALUE"""),0.11827956989247312)</f>
        <v>0.1182795699</v>
      </c>
      <c r="V6" s="24">
        <f>IFERROR(__xludf.DUMMYFUNCTION("""COMPUTED_VALUE"""),-12.172043010752686)</f>
        <v>-12.17204301</v>
      </c>
      <c r="W6" s="19">
        <f>IFERROR(__xludf.DUMMYFUNCTION("""COMPUTED_VALUE"""),18.317997327518896)</f>
        <v>18.31799733</v>
      </c>
      <c r="X6" s="20">
        <f>IFERROR(__xludf.DUMMYFUNCTION("""COMPUTED_VALUE"""),11.0)</f>
        <v>11</v>
      </c>
      <c r="Y6" s="21">
        <f>IFERROR(__xludf.DUMMYFUNCTION("""COMPUTED_VALUE"""),-7.317997327518896)</f>
        <v>-7.317997328</v>
      </c>
      <c r="Z6" s="28">
        <f>IFERROR(__xludf.DUMMYFUNCTION("""COMPUTED_VALUE"""),-0.3994976741548685)</f>
        <v>-0.3994976742</v>
      </c>
      <c r="AA6" s="19">
        <f>IFERROR(__xludf.DUMMYFUNCTION("""COMPUTED_VALUE"""),25500.0)</f>
        <v>25500</v>
      </c>
      <c r="AB6" s="20">
        <f>IFERROR(__xludf.DUMMYFUNCTION("""COMPUTED_VALUE"""),35144.72727272727)</f>
        <v>35144.72727</v>
      </c>
      <c r="AC6" s="21">
        <f>IFERROR(__xludf.DUMMYFUNCTION("""COMPUTED_VALUE"""),9644.727272727272)</f>
        <v>9644.727273</v>
      </c>
      <c r="AD6" s="28">
        <f>IFERROR(__xludf.DUMMYFUNCTION("""COMPUTED_VALUE"""),0.37822459893048127)</f>
        <v>0.3782245989</v>
      </c>
      <c r="AE6" s="19">
        <f>IFERROR(__xludf.DUMMYFUNCTION("""COMPUTED_VALUE"""),434535.86900393764)</f>
        <v>434535.869</v>
      </c>
      <c r="AF6" s="20">
        <f>IFERROR(__xludf.DUMMYFUNCTION("""COMPUTED_VALUE"""),386592.0)</f>
        <v>386592</v>
      </c>
      <c r="AG6" s="21">
        <f>IFERROR(__xludf.DUMMYFUNCTION("""COMPUTED_VALUE"""),-47943.86900393764)</f>
        <v>-47943.869</v>
      </c>
      <c r="AH6" s="29">
        <f>IFERROR(__xludf.DUMMYFUNCTION("""COMPUTED_VALUE"""),-0.11033351312018659)</f>
        <v>-0.1103335131</v>
      </c>
      <c r="AI6" s="30">
        <f>IFERROR(__xludf.DUMMYFUNCTION("""COMPUTED_VALUE"""),88880.23808853528)</f>
        <v>88880.23809</v>
      </c>
      <c r="AJ6" s="30">
        <f>IFERROR(__xludf.DUMMYFUNCTION("""COMPUTED_VALUE"""),-184465.20000000004)</f>
        <v>-184465.2</v>
      </c>
      <c r="AK6" s="4">
        <f>IFERROR(__xludf.DUMMYFUNCTION("""COMPUTED_VALUE"""),6120.000000000001)</f>
        <v>6120</v>
      </c>
      <c r="AL6" s="31">
        <f>IFERROR(__xludf.DUMMYFUNCTION("""COMPUTED_VALUE"""),4156.903225806452)</f>
        <v>4156.903226</v>
      </c>
      <c r="AM6" s="30">
        <f t="shared" si="1"/>
        <v>-1963.096774</v>
      </c>
      <c r="AN6" s="32">
        <f t="shared" si="2"/>
        <v>-0.3207674468</v>
      </c>
      <c r="AO6" s="12">
        <f t="shared" si="3"/>
        <v>-1897.2</v>
      </c>
      <c r="AP6" s="12">
        <f t="shared" si="4"/>
        <v>-182568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9">
        <f>IFERROR(__xludf.DUMMYFUNCTION("""COMPUTED_VALUE"""),77.41935483870964)</f>
        <v>77.41935484</v>
      </c>
      <c r="C7" s="20">
        <f>IFERROR(__xludf.DUMMYFUNCTION("""COMPUTED_VALUE"""),102.0)</f>
        <v>102</v>
      </c>
      <c r="D7" s="21">
        <f>IFERROR(__xludf.DUMMYFUNCTION("""COMPUTED_VALUE"""),24.580645161290363)</f>
        <v>24.58064516</v>
      </c>
      <c r="E7" s="22">
        <f>IFERROR(__xludf.DUMMYFUNCTION("""COMPUTED_VALUE"""),0.31750000000000067)</f>
        <v>0.3175</v>
      </c>
      <c r="F7" s="23">
        <f>IFERROR(__xludf.DUMMYFUNCTION("""COMPUTED_VALUE"""),0.9940958605664488)</f>
        <v>0.9940958606</v>
      </c>
      <c r="G7" s="23">
        <f>IFERROR(__xludf.DUMMYFUNCTION("""COMPUTED_VALUE"""),0.8823529411764706)</f>
        <v>0.8823529412</v>
      </c>
      <c r="H7" s="24">
        <f>IFERROR(__xludf.DUMMYFUNCTION("""COMPUTED_VALUE"""),-11.174291938997827)</f>
        <v>-11.17429194</v>
      </c>
      <c r="I7" s="19">
        <f>IFERROR(__xludf.DUMMYFUNCTION("""COMPUTED_VALUE"""),76.96226017288632)</f>
        <v>76.96226017</v>
      </c>
      <c r="J7" s="20">
        <f>IFERROR(__xludf.DUMMYFUNCTION("""COMPUTED_VALUE"""),90.0)</f>
        <v>90</v>
      </c>
      <c r="K7" s="21">
        <f>IFERROR(__xludf.DUMMYFUNCTION("""COMPUTED_VALUE"""),13.037739827113683)</f>
        <v>13.03773983</v>
      </c>
      <c r="L7" s="22">
        <f>IFERROR(__xludf.DUMMYFUNCTION("""COMPUTED_VALUE"""),0.16940432619606016)</f>
        <v>0.1694043262</v>
      </c>
      <c r="M7" s="25">
        <f>IFERROR(__xludf.DUMMYFUNCTION("""COMPUTED_VALUE"""),0.47)</f>
        <v>0.47</v>
      </c>
      <c r="N7" s="23">
        <f>IFERROR(__xludf.DUMMYFUNCTION("""COMPUTED_VALUE"""),0.4444444444444444)</f>
        <v>0.4444444444</v>
      </c>
      <c r="O7" s="26">
        <f>IFERROR(__xludf.DUMMYFUNCTION("""COMPUTED_VALUE"""),-2.5555555555555554)</f>
        <v>-2.555555556</v>
      </c>
      <c r="P7" s="19">
        <f>IFERROR(__xludf.DUMMYFUNCTION("""COMPUTED_VALUE"""),35.04187908496733)</f>
        <v>35.04187908</v>
      </c>
      <c r="Q7" s="20">
        <f>IFERROR(__xludf.DUMMYFUNCTION("""COMPUTED_VALUE"""),40.0)</f>
        <v>40</v>
      </c>
      <c r="R7" s="21">
        <f>IFERROR(__xludf.DUMMYFUNCTION("""COMPUTED_VALUE"""),4.958120915032673)</f>
        <v>4.958120915</v>
      </c>
      <c r="S7" s="27">
        <f>IFERROR(__xludf.DUMMYFUNCTION("""COMPUTED_VALUE"""),0.14149129682830466)</f>
        <v>0.1414912968</v>
      </c>
      <c r="T7" s="23">
        <f>IFERROR(__xludf.DUMMYFUNCTION("""COMPUTED_VALUE"""),0.34)</f>
        <v>0.34</v>
      </c>
      <c r="U7" s="23">
        <f>IFERROR(__xludf.DUMMYFUNCTION("""COMPUTED_VALUE"""),0.275)</f>
        <v>0.275</v>
      </c>
      <c r="V7" s="24">
        <f>IFERROR(__xludf.DUMMYFUNCTION("""COMPUTED_VALUE"""),-6.5)</f>
        <v>-6.5</v>
      </c>
      <c r="W7" s="19">
        <f>IFERROR(__xludf.DUMMYFUNCTION("""COMPUTED_VALUE"""),11.914238888888892)</f>
        <v>11.91423889</v>
      </c>
      <c r="X7" s="20">
        <f>IFERROR(__xludf.DUMMYFUNCTION("""COMPUTED_VALUE"""),11.0)</f>
        <v>11</v>
      </c>
      <c r="Y7" s="21">
        <f>IFERROR(__xludf.DUMMYFUNCTION("""COMPUTED_VALUE"""),-0.9142388888888924)</f>
        <v>-0.9142388889</v>
      </c>
      <c r="Z7" s="28">
        <f>IFERROR(__xludf.DUMMYFUNCTION("""COMPUTED_VALUE"""),-0.07673498050651838)</f>
        <v>-0.07673498051</v>
      </c>
      <c r="AA7" s="19">
        <f>IFERROR(__xludf.DUMMYFUNCTION("""COMPUTED_VALUE"""),32000.0)</f>
        <v>32000</v>
      </c>
      <c r="AB7" s="20">
        <f>IFERROR(__xludf.DUMMYFUNCTION("""COMPUTED_VALUE"""),12583.968184037642)</f>
        <v>12583.96818</v>
      </c>
      <c r="AC7" s="21">
        <f>IFERROR(__xludf.DUMMYFUNCTION("""COMPUTED_VALUE"""),-19416.031815962357)</f>
        <v>-19416.03182</v>
      </c>
      <c r="AD7" s="28">
        <f>IFERROR(__xludf.DUMMYFUNCTION("""COMPUTED_VALUE"""),-0.6067509942488236)</f>
        <v>-0.6067509942</v>
      </c>
      <c r="AE7" s="19">
        <f>IFERROR(__xludf.DUMMYFUNCTION("""COMPUTED_VALUE"""),354669.41750518524)</f>
        <v>354669.4175</v>
      </c>
      <c r="AF7" s="20">
        <f>IFERROR(__xludf.DUMMYFUNCTION("""COMPUTED_VALUE"""),138423.65002441406)</f>
        <v>138423.65</v>
      </c>
      <c r="AG7" s="21">
        <f>IFERROR(__xludf.DUMMYFUNCTION("""COMPUTED_VALUE"""),-216245.76748077117)</f>
        <v>-216245.7675</v>
      </c>
      <c r="AH7" s="29">
        <f>IFERROR(__xludf.DUMMYFUNCTION("""COMPUTED_VALUE"""),-0.6097107808220021)</f>
        <v>-0.6097107808</v>
      </c>
      <c r="AI7" s="30">
        <f>IFERROR(__xludf.DUMMYFUNCTION("""COMPUTED_VALUE"""),66669.78637992853)</f>
        <v>66669.78638</v>
      </c>
      <c r="AJ7" s="30">
        <f>IFERROR(__xludf.DUMMYFUNCTION("""COMPUTED_VALUE"""),-321800.34997558594)</f>
        <v>-321800.35</v>
      </c>
      <c r="AK7" s="4">
        <f>IFERROR(__xludf.DUMMYFUNCTION("""COMPUTED_VALUE"""),10880.0)</f>
        <v>10880</v>
      </c>
      <c r="AL7" s="31">
        <f>IFERROR(__xludf.DUMMYFUNCTION("""COMPUTED_VALUE"""),3460.5912506103514)</f>
        <v>3460.591251</v>
      </c>
      <c r="AM7" s="30">
        <f t="shared" si="1"/>
        <v>-7419.408749</v>
      </c>
      <c r="AN7" s="32">
        <f t="shared" si="2"/>
        <v>-0.6819309512</v>
      </c>
      <c r="AO7" s="12">
        <f t="shared" si="3"/>
        <v>-25024</v>
      </c>
      <c r="AP7" s="12">
        <f t="shared" si="4"/>
        <v>-296776.35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Instagram Tallis")</f>
        <v>Form G4 Instagram Tallis</v>
      </c>
      <c r="B8" s="19">
        <f>IFERROR(__xludf.DUMMYFUNCTION("""COMPUTED_VALUE"""),270.96774193548373)</f>
        <v>270.9677419</v>
      </c>
      <c r="C8" s="20">
        <f>IFERROR(__xludf.DUMMYFUNCTION("""COMPUTED_VALUE"""),379.0)</f>
        <v>379</v>
      </c>
      <c r="D8" s="21">
        <f>IFERROR(__xludf.DUMMYFUNCTION("""COMPUTED_VALUE"""),108.03225806451627)</f>
        <v>108.0322581</v>
      </c>
      <c r="E8" s="22">
        <f>IFERROR(__xludf.DUMMYFUNCTION("""COMPUTED_VALUE"""),0.39869047619047693)</f>
        <v>0.3986904762</v>
      </c>
      <c r="F8" s="23">
        <f>IFERROR(__xludf.DUMMYFUNCTION("""COMPUTED_VALUE"""),0.8420724459024018)</f>
        <v>0.8420724459</v>
      </c>
      <c r="G8" s="23">
        <f>IFERROR(__xludf.DUMMYFUNCTION("""COMPUTED_VALUE"""),0.8443271767810027)</f>
        <v>0.8443271768</v>
      </c>
      <c r="H8" s="24">
        <f>IFERROR(__xludf.DUMMYFUNCTION("""COMPUTED_VALUE"""),0.22547308786008413)</f>
        <v>0.2254730879</v>
      </c>
      <c r="I8" s="19">
        <f>IFERROR(__xludf.DUMMYFUNCTION("""COMPUTED_VALUE"""),228.17446921226357)</f>
        <v>228.1744692</v>
      </c>
      <c r="J8" s="20">
        <f>IFERROR(__xludf.DUMMYFUNCTION("""COMPUTED_VALUE"""),320.0)</f>
        <v>320</v>
      </c>
      <c r="K8" s="21">
        <f>IFERROR(__xludf.DUMMYFUNCTION("""COMPUTED_VALUE"""),91.82553078773643)</f>
        <v>91.82553079</v>
      </c>
      <c r="L8" s="22">
        <f>IFERROR(__xludf.DUMMYFUNCTION("""COMPUTED_VALUE"""),0.40243560598497113)</f>
        <v>0.402435606</v>
      </c>
      <c r="M8" s="25">
        <f>IFERROR(__xludf.DUMMYFUNCTION("""COMPUTED_VALUE"""),0.34)</f>
        <v>0.34</v>
      </c>
      <c r="N8" s="23">
        <f>IFERROR(__xludf.DUMMYFUNCTION("""COMPUTED_VALUE"""),0.4125)</f>
        <v>0.4125</v>
      </c>
      <c r="O8" s="26">
        <f>IFERROR(__xludf.DUMMYFUNCTION("""COMPUTED_VALUE"""),7.249999999999996)</f>
        <v>7.25</v>
      </c>
      <c r="P8" s="19">
        <f>IFERROR(__xludf.DUMMYFUNCTION("""COMPUTED_VALUE"""),75.15496579678938)</f>
        <v>75.1549658</v>
      </c>
      <c r="Q8" s="20">
        <f>IFERROR(__xludf.DUMMYFUNCTION("""COMPUTED_VALUE"""),132.0)</f>
        <v>132</v>
      </c>
      <c r="R8" s="21">
        <f>IFERROR(__xludf.DUMMYFUNCTION("""COMPUTED_VALUE"""),56.845034203210616)</f>
        <v>56.8450342</v>
      </c>
      <c r="S8" s="27">
        <f>IFERROR(__xludf.DUMMYFUNCTION("""COMPUTED_VALUE"""),0.7563709676472108)</f>
        <v>0.7563709676</v>
      </c>
      <c r="T8" s="23">
        <f>IFERROR(__xludf.DUMMYFUNCTION("""COMPUTED_VALUE"""),0.16)</f>
        <v>0.16</v>
      </c>
      <c r="U8" s="23">
        <f>IFERROR(__xludf.DUMMYFUNCTION("""COMPUTED_VALUE"""),0.20454545454545456)</f>
        <v>0.2045454545</v>
      </c>
      <c r="V8" s="24">
        <f>IFERROR(__xludf.DUMMYFUNCTION("""COMPUTED_VALUE"""),4.454545454545455)</f>
        <v>4.454545455</v>
      </c>
      <c r="W8" s="19">
        <f>IFERROR(__xludf.DUMMYFUNCTION("""COMPUTED_VALUE"""),12.024794527486302)</f>
        <v>12.02479453</v>
      </c>
      <c r="X8" s="20">
        <f>IFERROR(__xludf.DUMMYFUNCTION("""COMPUTED_VALUE"""),27.0)</f>
        <v>27</v>
      </c>
      <c r="Y8" s="21">
        <f>IFERROR(__xludf.DUMMYFUNCTION("""COMPUTED_VALUE"""),14.975205472513698)</f>
        <v>14.97520547</v>
      </c>
      <c r="Z8" s="28">
        <f>IFERROR(__xludf.DUMMYFUNCTION("""COMPUTED_VALUE"""),1.245360612048991)</f>
        <v>1.245360612</v>
      </c>
      <c r="AA8" s="19">
        <f>IFERROR(__xludf.DUMMYFUNCTION("""COMPUTED_VALUE"""),26500.0)</f>
        <v>26500</v>
      </c>
      <c r="AB8" s="20">
        <f>IFERROR(__xludf.DUMMYFUNCTION("""COMPUTED_VALUE"""),27333.48148148148)</f>
        <v>27333.48148</v>
      </c>
      <c r="AC8" s="21">
        <f>IFERROR(__xludf.DUMMYFUNCTION("""COMPUTED_VALUE"""),833.4814814814818)</f>
        <v>833.4814815</v>
      </c>
      <c r="AD8" s="28">
        <f>IFERROR(__xludf.DUMMYFUNCTION("""COMPUTED_VALUE"""),0.03145213137665969)</f>
        <v>0.03145213138</v>
      </c>
      <c r="AE8" s="19">
        <f>IFERROR(__xludf.DUMMYFUNCTION("""COMPUTED_VALUE"""),296436.03634456074)</f>
        <v>296436.0363</v>
      </c>
      <c r="AF8" s="20">
        <f>IFERROR(__xludf.DUMMYFUNCTION("""COMPUTED_VALUE"""),738004.0)</f>
        <v>738004</v>
      </c>
      <c r="AG8" s="21">
        <f>IFERROR(__xludf.DUMMYFUNCTION("""COMPUTED_VALUE"""),441567.96365543926)</f>
        <v>441567.9637</v>
      </c>
      <c r="AH8" s="29">
        <f>IFERROR(__xludf.DUMMYFUNCTION("""COMPUTED_VALUE"""),1.4895893532397162)</f>
        <v>1.489589353</v>
      </c>
      <c r="AI8" s="30">
        <f>IFERROR(__xludf.DUMMYFUNCTION("""COMPUTED_VALUE"""),132375.68518360084)</f>
        <v>132375.6852</v>
      </c>
      <c r="AJ8" s="30">
        <f>IFERROR(__xludf.DUMMYFUNCTION("""COMPUTED_VALUE"""),276691.9999999999)</f>
        <v>276692</v>
      </c>
      <c r="AK8" s="4">
        <f>IFERROR(__xludf.DUMMYFUNCTION("""COMPUTED_VALUE"""),4240.0)</f>
        <v>4240</v>
      </c>
      <c r="AL8" s="31">
        <f>IFERROR(__xludf.DUMMYFUNCTION("""COMPUTED_VALUE"""),5590.939393939394)</f>
        <v>5590.939394</v>
      </c>
      <c r="AM8" s="30">
        <f t="shared" si="1"/>
        <v>1350.939394</v>
      </c>
      <c r="AN8" s="32">
        <f t="shared" si="2"/>
        <v>0.3186177816</v>
      </c>
      <c r="AO8" s="12">
        <f t="shared" si="3"/>
        <v>98368</v>
      </c>
      <c r="AP8" s="12">
        <f t="shared" si="4"/>
        <v>178324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Outros - Não Orgânico")</f>
        <v>Form G4 Outros - Não Orgânico</v>
      </c>
      <c r="B9" s="19">
        <f>IFERROR(__xludf.DUMMYFUNCTION("""COMPUTED_VALUE"""),126.1935483870967)</f>
        <v>126.1935484</v>
      </c>
      <c r="C9" s="20">
        <f>IFERROR(__xludf.DUMMYFUNCTION("""COMPUTED_VALUE"""),91.0)</f>
        <v>91</v>
      </c>
      <c r="D9" s="21">
        <f>IFERROR(__xludf.DUMMYFUNCTION("""COMPUTED_VALUE"""),-35.1935483870967)</f>
        <v>-35.19354839</v>
      </c>
      <c r="E9" s="22">
        <f>IFERROR(__xludf.DUMMYFUNCTION("""COMPUTED_VALUE"""),-0.2788854805725967)</f>
        <v>-0.2788854806</v>
      </c>
      <c r="F9" s="23">
        <f>IFERROR(__xludf.DUMMYFUNCTION("""COMPUTED_VALUE"""),0.8547633194692018)</f>
        <v>0.8547633195</v>
      </c>
      <c r="G9" s="23">
        <f>IFERROR(__xludf.DUMMYFUNCTION("""COMPUTED_VALUE"""),0.8131868131868132)</f>
        <v>0.8131868132</v>
      </c>
      <c r="H9" s="24">
        <f>IFERROR(__xludf.DUMMYFUNCTION("""COMPUTED_VALUE"""),-4.157650628238862)</f>
        <v>-4.157650628</v>
      </c>
      <c r="I9" s="19">
        <f>IFERROR(__xludf.DUMMYFUNCTION("""COMPUTED_VALUE"""),107.86561631495212)</f>
        <v>107.8656163</v>
      </c>
      <c r="J9" s="20">
        <f>IFERROR(__xludf.DUMMYFUNCTION("""COMPUTED_VALUE"""),74.0)</f>
        <v>74</v>
      </c>
      <c r="K9" s="21">
        <f>IFERROR(__xludf.DUMMYFUNCTION("""COMPUTED_VALUE"""),-33.86561631495212)</f>
        <v>-33.86561631</v>
      </c>
      <c r="L9" s="22">
        <f>IFERROR(__xludf.DUMMYFUNCTION("""COMPUTED_VALUE"""),-0.3139611812541763)</f>
        <v>-0.3139611813</v>
      </c>
      <c r="M9" s="25">
        <f>IFERROR(__xludf.DUMMYFUNCTION("""COMPUTED_VALUE"""),0.33)</f>
        <v>0.33</v>
      </c>
      <c r="N9" s="23">
        <f>IFERROR(__xludf.DUMMYFUNCTION("""COMPUTED_VALUE"""),0.28378378378378377)</f>
        <v>0.2837837838</v>
      </c>
      <c r="O9" s="26">
        <f>IFERROR(__xludf.DUMMYFUNCTION("""COMPUTED_VALUE"""),-4.621621621621625)</f>
        <v>-4.621621622</v>
      </c>
      <c r="P9" s="19">
        <f>IFERROR(__xludf.DUMMYFUNCTION("""COMPUTED_VALUE"""),34.483289215686284)</f>
        <v>34.48328922</v>
      </c>
      <c r="Q9" s="20">
        <f>IFERROR(__xludf.DUMMYFUNCTION("""COMPUTED_VALUE"""),21.0)</f>
        <v>21</v>
      </c>
      <c r="R9" s="21">
        <f>IFERROR(__xludf.DUMMYFUNCTION("""COMPUTED_VALUE"""),-13.483289215686284)</f>
        <v>-13.48328922</v>
      </c>
      <c r="S9" s="27">
        <f>IFERROR(__xludf.DUMMYFUNCTION("""COMPUTED_VALUE"""),-0.3910093706940462)</f>
        <v>-0.3910093707</v>
      </c>
      <c r="T9" s="23">
        <f>IFERROR(__xludf.DUMMYFUNCTION("""COMPUTED_VALUE"""),0.25)</f>
        <v>0.25</v>
      </c>
      <c r="U9" s="23">
        <f>IFERROR(__xludf.DUMMYFUNCTION("""COMPUTED_VALUE"""),0.0)</f>
        <v>0</v>
      </c>
      <c r="V9" s="24">
        <f>IFERROR(__xludf.DUMMYFUNCTION("""COMPUTED_VALUE"""),-25.0)</f>
        <v>-25</v>
      </c>
      <c r="W9" s="19">
        <f>IFERROR(__xludf.DUMMYFUNCTION("""COMPUTED_VALUE"""),8.620822303921571)</f>
        <v>8.620822304</v>
      </c>
      <c r="X9" s="20">
        <f>IFERROR(__xludf.DUMMYFUNCTION("""COMPUTED_VALUE"""),0.0)</f>
        <v>0</v>
      </c>
      <c r="Y9" s="21">
        <f>IFERROR(__xludf.DUMMYFUNCTION("""COMPUTED_VALUE"""),-8.620822303921571)</f>
        <v>-8.620822304</v>
      </c>
      <c r="Z9" s="28">
        <f>IFERROR(__xludf.DUMMYFUNCTION("""COMPUTED_VALUE"""),-1.0)</f>
        <v>-1</v>
      </c>
      <c r="AA9" s="19">
        <f>IFERROR(__xludf.DUMMYFUNCTION("""COMPUTED_VALUE"""),26000.0)</f>
        <v>26000</v>
      </c>
      <c r="AB9" s="20">
        <f>IFERROR(__xludf.DUMMYFUNCTION("""COMPUTED_VALUE"""),0.0)</f>
        <v>0</v>
      </c>
      <c r="AC9" s="21">
        <f>IFERROR(__xludf.DUMMYFUNCTION("""COMPUTED_VALUE"""),-26000.0)</f>
        <v>-26000</v>
      </c>
      <c r="AD9" s="28">
        <f>IFERROR(__xludf.DUMMYFUNCTION("""COMPUTED_VALUE"""),-1.0)</f>
        <v>-1</v>
      </c>
      <c r="AE9" s="19">
        <f>IFERROR(__xludf.DUMMYFUNCTION("""COMPUTED_VALUE"""),208511.25434346407)</f>
        <v>208511.2543</v>
      </c>
      <c r="AF9" s="20">
        <f>IFERROR(__xludf.DUMMYFUNCTION("""COMPUTED_VALUE"""),0.0)</f>
        <v>0</v>
      </c>
      <c r="AG9" s="21">
        <f>IFERROR(__xludf.DUMMYFUNCTION("""COMPUTED_VALUE"""),-208511.25434346407)</f>
        <v>-208511.2543</v>
      </c>
      <c r="AH9" s="29">
        <f>IFERROR(__xludf.DUMMYFUNCTION("""COMPUTED_VALUE"""),-1.0)</f>
        <v>-1</v>
      </c>
      <c r="AI9" s="30">
        <f>IFERROR(__xludf.DUMMYFUNCTION("""COMPUTED_VALUE"""),-72641.74699557229)</f>
        <v>-72641.747</v>
      </c>
      <c r="AJ9" s="30">
        <f>IFERROR(__xludf.DUMMYFUNCTION("""COMPUTED_VALUE"""),-158730.0)</f>
        <v>-158730</v>
      </c>
      <c r="AK9" s="4">
        <f>IFERROR(__xludf.DUMMYFUNCTION("""COMPUTED_VALUE"""),6500.0)</f>
        <v>6500</v>
      </c>
      <c r="AL9" s="31">
        <f>IFERROR(__xludf.DUMMYFUNCTION("""COMPUTED_VALUE"""),0.0)</f>
        <v>0</v>
      </c>
      <c r="AM9" s="30">
        <f t="shared" si="1"/>
        <v>-6500</v>
      </c>
      <c r="AN9" s="32">
        <f t="shared" si="2"/>
        <v>-1</v>
      </c>
      <c r="AO9" s="12">
        <f t="shared" si="3"/>
        <v>-22230</v>
      </c>
      <c r="AP9" s="12">
        <f t="shared" si="4"/>
        <v>-136500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9">
        <f>IFERROR(__xludf.DUMMYFUNCTION("""COMPUTED_VALUE"""),112.25806451612897)</f>
        <v>112.2580645</v>
      </c>
      <c r="C10" s="20">
        <f>IFERROR(__xludf.DUMMYFUNCTION("""COMPUTED_VALUE"""),229.0)</f>
        <v>229</v>
      </c>
      <c r="D10" s="21">
        <f>IFERROR(__xludf.DUMMYFUNCTION("""COMPUTED_VALUE"""),116.74193548387103)</f>
        <v>116.7419355</v>
      </c>
      <c r="E10" s="22">
        <f>IFERROR(__xludf.DUMMYFUNCTION("""COMPUTED_VALUE"""),1.0399425287356334)</f>
        <v>1.039942529</v>
      </c>
      <c r="F10" s="23">
        <f>IFERROR(__xludf.DUMMYFUNCTION("""COMPUTED_VALUE"""),0.5893855762154737)</f>
        <v>0.5893855762</v>
      </c>
      <c r="G10" s="23">
        <f>IFERROR(__xludf.DUMMYFUNCTION("""COMPUTED_VALUE"""),0.7816593886462883)</f>
        <v>0.7816593886</v>
      </c>
      <c r="H10" s="24">
        <f>IFERROR(__xludf.DUMMYFUNCTION("""COMPUTED_VALUE"""),19.227381243081453)</f>
        <v>19.22738124</v>
      </c>
      <c r="I10" s="19">
        <f>IFERROR(__xludf.DUMMYFUNCTION("""COMPUTED_VALUE"""),66.16328403967249)</f>
        <v>66.16328404</v>
      </c>
      <c r="J10" s="20">
        <f>IFERROR(__xludf.DUMMYFUNCTION("""COMPUTED_VALUE"""),179.0)</f>
        <v>179</v>
      </c>
      <c r="K10" s="21">
        <f>IFERROR(__xludf.DUMMYFUNCTION("""COMPUTED_VALUE"""),112.83671596032751)</f>
        <v>112.836716</v>
      </c>
      <c r="L10" s="22">
        <f>IFERROR(__xludf.DUMMYFUNCTION("""COMPUTED_VALUE"""),1.7054279816683364)</f>
        <v>1.705427982</v>
      </c>
      <c r="M10" s="25">
        <f>IFERROR(__xludf.DUMMYFUNCTION("""COMPUTED_VALUE"""),0.37)</f>
        <v>0.37</v>
      </c>
      <c r="N10" s="23">
        <f>IFERROR(__xludf.DUMMYFUNCTION("""COMPUTED_VALUE"""),0.41899441340782123)</f>
        <v>0.4189944134</v>
      </c>
      <c r="O10" s="26">
        <f>IFERROR(__xludf.DUMMYFUNCTION("""COMPUTED_VALUE"""),4.899441340782124)</f>
        <v>4.899441341</v>
      </c>
      <c r="P10" s="19">
        <f>IFERROR(__xludf.DUMMYFUNCTION("""COMPUTED_VALUE"""),23.715402122970126)</f>
        <v>23.71540212</v>
      </c>
      <c r="Q10" s="20">
        <f>IFERROR(__xludf.DUMMYFUNCTION("""COMPUTED_VALUE"""),75.0)</f>
        <v>75</v>
      </c>
      <c r="R10" s="21">
        <f>IFERROR(__xludf.DUMMYFUNCTION("""COMPUTED_VALUE"""),51.284597877029874)</f>
        <v>51.28459788</v>
      </c>
      <c r="S10" s="27">
        <f>IFERROR(__xludf.DUMMYFUNCTION("""COMPUTED_VALUE"""),2.1625017198151126)</f>
        <v>2.16250172</v>
      </c>
      <c r="T10" s="23">
        <f>IFERROR(__xludf.DUMMYFUNCTION("""COMPUTED_VALUE"""),0.23)</f>
        <v>0.23</v>
      </c>
      <c r="U10" s="23">
        <f>IFERROR(__xludf.DUMMYFUNCTION("""COMPUTED_VALUE"""),0.24)</f>
        <v>0.24</v>
      </c>
      <c r="V10" s="24">
        <f>IFERROR(__xludf.DUMMYFUNCTION("""COMPUTED_VALUE"""),0.9999999999999981)</f>
        <v>1</v>
      </c>
      <c r="W10" s="19">
        <f>IFERROR(__xludf.DUMMYFUNCTION("""COMPUTED_VALUE"""),5.4545424882831295)</f>
        <v>5.454542488</v>
      </c>
      <c r="X10" s="20">
        <f>IFERROR(__xludf.DUMMYFUNCTION("""COMPUTED_VALUE"""),18.0)</f>
        <v>18</v>
      </c>
      <c r="Y10" s="21">
        <f>IFERROR(__xludf.DUMMYFUNCTION("""COMPUTED_VALUE"""),12.54545751171687)</f>
        <v>12.54545751</v>
      </c>
      <c r="Z10" s="28">
        <f>IFERROR(__xludf.DUMMYFUNCTION("""COMPUTED_VALUE"""),2.3000017945896825)</f>
        <v>2.300001795</v>
      </c>
      <c r="AA10" s="19">
        <f>IFERROR(__xludf.DUMMYFUNCTION("""COMPUTED_VALUE"""),24000.0)</f>
        <v>24000</v>
      </c>
      <c r="AB10" s="20">
        <f>IFERROR(__xludf.DUMMYFUNCTION("""COMPUTED_VALUE"""),37306.055555555555)</f>
        <v>37306.05556</v>
      </c>
      <c r="AC10" s="21">
        <f>IFERROR(__xludf.DUMMYFUNCTION("""COMPUTED_VALUE"""),13306.055555555555)</f>
        <v>13306.05556</v>
      </c>
      <c r="AD10" s="28">
        <f>IFERROR(__xludf.DUMMYFUNCTION("""COMPUTED_VALUE"""),0.5544189814814815)</f>
        <v>0.5544189815</v>
      </c>
      <c r="AE10" s="19">
        <f>IFERROR(__xludf.DUMMYFUNCTION("""COMPUTED_VALUE"""),121780.29741040444)</f>
        <v>121780.2974</v>
      </c>
      <c r="AF10" s="20">
        <f>IFERROR(__xludf.DUMMYFUNCTION("""COMPUTED_VALUE"""),671509.0)</f>
        <v>671509</v>
      </c>
      <c r="AG10" s="21">
        <f>IFERROR(__xludf.DUMMYFUNCTION("""COMPUTED_VALUE"""),549728.7025895956)</f>
        <v>549728.7026</v>
      </c>
      <c r="AH10" s="29">
        <f>IFERROR(__xludf.DUMMYFUNCTION("""COMPUTED_VALUE"""),4.514102151820077)</f>
        <v>4.514102152</v>
      </c>
      <c r="AI10" s="30">
        <f>IFERROR(__xludf.DUMMYFUNCTION("""COMPUTED_VALUE"""),230457.7086773729)</f>
        <v>230457.7087</v>
      </c>
      <c r="AJ10" s="30">
        <f>IFERROR(__xludf.DUMMYFUNCTION("""COMPUTED_VALUE"""),305919.4)</f>
        <v>305919.4</v>
      </c>
      <c r="AK10" s="4">
        <f>IFERROR(__xludf.DUMMYFUNCTION("""COMPUTED_VALUE"""),5520.0)</f>
        <v>5520</v>
      </c>
      <c r="AL10" s="31">
        <f>IFERROR(__xludf.DUMMYFUNCTION("""COMPUTED_VALUE"""),8953.453333333333)</f>
        <v>8953.453333</v>
      </c>
      <c r="AM10" s="30">
        <f t="shared" si="1"/>
        <v>3433.453333</v>
      </c>
      <c r="AN10" s="32">
        <f t="shared" si="2"/>
        <v>0.6220024155</v>
      </c>
      <c r="AO10" s="12">
        <f t="shared" si="3"/>
        <v>48410.4</v>
      </c>
      <c r="AP10" s="12">
        <f t="shared" si="4"/>
        <v>257509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IFERROR(__xludf.DUMMYFUNCTION("""COMPUTED_VALUE"""),"[IM] Link de Indicação")</f>
        <v>[IM] Link de Indicação</v>
      </c>
      <c r="B11" s="19">
        <f>IFERROR(__xludf.DUMMYFUNCTION("""COMPUTED_VALUE"""),87.48387096774188)</f>
        <v>87.48387097</v>
      </c>
      <c r="C11" s="20">
        <f>IFERROR(__xludf.DUMMYFUNCTION("""COMPUTED_VALUE"""),95.0)</f>
        <v>95</v>
      </c>
      <c r="D11" s="21">
        <f>IFERROR(__xludf.DUMMYFUNCTION("""COMPUTED_VALUE"""),7.516129032258121)</f>
        <v>7.516129032</v>
      </c>
      <c r="E11" s="22">
        <f>IFERROR(__xludf.DUMMYFUNCTION("""COMPUTED_VALUE"""),0.08591445427728683)</f>
        <v>0.08591445428</v>
      </c>
      <c r="F11" s="23">
        <f>IFERROR(__xludf.DUMMYFUNCTION("""COMPUTED_VALUE"""),0.7720883770996892)</f>
        <v>0.7720883771</v>
      </c>
      <c r="G11" s="23">
        <f>IFERROR(__xludf.DUMMYFUNCTION("""COMPUTED_VALUE"""),0.7894736842105263)</f>
        <v>0.7894736842</v>
      </c>
      <c r="H11" s="24">
        <f>IFERROR(__xludf.DUMMYFUNCTION("""COMPUTED_VALUE"""),1.7385307110837078)</f>
        <v>1.738530711</v>
      </c>
      <c r="I11" s="19">
        <f>IFERROR(__xludf.DUMMYFUNCTION("""COMPUTED_VALUE"""),67.54527995788246)</f>
        <v>67.54527996</v>
      </c>
      <c r="J11" s="20">
        <f>IFERROR(__xludf.DUMMYFUNCTION("""COMPUTED_VALUE"""),75.0)</f>
        <v>75</v>
      </c>
      <c r="K11" s="21">
        <f>IFERROR(__xludf.DUMMYFUNCTION("""COMPUTED_VALUE"""),7.454720042117543)</f>
        <v>7.454720042</v>
      </c>
      <c r="L11" s="22">
        <f>IFERROR(__xludf.DUMMYFUNCTION("""COMPUTED_VALUE"""),0.11036626166574331)</f>
        <v>0.1103662617</v>
      </c>
      <c r="M11" s="25">
        <f>IFERROR(__xludf.DUMMYFUNCTION("""COMPUTED_VALUE"""),0.285)</f>
        <v>0.285</v>
      </c>
      <c r="N11" s="23">
        <f>IFERROR(__xludf.DUMMYFUNCTION("""COMPUTED_VALUE"""),0.16)</f>
        <v>0.16</v>
      </c>
      <c r="O11" s="26">
        <f>IFERROR(__xludf.DUMMYFUNCTION("""COMPUTED_VALUE"""),-12.499999999999996)</f>
        <v>-12.5</v>
      </c>
      <c r="P11" s="19">
        <f>IFERROR(__xludf.DUMMYFUNCTION("""COMPUTED_VALUE"""),18.648829638371623)</f>
        <v>18.64882964</v>
      </c>
      <c r="Q11" s="20">
        <f>IFERROR(__xludf.DUMMYFUNCTION("""COMPUTED_VALUE"""),12.0)</f>
        <v>12</v>
      </c>
      <c r="R11" s="21">
        <f>IFERROR(__xludf.DUMMYFUNCTION("""COMPUTED_VALUE"""),-6.648829638371623)</f>
        <v>-6.648829638</v>
      </c>
      <c r="S11" s="27">
        <f>IFERROR(__xludf.DUMMYFUNCTION("""COMPUTED_VALUE"""),-0.35652798418465176)</f>
        <v>-0.3565279842</v>
      </c>
      <c r="T11" s="23">
        <f>IFERROR(__xludf.DUMMYFUNCTION("""COMPUTED_VALUE"""),0.23)</f>
        <v>0.23</v>
      </c>
      <c r="U11" s="23">
        <f>IFERROR(__xludf.DUMMYFUNCTION("""COMPUTED_VALUE"""),0.3333333333333333)</f>
        <v>0.3333333333</v>
      </c>
      <c r="V11" s="24">
        <f>IFERROR(__xludf.DUMMYFUNCTION("""COMPUTED_VALUE"""),10.33333333333333)</f>
        <v>10.33333333</v>
      </c>
      <c r="W11" s="19">
        <f>IFERROR(__xludf.DUMMYFUNCTION("""COMPUTED_VALUE"""),4.289230816825473)</f>
        <v>4.289230817</v>
      </c>
      <c r="X11" s="20">
        <f>IFERROR(__xludf.DUMMYFUNCTION("""COMPUTED_VALUE"""),4.0)</f>
        <v>4</v>
      </c>
      <c r="Y11" s="21">
        <f>IFERROR(__xludf.DUMMYFUNCTION("""COMPUTED_VALUE"""),-0.2892308168254729)</f>
        <v>-0.2892308168</v>
      </c>
      <c r="Z11" s="28">
        <f>IFERROR(__xludf.DUMMYFUNCTION("""COMPUTED_VALUE"""),-0.06743186113717638)</f>
        <v>-0.06743186114</v>
      </c>
      <c r="AA11" s="19">
        <f>IFERROR(__xludf.DUMMYFUNCTION("""COMPUTED_VALUE"""),24000.0)</f>
        <v>24000</v>
      </c>
      <c r="AB11" s="20">
        <f>IFERROR(__xludf.DUMMYFUNCTION("""COMPUTED_VALUE"""),21373.75)</f>
        <v>21373.75</v>
      </c>
      <c r="AC11" s="21">
        <f>IFERROR(__xludf.DUMMYFUNCTION("""COMPUTED_VALUE"""),-2626.25)</f>
        <v>-2626.25</v>
      </c>
      <c r="AD11" s="28">
        <f>IFERROR(__xludf.DUMMYFUNCTION("""COMPUTED_VALUE"""),-0.10942708333333333)</f>
        <v>-0.1094270833</v>
      </c>
      <c r="AE11" s="19">
        <f>IFERROR(__xludf.DUMMYFUNCTION("""COMPUTED_VALUE"""),95763.08290877224)</f>
        <v>95763.08291</v>
      </c>
      <c r="AF11" s="20">
        <f>IFERROR(__xludf.DUMMYFUNCTION("""COMPUTED_VALUE"""),85495.0)</f>
        <v>85495</v>
      </c>
      <c r="AG11" s="21">
        <f>IFERROR(__xludf.DUMMYFUNCTION("""COMPUTED_VALUE"""),-10268.082908772238)</f>
        <v>-10268.08291</v>
      </c>
      <c r="AH11" s="29">
        <f>IFERROR(__xludf.DUMMYFUNCTION("""COMPUTED_VALUE"""),-0.10722381315307096)</f>
        <v>-0.1072238132</v>
      </c>
      <c r="AI11" s="30">
        <f>IFERROR(__xludf.DUMMYFUNCTION("""COMPUTED_VALUE"""),11727.76557025932)</f>
        <v>11727.76557</v>
      </c>
      <c r="AJ11" s="30">
        <f>IFERROR(__xludf.DUMMYFUNCTION("""COMPUTED_VALUE"""),-32495.000000000015)</f>
        <v>-32495</v>
      </c>
      <c r="AK11" s="4">
        <f>IFERROR(__xludf.DUMMYFUNCTION("""COMPUTED_VALUE"""),5520.000000000001)</f>
        <v>5520</v>
      </c>
      <c r="AL11" s="31">
        <f>IFERROR(__xludf.DUMMYFUNCTION("""COMPUTED_VALUE"""),7124.583333333333)</f>
        <v>7124.583333</v>
      </c>
      <c r="AM11" s="30">
        <f t="shared" si="1"/>
        <v>1604.583333</v>
      </c>
      <c r="AN11" s="32">
        <f t="shared" si="2"/>
        <v>0.2906853865</v>
      </c>
      <c r="AO11" s="12">
        <f t="shared" si="3"/>
        <v>-51750</v>
      </c>
      <c r="AP11" s="12">
        <f t="shared" si="4"/>
        <v>19255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IFERROR(__xludf.DUMMYFUNCTION("""COMPUTED_VALUE"""),"[CM] Form G4 - Instagram")</f>
        <v>[CM] Form G4 - Instagram</v>
      </c>
      <c r="B12" s="19">
        <f>IFERROR(__xludf.DUMMYFUNCTION("""COMPUTED_VALUE"""),61.78064516129028)</f>
        <v>61.78064516</v>
      </c>
      <c r="C12" s="20">
        <f>IFERROR(__xludf.DUMMYFUNCTION("""COMPUTED_VALUE"""),59.0)</f>
        <v>59</v>
      </c>
      <c r="D12" s="21">
        <f>IFERROR(__xludf.DUMMYFUNCTION("""COMPUTED_VALUE"""),-2.7806451612902805)</f>
        <v>-2.780645161</v>
      </c>
      <c r="E12" s="22">
        <f>IFERROR(__xludf.DUMMYFUNCTION("""COMPUTED_VALUE"""),-0.04500835421887989)</f>
        <v>-0.04500835422</v>
      </c>
      <c r="F12" s="23">
        <f>IFERROR(__xludf.DUMMYFUNCTION("""COMPUTED_VALUE"""),0.7)</f>
        <v>0.7</v>
      </c>
      <c r="G12" s="23">
        <f>IFERROR(__xludf.DUMMYFUNCTION("""COMPUTED_VALUE"""),0.8135593220338984)</f>
        <v>0.813559322</v>
      </c>
      <c r="H12" s="24">
        <f>IFERROR(__xludf.DUMMYFUNCTION("""COMPUTED_VALUE"""),11.355932203389841)</f>
        <v>11.3559322</v>
      </c>
      <c r="I12" s="19">
        <f>IFERROR(__xludf.DUMMYFUNCTION("""COMPUTED_VALUE"""),43.24645161290319)</f>
        <v>43.24645161</v>
      </c>
      <c r="J12" s="20">
        <f>IFERROR(__xludf.DUMMYFUNCTION("""COMPUTED_VALUE"""),48.0)</f>
        <v>48</v>
      </c>
      <c r="K12" s="21">
        <f>IFERROR(__xludf.DUMMYFUNCTION("""COMPUTED_VALUE"""),4.7535483870968065)</f>
        <v>4.753548387</v>
      </c>
      <c r="L12" s="22">
        <f>IFERROR(__xludf.DUMMYFUNCTION("""COMPUTED_VALUE"""),0.10991765127103556)</f>
        <v>0.1099176513</v>
      </c>
      <c r="M12" s="25">
        <f>IFERROR(__xludf.DUMMYFUNCTION("""COMPUTED_VALUE"""),0.28)</f>
        <v>0.28</v>
      </c>
      <c r="N12" s="23">
        <f>IFERROR(__xludf.DUMMYFUNCTION("""COMPUTED_VALUE"""),0.1875)</f>
        <v>0.1875</v>
      </c>
      <c r="O12" s="26">
        <f>IFERROR(__xludf.DUMMYFUNCTION("""COMPUTED_VALUE"""),-9.250000000000004)</f>
        <v>-9.25</v>
      </c>
      <c r="P12" s="19">
        <f>IFERROR(__xludf.DUMMYFUNCTION("""COMPUTED_VALUE"""),11.7306)</f>
        <v>11.7306</v>
      </c>
      <c r="Q12" s="20">
        <f>IFERROR(__xludf.DUMMYFUNCTION("""COMPUTED_VALUE"""),9.0)</f>
        <v>9</v>
      </c>
      <c r="R12" s="21">
        <f>IFERROR(__xludf.DUMMYFUNCTION("""COMPUTED_VALUE"""),-2.730600000000001)</f>
        <v>-2.7306</v>
      </c>
      <c r="S12" s="27">
        <f>IFERROR(__xludf.DUMMYFUNCTION("""COMPUTED_VALUE"""),-0.23277581709375486)</f>
        <v>-0.2327758171</v>
      </c>
      <c r="T12" s="23">
        <f>IFERROR(__xludf.DUMMYFUNCTION("""COMPUTED_VALUE"""),0.21)</f>
        <v>0.21</v>
      </c>
      <c r="U12" s="23">
        <f>IFERROR(__xludf.DUMMYFUNCTION("""COMPUTED_VALUE"""),0.0)</f>
        <v>0</v>
      </c>
      <c r="V12" s="24">
        <f>IFERROR(__xludf.DUMMYFUNCTION("""COMPUTED_VALUE"""),-21.0)</f>
        <v>-21</v>
      </c>
      <c r="W12" s="19">
        <f>IFERROR(__xludf.DUMMYFUNCTION("""COMPUTED_VALUE"""),2.463426)</f>
        <v>2.463426</v>
      </c>
      <c r="X12" s="20">
        <f>IFERROR(__xludf.DUMMYFUNCTION("""COMPUTED_VALUE"""),0.0)</f>
        <v>0</v>
      </c>
      <c r="Y12" s="21">
        <f>IFERROR(__xludf.DUMMYFUNCTION("""COMPUTED_VALUE"""),-2.463426)</f>
        <v>-2.463426</v>
      </c>
      <c r="Z12" s="28">
        <f>IFERROR(__xludf.DUMMYFUNCTION("""COMPUTED_VALUE"""),-1.0)</f>
        <v>-1</v>
      </c>
      <c r="AA12" s="19">
        <f>IFERROR(__xludf.DUMMYFUNCTION("""COMPUTED_VALUE"""),40000.0)</f>
        <v>40000</v>
      </c>
      <c r="AB12" s="20">
        <f>IFERROR(__xludf.DUMMYFUNCTION("""COMPUTED_VALUE"""),0.0)</f>
        <v>0</v>
      </c>
      <c r="AC12" s="21">
        <f>IFERROR(__xludf.DUMMYFUNCTION("""COMPUTED_VALUE"""),-40000.0)</f>
        <v>-40000</v>
      </c>
      <c r="AD12" s="28">
        <f>IFERROR(__xludf.DUMMYFUNCTION("""COMPUTED_VALUE"""),-1.0)</f>
        <v>-1</v>
      </c>
      <c r="AE12" s="19">
        <f>IFERROR(__xludf.DUMMYFUNCTION("""COMPUTED_VALUE"""),91665.723744)</f>
        <v>91665.72374</v>
      </c>
      <c r="AF12" s="20">
        <f>IFERROR(__xludf.DUMMYFUNCTION("""COMPUTED_VALUE"""),0.0)</f>
        <v>0</v>
      </c>
      <c r="AG12" s="21">
        <f>IFERROR(__xludf.DUMMYFUNCTION("""COMPUTED_VALUE"""),-91665.723744)</f>
        <v>-91665.72374</v>
      </c>
      <c r="AH12" s="29">
        <f>IFERROR(__xludf.DUMMYFUNCTION("""COMPUTED_VALUE"""),-1.0)</f>
        <v>-1</v>
      </c>
      <c r="AI12" s="30">
        <f>IFERROR(__xludf.DUMMYFUNCTION("""COMPUTED_VALUE"""),11180.34580645169)</f>
        <v>11180.34581</v>
      </c>
      <c r="AJ12" s="30">
        <f>IFERROR(__xludf.DUMMYFUNCTION("""COMPUTED_VALUE"""),-112896.00000000003)</f>
        <v>-112896</v>
      </c>
      <c r="AK12" s="4">
        <f>IFERROR(__xludf.DUMMYFUNCTION("""COMPUTED_VALUE"""),8400.0)</f>
        <v>8400</v>
      </c>
      <c r="AL12" s="31">
        <f>IFERROR(__xludf.DUMMYFUNCTION("""COMPUTED_VALUE"""),0.0)</f>
        <v>0</v>
      </c>
      <c r="AM12" s="30">
        <f t="shared" si="1"/>
        <v>-8400</v>
      </c>
      <c r="AN12" s="32">
        <f t="shared" si="2"/>
        <v>-1</v>
      </c>
      <c r="AO12" s="12">
        <f t="shared" si="3"/>
        <v>-37296</v>
      </c>
      <c r="AP12" s="12">
        <f t="shared" si="4"/>
        <v>-75600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Facebook")</f>
        <v>Form G4 Facebook</v>
      </c>
      <c r="B13" s="19">
        <f>IFERROR(__xludf.DUMMYFUNCTION("""COMPUTED_VALUE"""),139.35483870967732)</f>
        <v>139.3548387</v>
      </c>
      <c r="C13" s="20">
        <f>IFERROR(__xludf.DUMMYFUNCTION("""COMPUTED_VALUE"""),173.0)</f>
        <v>173</v>
      </c>
      <c r="D13" s="21">
        <f>IFERROR(__xludf.DUMMYFUNCTION("""COMPUTED_VALUE"""),33.645161290322676)</f>
        <v>33.64516129</v>
      </c>
      <c r="E13" s="22">
        <f>IFERROR(__xludf.DUMMYFUNCTION("""COMPUTED_VALUE"""),0.24143518518518603)</f>
        <v>0.2414351852</v>
      </c>
      <c r="F13" s="23">
        <f>IFERROR(__xludf.DUMMYFUNCTION("""COMPUTED_VALUE"""),0.7488125590778879)</f>
        <v>0.7488125591</v>
      </c>
      <c r="G13" s="23">
        <f>IFERROR(__xludf.DUMMYFUNCTION("""COMPUTED_VALUE"""),0.6647398843930635)</f>
        <v>0.6647398844</v>
      </c>
      <c r="H13" s="24">
        <f>IFERROR(__xludf.DUMMYFUNCTION("""COMPUTED_VALUE"""),-8.407267468482438)</f>
        <v>-8.407267468</v>
      </c>
      <c r="I13" s="19">
        <f>IFERROR(__xludf.DUMMYFUNCTION("""COMPUTED_VALUE"""),104.35065339407979)</f>
        <v>104.3506534</v>
      </c>
      <c r="J13" s="20">
        <f>IFERROR(__xludf.DUMMYFUNCTION("""COMPUTED_VALUE"""),115.0)</f>
        <v>115</v>
      </c>
      <c r="K13" s="21">
        <f>IFERROR(__xludf.DUMMYFUNCTION("""COMPUTED_VALUE"""),10.649346605920215)</f>
        <v>10.64934661</v>
      </c>
      <c r="L13" s="22">
        <f>IFERROR(__xludf.DUMMYFUNCTION("""COMPUTED_VALUE"""),0.10205347316516557)</f>
        <v>0.1020534732</v>
      </c>
      <c r="M13" s="25">
        <f>IFERROR(__xludf.DUMMYFUNCTION("""COMPUTED_VALUE"""),0.27)</f>
        <v>0.27</v>
      </c>
      <c r="N13" s="23">
        <f>IFERROR(__xludf.DUMMYFUNCTION("""COMPUTED_VALUE"""),0.23478260869565218)</f>
        <v>0.2347826087</v>
      </c>
      <c r="O13" s="26">
        <f>IFERROR(__xludf.DUMMYFUNCTION("""COMPUTED_VALUE"""),-3.521739130434784)</f>
        <v>-3.52173913</v>
      </c>
      <c r="P13" s="19">
        <f>IFERROR(__xludf.DUMMYFUNCTION("""COMPUTED_VALUE"""),27.29421777838902)</f>
        <v>27.29421778</v>
      </c>
      <c r="Q13" s="20">
        <f>IFERROR(__xludf.DUMMYFUNCTION("""COMPUTED_VALUE"""),27.0)</f>
        <v>27</v>
      </c>
      <c r="R13" s="21">
        <f>IFERROR(__xludf.DUMMYFUNCTION("""COMPUTED_VALUE"""),-0.29421777838901875)</f>
        <v>-0.2942177784</v>
      </c>
      <c r="S13" s="27">
        <f>IFERROR(__xludf.DUMMYFUNCTION("""COMPUTED_VALUE"""),-0.01077949112804303)</f>
        <v>-0.01077949113</v>
      </c>
      <c r="T13" s="23">
        <f>IFERROR(__xludf.DUMMYFUNCTION("""COMPUTED_VALUE"""),0.14)</f>
        <v>0.14</v>
      </c>
      <c r="U13" s="23">
        <f>IFERROR(__xludf.DUMMYFUNCTION("""COMPUTED_VALUE"""),0.1111111111111111)</f>
        <v>0.1111111111</v>
      </c>
      <c r="V13" s="24">
        <f>IFERROR(__xludf.DUMMYFUNCTION("""COMPUTED_VALUE"""),-2.888888888888891)</f>
        <v>-2.888888889</v>
      </c>
      <c r="W13" s="19">
        <f>IFERROR(__xludf.DUMMYFUNCTION("""COMPUTED_VALUE"""),3.821190488974463)</f>
        <v>3.821190489</v>
      </c>
      <c r="X13" s="20">
        <f>IFERROR(__xludf.DUMMYFUNCTION("""COMPUTED_VALUE"""),3.0)</f>
        <v>3</v>
      </c>
      <c r="Y13" s="21">
        <f>IFERROR(__xludf.DUMMYFUNCTION("""COMPUTED_VALUE"""),-0.8211904889744628)</f>
        <v>-0.821190489</v>
      </c>
      <c r="Z13" s="28">
        <f>IFERROR(__xludf.DUMMYFUNCTION("""COMPUTED_VALUE"""),-0.21490435803812943)</f>
        <v>-0.214904358</v>
      </c>
      <c r="AA13" s="19">
        <f>IFERROR(__xludf.DUMMYFUNCTION("""COMPUTED_VALUE"""),23000.0)</f>
        <v>23000</v>
      </c>
      <c r="AB13" s="20">
        <f>IFERROR(__xludf.DUMMYFUNCTION("""COMPUTED_VALUE"""),22812.0)</f>
        <v>22812</v>
      </c>
      <c r="AC13" s="21">
        <f>IFERROR(__xludf.DUMMYFUNCTION("""COMPUTED_VALUE"""),-188.0)</f>
        <v>-188</v>
      </c>
      <c r="AD13" s="28">
        <f>IFERROR(__xludf.DUMMYFUNCTION("""COMPUTED_VALUE"""),-0.00817391304347826)</f>
        <v>-0.008173913043</v>
      </c>
      <c r="AE13" s="19">
        <f>IFERROR(__xludf.DUMMYFUNCTION("""COMPUTED_VALUE"""),81758.70119416279)</f>
        <v>81758.70119</v>
      </c>
      <c r="AF13" s="20">
        <f>IFERROR(__xludf.DUMMYFUNCTION("""COMPUTED_VALUE"""),68436.0)</f>
        <v>68436</v>
      </c>
      <c r="AG13" s="21">
        <f>IFERROR(__xludf.DUMMYFUNCTION("""COMPUTED_VALUE"""),-13322.701194162786)</f>
        <v>-13322.70119</v>
      </c>
      <c r="AH13" s="29">
        <f>IFERROR(__xludf.DUMMYFUNCTION("""COMPUTED_VALUE"""),-0.16295147794145692)</f>
        <v>-0.1629514779</v>
      </c>
      <c r="AI13" s="30">
        <f>IFERROR(__xludf.DUMMYFUNCTION("""COMPUTED_VALUE"""),9258.541939187036)</f>
        <v>9258.541939</v>
      </c>
      <c r="AJ13" s="30">
        <f>IFERROR(__xludf.DUMMYFUNCTION("""COMPUTED_VALUE"""),-31545.00000000002)</f>
        <v>-31545</v>
      </c>
      <c r="AK13" s="4">
        <f>IFERROR(__xludf.DUMMYFUNCTION("""COMPUTED_VALUE"""),3220.0)</f>
        <v>3220</v>
      </c>
      <c r="AL13" s="31">
        <f>IFERROR(__xludf.DUMMYFUNCTION("""COMPUTED_VALUE"""),2534.6666666666665)</f>
        <v>2534.666667</v>
      </c>
      <c r="AM13" s="30">
        <f t="shared" si="1"/>
        <v>-685.3333333</v>
      </c>
      <c r="AN13" s="32">
        <f t="shared" si="2"/>
        <v>-0.2128364389</v>
      </c>
      <c r="AO13" s="12">
        <f t="shared" si="3"/>
        <v>-13041</v>
      </c>
      <c r="AP13" s="12">
        <f t="shared" si="4"/>
        <v>-18504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IFERROR(__xludf.DUMMYFUNCTION("""COMPUTED_VALUE"""),"[CM] Form G4 - Outros")</f>
        <v>[CM] Form G4 - Outros</v>
      </c>
      <c r="B14" s="19">
        <f>IFERROR(__xludf.DUMMYFUNCTION("""COMPUTED_VALUE"""),41.18709677419353)</f>
        <v>41.18709677</v>
      </c>
      <c r="C14" s="20">
        <f>IFERROR(__xludf.DUMMYFUNCTION("""COMPUTED_VALUE"""),49.0)</f>
        <v>49</v>
      </c>
      <c r="D14" s="21">
        <f>IFERROR(__xludf.DUMMYFUNCTION("""COMPUTED_VALUE"""),7.812903225806473)</f>
        <v>7.812903226</v>
      </c>
      <c r="E14" s="22">
        <f>IFERROR(__xludf.DUMMYFUNCTION("""COMPUTED_VALUE"""),0.18969298245614097)</f>
        <v>0.1896929825</v>
      </c>
      <c r="F14" s="23">
        <f>IFERROR(__xludf.DUMMYFUNCTION("""COMPUTED_VALUE"""),0.7)</f>
        <v>0.7</v>
      </c>
      <c r="G14" s="23">
        <f>IFERROR(__xludf.DUMMYFUNCTION("""COMPUTED_VALUE"""),0.5918367346938775)</f>
        <v>0.5918367347</v>
      </c>
      <c r="H14" s="24">
        <f>IFERROR(__xludf.DUMMYFUNCTION("""COMPUTED_VALUE"""),-10.81632653061224)</f>
        <v>-10.81632653</v>
      </c>
      <c r="I14" s="19">
        <f>IFERROR(__xludf.DUMMYFUNCTION("""COMPUTED_VALUE"""),28.830967741935467)</f>
        <v>28.83096774</v>
      </c>
      <c r="J14" s="20">
        <f>IFERROR(__xludf.DUMMYFUNCTION("""COMPUTED_VALUE"""),29.0)</f>
        <v>29</v>
      </c>
      <c r="K14" s="21">
        <f>IFERROR(__xludf.DUMMYFUNCTION("""COMPUTED_VALUE"""),0.16903225806453293)</f>
        <v>0.1690322581</v>
      </c>
      <c r="L14" s="22">
        <f>IFERROR(__xludf.DUMMYFUNCTION("""COMPUTED_VALUE"""),0.00586287146437581)</f>
        <v>0.005862871464</v>
      </c>
      <c r="M14" s="25">
        <f>IFERROR(__xludf.DUMMYFUNCTION("""COMPUTED_VALUE"""),0.28)</f>
        <v>0.28</v>
      </c>
      <c r="N14" s="23">
        <f>IFERROR(__xludf.DUMMYFUNCTION("""COMPUTED_VALUE"""),0.41379310344827586)</f>
        <v>0.4137931034</v>
      </c>
      <c r="O14" s="26">
        <f>IFERROR(__xludf.DUMMYFUNCTION("""COMPUTED_VALUE"""),13.379310344827584)</f>
        <v>13.37931034</v>
      </c>
      <c r="P14" s="19">
        <f>IFERROR(__xludf.DUMMYFUNCTION("""COMPUTED_VALUE"""),7.820400000000002)</f>
        <v>7.8204</v>
      </c>
      <c r="Q14" s="20">
        <f>IFERROR(__xludf.DUMMYFUNCTION("""COMPUTED_VALUE"""),12.0)</f>
        <v>12</v>
      </c>
      <c r="R14" s="21">
        <f>IFERROR(__xludf.DUMMYFUNCTION("""COMPUTED_VALUE"""),4.179599999999998)</f>
        <v>4.1796</v>
      </c>
      <c r="S14" s="27">
        <f>IFERROR(__xludf.DUMMYFUNCTION("""COMPUTED_VALUE"""),0.53444836581249)</f>
        <v>0.5344483658</v>
      </c>
      <c r="T14" s="23">
        <f>IFERROR(__xludf.DUMMYFUNCTION("""COMPUTED_VALUE"""),0.21)</f>
        <v>0.21</v>
      </c>
      <c r="U14" s="23">
        <f>IFERROR(__xludf.DUMMYFUNCTION("""COMPUTED_VALUE"""),0.25)</f>
        <v>0.25</v>
      </c>
      <c r="V14" s="24">
        <f>IFERROR(__xludf.DUMMYFUNCTION("""COMPUTED_VALUE"""),4.000000000000001)</f>
        <v>4</v>
      </c>
      <c r="W14" s="19">
        <f>IFERROR(__xludf.DUMMYFUNCTION("""COMPUTED_VALUE"""),1.6422840000000003)</f>
        <v>1.642284</v>
      </c>
      <c r="X14" s="20">
        <f>IFERROR(__xludf.DUMMYFUNCTION("""COMPUTED_VALUE"""),3.0)</f>
        <v>3</v>
      </c>
      <c r="Y14" s="21">
        <f>IFERROR(__xludf.DUMMYFUNCTION("""COMPUTED_VALUE"""),1.3577159999999997)</f>
        <v>1.357716</v>
      </c>
      <c r="Z14" s="28">
        <f>IFERROR(__xludf.DUMMYFUNCTION("""COMPUTED_VALUE"""),0.8267242450148692)</f>
        <v>0.826724245</v>
      </c>
      <c r="AA14" s="19">
        <f>IFERROR(__xludf.DUMMYFUNCTION("""COMPUTED_VALUE"""),40000.0)</f>
        <v>40000</v>
      </c>
      <c r="AB14" s="20">
        <f>IFERROR(__xludf.DUMMYFUNCTION("""COMPUTED_VALUE"""),46266.666666666664)</f>
        <v>46266.66667</v>
      </c>
      <c r="AC14" s="21">
        <f>IFERROR(__xludf.DUMMYFUNCTION("""COMPUTED_VALUE"""),6266.666666666664)</f>
        <v>6266.666667</v>
      </c>
      <c r="AD14" s="28">
        <f>IFERROR(__xludf.DUMMYFUNCTION("""COMPUTED_VALUE"""),0.1566666666666666)</f>
        <v>0.1566666667</v>
      </c>
      <c r="AE14" s="19">
        <f>IFERROR(__xludf.DUMMYFUNCTION("""COMPUTED_VALUE"""),61110.482496000004)</f>
        <v>61110.4825</v>
      </c>
      <c r="AF14" s="20">
        <f>IFERROR(__xludf.DUMMYFUNCTION("""COMPUTED_VALUE"""),138800.0)</f>
        <v>138800</v>
      </c>
      <c r="AG14" s="21">
        <f>IFERROR(__xludf.DUMMYFUNCTION("""COMPUTED_VALUE"""),77689.51750399999)</f>
        <v>77689.5175</v>
      </c>
      <c r="AH14" s="29">
        <f>IFERROR(__xludf.DUMMYFUNCTION("""COMPUTED_VALUE"""),1.2712960907989095)</f>
        <v>1.271296091</v>
      </c>
      <c r="AI14" s="30">
        <f>IFERROR(__xludf.DUMMYFUNCTION("""COMPUTED_VALUE"""),397.56387096778144)</f>
        <v>397.563871</v>
      </c>
      <c r="AJ14" s="30">
        <f>IFERROR(__xludf.DUMMYFUNCTION("""COMPUTED_VALUE"""),70591.99999999999)</f>
        <v>70592</v>
      </c>
      <c r="AK14" s="4">
        <f>IFERROR(__xludf.DUMMYFUNCTION("""COMPUTED_VALUE"""),8400.0)</f>
        <v>8400</v>
      </c>
      <c r="AL14" s="31">
        <f>IFERROR(__xludf.DUMMYFUNCTION("""COMPUTED_VALUE"""),11566.666666666666)</f>
        <v>11566.66667</v>
      </c>
      <c r="AM14" s="30">
        <f t="shared" si="1"/>
        <v>3166.666667</v>
      </c>
      <c r="AN14" s="32">
        <f t="shared" si="2"/>
        <v>0.376984127</v>
      </c>
      <c r="AO14" s="12">
        <f t="shared" si="3"/>
        <v>32592</v>
      </c>
      <c r="AP14" s="12">
        <f t="shared" si="4"/>
        <v>38000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IFERROR(__xludf.DUMMYFUNCTION("""COMPUTED_VALUE"""),"Aplicativo G4 - Indicação")</f>
        <v>Aplicativo G4 - Indicação</v>
      </c>
      <c r="B15" s="19">
        <f>IFERROR(__xludf.DUMMYFUNCTION("""COMPUTED_VALUE"""),125.41935483870961)</f>
        <v>125.4193548</v>
      </c>
      <c r="C15" s="20">
        <f>IFERROR(__xludf.DUMMYFUNCTION("""COMPUTED_VALUE"""),326.0)</f>
        <v>326</v>
      </c>
      <c r="D15" s="21">
        <f>IFERROR(__xludf.DUMMYFUNCTION("""COMPUTED_VALUE"""),200.5806451612904)</f>
        <v>200.5806452</v>
      </c>
      <c r="E15" s="22">
        <f>IFERROR(__xludf.DUMMYFUNCTION("""COMPUTED_VALUE"""),1.5992798353909479)</f>
        <v>1.599279835</v>
      </c>
      <c r="F15" s="23">
        <f>IFERROR(__xludf.DUMMYFUNCTION("""COMPUTED_VALUE"""),0.6697217630478434)</f>
        <v>0.669721763</v>
      </c>
      <c r="G15" s="23">
        <f>IFERROR(__xludf.DUMMYFUNCTION("""COMPUTED_VALUE"""),0.8834355828220859)</f>
        <v>0.8834355828</v>
      </c>
      <c r="H15" s="24">
        <f>IFERROR(__xludf.DUMMYFUNCTION("""COMPUTED_VALUE"""),21.371381977424253)</f>
        <v>21.37138198</v>
      </c>
      <c r="I15" s="19">
        <f>IFERROR(__xludf.DUMMYFUNCTION("""COMPUTED_VALUE"""),83.99607144290366)</f>
        <v>83.99607144</v>
      </c>
      <c r="J15" s="20">
        <f>IFERROR(__xludf.DUMMYFUNCTION("""COMPUTED_VALUE"""),288.0)</f>
        <v>288</v>
      </c>
      <c r="K15" s="21">
        <f>IFERROR(__xludf.DUMMYFUNCTION("""COMPUTED_VALUE"""),204.00392855709634)</f>
        <v>204.0039286</v>
      </c>
      <c r="L15" s="22">
        <f>IFERROR(__xludf.DUMMYFUNCTION("""COMPUTED_VALUE"""),2.4287317853403185)</f>
        <v>2.428731785</v>
      </c>
      <c r="M15" s="25">
        <f>IFERROR(__xludf.DUMMYFUNCTION("""COMPUTED_VALUE"""),0.21)</f>
        <v>0.21</v>
      </c>
      <c r="N15" s="23">
        <f>IFERROR(__xludf.DUMMYFUNCTION("""COMPUTED_VALUE"""),0.04513888888888889)</f>
        <v>0.04513888889</v>
      </c>
      <c r="O15" s="26">
        <f>IFERROR(__xludf.DUMMYFUNCTION("""COMPUTED_VALUE"""),-16.48611111111111)</f>
        <v>-16.48611111</v>
      </c>
      <c r="P15" s="19">
        <f>IFERROR(__xludf.DUMMYFUNCTION("""COMPUTED_VALUE"""),17.087950784165724)</f>
        <v>17.08795078</v>
      </c>
      <c r="Q15" s="20">
        <f>IFERROR(__xludf.DUMMYFUNCTION("""COMPUTED_VALUE"""),13.0)</f>
        <v>13</v>
      </c>
      <c r="R15" s="21">
        <f>IFERROR(__xludf.DUMMYFUNCTION("""COMPUTED_VALUE"""),-4.087950784165724)</f>
        <v>-4.087950784</v>
      </c>
      <c r="S15" s="27">
        <f>IFERROR(__xludf.DUMMYFUNCTION("""COMPUTED_VALUE"""),-0.23923001861368642)</f>
        <v>-0.2392300186</v>
      </c>
      <c r="T15" s="23">
        <f>IFERROR(__xludf.DUMMYFUNCTION("""COMPUTED_VALUE"""),0.13)</f>
        <v>0.13</v>
      </c>
      <c r="U15" s="23">
        <f>IFERROR(__xludf.DUMMYFUNCTION("""COMPUTED_VALUE"""),0.07692307692307693)</f>
        <v>0.07692307692</v>
      </c>
      <c r="V15" s="24">
        <f>IFERROR(__xludf.DUMMYFUNCTION("""COMPUTED_VALUE"""),-5.3076923076923075)</f>
        <v>-5.307692308</v>
      </c>
      <c r="W15" s="19">
        <f>IFERROR(__xludf.DUMMYFUNCTION("""COMPUTED_VALUE"""),2.2214336019415444)</f>
        <v>2.221433602</v>
      </c>
      <c r="X15" s="20">
        <f>IFERROR(__xludf.DUMMYFUNCTION("""COMPUTED_VALUE"""),1.0)</f>
        <v>1</v>
      </c>
      <c r="Y15" s="21">
        <f>IFERROR(__xludf.DUMMYFUNCTION("""COMPUTED_VALUE"""),-1.2214336019415444)</f>
        <v>-1.221433602</v>
      </c>
      <c r="Z15" s="28">
        <f>IFERROR(__xludf.DUMMYFUNCTION("""COMPUTED_VALUE"""),-0.5498402477004062)</f>
        <v>-0.5498402477</v>
      </c>
      <c r="AA15" s="19">
        <f>IFERROR(__xludf.DUMMYFUNCTION("""COMPUTED_VALUE"""),29000.0)</f>
        <v>29000</v>
      </c>
      <c r="AB15" s="20">
        <f>IFERROR(__xludf.DUMMYFUNCTION("""COMPUTED_VALUE"""),11223.0)</f>
        <v>11223</v>
      </c>
      <c r="AC15" s="21">
        <f>IFERROR(__xludf.DUMMYFUNCTION("""COMPUTED_VALUE"""),-17777.0)</f>
        <v>-17777</v>
      </c>
      <c r="AD15" s="28">
        <f>IFERROR(__xludf.DUMMYFUNCTION("""COMPUTED_VALUE"""),-0.613)</f>
        <v>-0.613</v>
      </c>
      <c r="AE15" s="19">
        <f>IFERROR(__xludf.DUMMYFUNCTION("""COMPUTED_VALUE"""),59929.24333088512)</f>
        <v>59929.24333</v>
      </c>
      <c r="AF15" s="20">
        <f>IFERROR(__xludf.DUMMYFUNCTION("""COMPUTED_VALUE"""),11223.0)</f>
        <v>11223</v>
      </c>
      <c r="AG15" s="21">
        <f>IFERROR(__xludf.DUMMYFUNCTION("""COMPUTED_VALUE"""),-48706.24333088512)</f>
        <v>-48706.24333</v>
      </c>
      <c r="AH15" s="29">
        <f>IFERROR(__xludf.DUMMYFUNCTION("""COMPUTED_VALUE"""),-0.8127291556471877)</f>
        <v>-0.8127291556</v>
      </c>
      <c r="AI15" s="30">
        <f>IFERROR(__xludf.DUMMYFUNCTION("""COMPUTED_VALUE"""),161509.91023865316)</f>
        <v>161509.9102</v>
      </c>
      <c r="AJ15" s="30">
        <f>IFERROR(__xludf.DUMMYFUNCTION("""COMPUTED_VALUE"""),-216786.59999999998)</f>
        <v>-216786.6</v>
      </c>
      <c r="AK15" s="4">
        <f>IFERROR(__xludf.DUMMYFUNCTION("""COMPUTED_VALUE"""),3770.0)</f>
        <v>3770</v>
      </c>
      <c r="AL15" s="31">
        <f>IFERROR(__xludf.DUMMYFUNCTION("""COMPUTED_VALUE"""),863.3076923076923)</f>
        <v>863.3076923</v>
      </c>
      <c r="AM15" s="30">
        <f t="shared" si="1"/>
        <v>-2906.692308</v>
      </c>
      <c r="AN15" s="32">
        <f t="shared" si="2"/>
        <v>-0.7710059172</v>
      </c>
      <c r="AO15" s="12">
        <f t="shared" si="3"/>
        <v>-178999.6</v>
      </c>
      <c r="AP15" s="12">
        <f t="shared" si="4"/>
        <v>-37787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IFERROR(__xludf.DUMMYFUNCTION("""COMPUTED_VALUE"""),"[SKL] CRM - WhatsApp")</f>
        <v>[SKL] CRM - WhatsApp</v>
      </c>
      <c r="B16" s="19"/>
      <c r="C16" s="20">
        <f>IFERROR(__xludf.DUMMYFUNCTION("""COMPUTED_VALUE"""),0.0)</f>
        <v>0</v>
      </c>
      <c r="D16" s="21">
        <f>IFERROR(__xludf.DUMMYFUNCTION("""COMPUTED_VALUE"""),0.0)</f>
        <v>0</v>
      </c>
      <c r="E16" s="22" t="str">
        <f>IFERROR(__xludf.DUMMYFUNCTION("""COMPUTED_VALUE"""),"")</f>
        <v/>
      </c>
      <c r="F16" s="23"/>
      <c r="G16" s="23" t="str">
        <f>IFERROR(__xludf.DUMMYFUNCTION("""COMPUTED_VALUE"""),"")</f>
        <v/>
      </c>
      <c r="H16" s="24" t="str">
        <f>IFERROR(__xludf.DUMMYFUNCTION("""COMPUTED_VALUE"""),"")</f>
        <v/>
      </c>
      <c r="I16" s="19"/>
      <c r="J16" s="20">
        <f>IFERROR(__xludf.DUMMYFUNCTION("""COMPUTED_VALUE"""),0.0)</f>
        <v>0</v>
      </c>
      <c r="K16" s="21">
        <f>IFERROR(__xludf.DUMMYFUNCTION("""COMPUTED_VALUE"""),0.0)</f>
        <v>0</v>
      </c>
      <c r="L16" s="22" t="str">
        <f>IFERROR(__xludf.DUMMYFUNCTION("""COMPUTED_VALUE"""),"")</f>
        <v/>
      </c>
      <c r="M16" s="25"/>
      <c r="N16" s="23" t="str">
        <f>IFERROR(__xludf.DUMMYFUNCTION("""COMPUTED_VALUE"""),"")</f>
        <v/>
      </c>
      <c r="O16" s="26" t="str">
        <f>IFERROR(__xludf.DUMMYFUNCTION("""COMPUTED_VALUE"""),"")</f>
        <v/>
      </c>
      <c r="P16" s="19"/>
      <c r="Q16" s="20">
        <f>IFERROR(__xludf.DUMMYFUNCTION("""COMPUTED_VALUE"""),1.0)</f>
        <v>1</v>
      </c>
      <c r="R16" s="21">
        <f>IFERROR(__xludf.DUMMYFUNCTION("""COMPUTED_VALUE"""),1.0)</f>
        <v>1</v>
      </c>
      <c r="S16" s="27" t="str">
        <f>IFERROR(__xludf.DUMMYFUNCTION("""COMPUTED_VALUE"""),"")</f>
        <v/>
      </c>
      <c r="T16" s="23"/>
      <c r="U16" s="23">
        <f>IFERROR(__xludf.DUMMYFUNCTION("""COMPUTED_VALUE"""),1.0)</f>
        <v>1</v>
      </c>
      <c r="V16" s="24" t="str">
        <f>IFERROR(__xludf.DUMMYFUNCTION("""COMPUTED_VALUE"""),"")</f>
        <v/>
      </c>
      <c r="W16" s="19"/>
      <c r="X16" s="20">
        <f>IFERROR(__xludf.DUMMYFUNCTION("""COMPUTED_VALUE"""),1.0)</f>
        <v>1</v>
      </c>
      <c r="Y16" s="21">
        <f>IFERROR(__xludf.DUMMYFUNCTION("""COMPUTED_VALUE"""),1.0)</f>
        <v>1</v>
      </c>
      <c r="Z16" s="28" t="str">
        <f>IFERROR(__xludf.DUMMYFUNCTION("""COMPUTED_VALUE"""),"")</f>
        <v/>
      </c>
      <c r="AA16" s="19"/>
      <c r="AB16" s="20">
        <f>IFERROR(__xludf.DUMMYFUNCTION("""COMPUTED_VALUE"""),14900.0)</f>
        <v>14900</v>
      </c>
      <c r="AC16" s="21">
        <f>IFERROR(__xludf.DUMMYFUNCTION("""COMPUTED_VALUE"""),14900.0)</f>
        <v>14900</v>
      </c>
      <c r="AD16" s="28" t="str">
        <f>IFERROR(__xludf.DUMMYFUNCTION("""COMPUTED_VALUE"""),"")</f>
        <v/>
      </c>
      <c r="AE16" s="19"/>
      <c r="AF16" s="20">
        <f>IFERROR(__xludf.DUMMYFUNCTION("""COMPUTED_VALUE"""),14900.0)</f>
        <v>14900</v>
      </c>
      <c r="AG16" s="21">
        <f>IFERROR(__xludf.DUMMYFUNCTION("""COMPUTED_VALUE"""),14900.0)</f>
        <v>14900</v>
      </c>
      <c r="AH16" s="29" t="str">
        <f>IFERROR(__xludf.DUMMYFUNCTION("""COMPUTED_VALUE"""),"")</f>
        <v/>
      </c>
      <c r="AI16" s="30">
        <f>IFERROR(__xludf.DUMMYFUNCTION("""COMPUTED_VALUE"""),0.0)</f>
        <v>0</v>
      </c>
      <c r="AJ16" s="30">
        <f>IFERROR(__xludf.DUMMYFUNCTION("""COMPUTED_VALUE"""),0.0)</f>
        <v>0</v>
      </c>
      <c r="AK16" s="4"/>
      <c r="AL16" s="31">
        <f>IFERROR(__xludf.DUMMYFUNCTION("""COMPUTED_VALUE"""),14900.0)</f>
        <v>14900</v>
      </c>
      <c r="AM16" s="30">
        <f t="shared" si="1"/>
        <v>14900</v>
      </c>
      <c r="AN16" s="32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G4 - K Instagram")</f>
        <v>Form G4 - K Instagram</v>
      </c>
      <c r="B17" s="19"/>
      <c r="C17" s="20">
        <f>IFERROR(__xludf.DUMMYFUNCTION("""COMPUTED_VALUE"""),0.0)</f>
        <v>0</v>
      </c>
      <c r="D17" s="21">
        <f>IFERROR(__xludf.DUMMYFUNCTION("""COMPUTED_VALUE"""),0.0)</f>
        <v>0</v>
      </c>
      <c r="E17" s="22" t="str">
        <f>IFERROR(__xludf.DUMMYFUNCTION("""COMPUTED_VALUE"""),"")</f>
        <v/>
      </c>
      <c r="F17" s="23"/>
      <c r="G17" s="23" t="str">
        <f>IFERROR(__xludf.DUMMYFUNCTION("""COMPUTED_VALUE"""),"")</f>
        <v/>
      </c>
      <c r="H17" s="24" t="str">
        <f>IFERROR(__xludf.DUMMYFUNCTION("""COMPUTED_VALUE"""),"")</f>
        <v/>
      </c>
      <c r="I17" s="19"/>
      <c r="J17" s="20">
        <f>IFERROR(__xludf.DUMMYFUNCTION("""COMPUTED_VALUE"""),0.0)</f>
        <v>0</v>
      </c>
      <c r="K17" s="21">
        <f>IFERROR(__xludf.DUMMYFUNCTION("""COMPUTED_VALUE"""),0.0)</f>
        <v>0</v>
      </c>
      <c r="L17" s="22" t="str">
        <f>IFERROR(__xludf.DUMMYFUNCTION("""COMPUTED_VALUE"""),"")</f>
        <v/>
      </c>
      <c r="M17" s="25"/>
      <c r="N17" s="23" t="str">
        <f>IFERROR(__xludf.DUMMYFUNCTION("""COMPUTED_VALUE"""),"")</f>
        <v/>
      </c>
      <c r="O17" s="26" t="str">
        <f>IFERROR(__xludf.DUMMYFUNCTION("""COMPUTED_VALUE"""),"")</f>
        <v/>
      </c>
      <c r="P17" s="19"/>
      <c r="Q17" s="20">
        <f>IFERROR(__xludf.DUMMYFUNCTION("""COMPUTED_VALUE"""),0.0)</f>
        <v>0</v>
      </c>
      <c r="R17" s="21">
        <f>IFERROR(__xludf.DUMMYFUNCTION("""COMPUTED_VALUE"""),0.0)</f>
        <v>0</v>
      </c>
      <c r="S17" s="27" t="str">
        <f>IFERROR(__xludf.DUMMYFUNCTION("""COMPUTED_VALUE"""),"")</f>
        <v/>
      </c>
      <c r="T17" s="23"/>
      <c r="U17" s="23" t="str">
        <f>IFERROR(__xludf.DUMMYFUNCTION("""COMPUTED_VALUE"""),"")</f>
        <v/>
      </c>
      <c r="V17" s="24" t="str">
        <f>IFERROR(__xludf.DUMMYFUNCTION("""COMPUTED_VALUE"""),"")</f>
        <v/>
      </c>
      <c r="W17" s="19"/>
      <c r="X17" s="20">
        <f>IFERROR(__xludf.DUMMYFUNCTION("""COMPUTED_VALUE"""),1.0)</f>
        <v>1</v>
      </c>
      <c r="Y17" s="21">
        <f>IFERROR(__xludf.DUMMYFUNCTION("""COMPUTED_VALUE"""),1.0)</f>
        <v>1</v>
      </c>
      <c r="Z17" s="28" t="str">
        <f>IFERROR(__xludf.DUMMYFUNCTION("""COMPUTED_VALUE"""),"")</f>
        <v/>
      </c>
      <c r="AA17" s="19"/>
      <c r="AB17" s="20">
        <f>IFERROR(__xludf.DUMMYFUNCTION("""COMPUTED_VALUE"""),14900.0)</f>
        <v>14900</v>
      </c>
      <c r="AC17" s="21">
        <f>IFERROR(__xludf.DUMMYFUNCTION("""COMPUTED_VALUE"""),14900.0)</f>
        <v>14900</v>
      </c>
      <c r="AD17" s="28" t="str">
        <f>IFERROR(__xludf.DUMMYFUNCTION("""COMPUTED_VALUE"""),"")</f>
        <v/>
      </c>
      <c r="AE17" s="19"/>
      <c r="AF17" s="20">
        <f>IFERROR(__xludf.DUMMYFUNCTION("""COMPUTED_VALUE"""),14900.0)</f>
        <v>14900</v>
      </c>
      <c r="AG17" s="21">
        <f>IFERROR(__xludf.DUMMYFUNCTION("""COMPUTED_VALUE"""),14900.0)</f>
        <v>14900</v>
      </c>
      <c r="AH17" s="29" t="str">
        <f>IFERROR(__xludf.DUMMYFUNCTION("""COMPUTED_VALUE"""),"")</f>
        <v/>
      </c>
      <c r="AI17" s="30">
        <f>IFERROR(__xludf.DUMMYFUNCTION("""COMPUTED_VALUE"""),0.0)</f>
        <v>0</v>
      </c>
      <c r="AJ17" s="30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IFERROR(__xludf.DUMMYFUNCTION("""COMPUTED_VALUE"""),"Form G4 Incompleto Instagram")</f>
        <v>Form G4 Incompleto Instagram</v>
      </c>
      <c r="B18" s="19"/>
      <c r="C18" s="20">
        <f>IFERROR(__xludf.DUMMYFUNCTION("""COMPUTED_VALUE"""),0.0)</f>
        <v>0</v>
      </c>
      <c r="D18" s="21">
        <f>IFERROR(__xludf.DUMMYFUNCTION("""COMPUTED_VALUE"""),0.0)</f>
        <v>0</v>
      </c>
      <c r="E18" s="22" t="str">
        <f>IFERROR(__xludf.DUMMYFUNCTION("""COMPUTED_VALUE"""),"")</f>
        <v/>
      </c>
      <c r="F18" s="23"/>
      <c r="G18" s="23" t="str">
        <f>IFERROR(__xludf.DUMMYFUNCTION("""COMPUTED_VALUE"""),"")</f>
        <v/>
      </c>
      <c r="H18" s="24" t="str">
        <f>IFERROR(__xludf.DUMMYFUNCTION("""COMPUTED_VALUE"""),"")</f>
        <v/>
      </c>
      <c r="I18" s="19"/>
      <c r="J18" s="20">
        <f>IFERROR(__xludf.DUMMYFUNCTION("""COMPUTED_VALUE"""),0.0)</f>
        <v>0</v>
      </c>
      <c r="K18" s="21">
        <f>IFERROR(__xludf.DUMMYFUNCTION("""COMPUTED_VALUE"""),0.0)</f>
        <v>0</v>
      </c>
      <c r="L18" s="22" t="str">
        <f>IFERROR(__xludf.DUMMYFUNCTION("""COMPUTED_VALUE"""),"")</f>
        <v/>
      </c>
      <c r="M18" s="25"/>
      <c r="N18" s="23" t="str">
        <f>IFERROR(__xludf.DUMMYFUNCTION("""COMPUTED_VALUE"""),"")</f>
        <v/>
      </c>
      <c r="O18" s="26" t="str">
        <f>IFERROR(__xludf.DUMMYFUNCTION("""COMPUTED_VALUE"""),"")</f>
        <v/>
      </c>
      <c r="P18" s="19"/>
      <c r="Q18" s="20">
        <f>IFERROR(__xludf.DUMMYFUNCTION("""COMPUTED_VALUE"""),1.0)</f>
        <v>1</v>
      </c>
      <c r="R18" s="21">
        <f>IFERROR(__xludf.DUMMYFUNCTION("""COMPUTED_VALUE"""),1.0)</f>
        <v>1</v>
      </c>
      <c r="S18" s="27" t="str">
        <f>IFERROR(__xludf.DUMMYFUNCTION("""COMPUTED_VALUE"""),"")</f>
        <v/>
      </c>
      <c r="T18" s="23"/>
      <c r="U18" s="23">
        <f>IFERROR(__xludf.DUMMYFUNCTION("""COMPUTED_VALUE"""),0.0)</f>
        <v>0</v>
      </c>
      <c r="V18" s="24" t="str">
        <f>IFERROR(__xludf.DUMMYFUNCTION("""COMPUTED_VALUE"""),"")</f>
        <v/>
      </c>
      <c r="W18" s="19"/>
      <c r="X18" s="20">
        <f>IFERROR(__xludf.DUMMYFUNCTION("""COMPUTED_VALUE"""),0.0)</f>
        <v>0</v>
      </c>
      <c r="Y18" s="21">
        <f>IFERROR(__xludf.DUMMYFUNCTION("""COMPUTED_VALUE"""),0.0)</f>
        <v>0</v>
      </c>
      <c r="Z18" s="28" t="str">
        <f>IFERROR(__xludf.DUMMYFUNCTION("""COMPUTED_VALUE"""),"")</f>
        <v/>
      </c>
      <c r="AA18" s="19"/>
      <c r="AB18" s="20">
        <f>IFERROR(__xludf.DUMMYFUNCTION("""COMPUTED_VALUE"""),0.0)</f>
        <v>0</v>
      </c>
      <c r="AC18" s="21">
        <f>IFERROR(__xludf.DUMMYFUNCTION("""COMPUTED_VALUE"""),0.0)</f>
        <v>0</v>
      </c>
      <c r="AD18" s="28" t="str">
        <f>IFERROR(__xludf.DUMMYFUNCTION("""COMPUTED_VALUE"""),"")</f>
        <v/>
      </c>
      <c r="AE18" s="19"/>
      <c r="AF18" s="20">
        <f>IFERROR(__xludf.DUMMYFUNCTION("""COMPUTED_VALUE"""),0.0)</f>
        <v>0</v>
      </c>
      <c r="AG18" s="21">
        <f>IFERROR(__xludf.DUMMYFUNCTION("""COMPUTED_VALUE"""),0.0)</f>
        <v>0</v>
      </c>
      <c r="AH18" s="29" t="str">
        <f>IFERROR(__xludf.DUMMYFUNCTION("""COMPUTED_VALUE"""),"")</f>
        <v/>
      </c>
      <c r="AI18" s="30">
        <f>IFERROR(__xludf.DUMMYFUNCTION("""COMPUTED_VALUE"""),0.0)</f>
        <v>0</v>
      </c>
      <c r="AJ18" s="30">
        <f>IFERROR(__xludf.DUMMYFUNCTION("""COMPUTED_VALUE"""),0.0)</f>
        <v>0</v>
      </c>
      <c r="AK18" s="4"/>
      <c r="AL18" s="4">
        <f>IFERROR(__xludf.DUMMYFUNCTION("""COMPUTED_VALUE"""),0.0)</f>
        <v>0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IFERROR(__xludf.DUMMYFUNCTION("""COMPUTED_VALUE"""),603.8709677419351)</f>
        <v>603.8709677</v>
      </c>
      <c r="C2" s="11">
        <f>IFERROR(__xludf.DUMMYFUNCTION("""COMPUTED_VALUE"""),718.0)</f>
        <v>718</v>
      </c>
      <c r="D2" s="11">
        <f>IFERROR(__xludf.DUMMYFUNCTION("""COMPUTED_VALUE"""),114.12903225806485)</f>
        <v>114.1290323</v>
      </c>
      <c r="E2" s="10">
        <f>IFERROR(__xludf.DUMMYFUNCTION("""COMPUTED_VALUE"""),0.18899572649572716)</f>
        <v>0.1889957265</v>
      </c>
      <c r="F2" s="10">
        <f>IFERROR(__xludf.DUMMYFUNCTION("""COMPUTED_VALUE"""),0.8603277999463558)</f>
        <v>0.8603277999</v>
      </c>
      <c r="G2" s="10">
        <f>IFERROR(__xludf.DUMMYFUNCTION("""COMPUTED_VALUE"""),0.7646239554317549)</f>
        <v>0.7646239554</v>
      </c>
      <c r="H2" s="36">
        <f>IFERROR(__xludf.DUMMYFUNCTION("""COMPUTED_VALUE"""),-9.57038445146009)</f>
        <v>-9.570384451</v>
      </c>
      <c r="I2" s="11">
        <f>IFERROR(__xludf.DUMMYFUNCTION("""COMPUTED_VALUE"""),519.5269811288958)</f>
        <v>519.5269811</v>
      </c>
      <c r="J2" s="11">
        <f>IFERROR(__xludf.DUMMYFUNCTION("""COMPUTED_VALUE"""),549.0)</f>
        <v>549</v>
      </c>
      <c r="K2" s="11">
        <f>IFERROR(__xludf.DUMMYFUNCTION("""COMPUTED_VALUE"""),29.47301887110416)</f>
        <v>29.47301887</v>
      </c>
      <c r="L2" s="10">
        <f>IFERROR(__xludf.DUMMYFUNCTION("""COMPUTED_VALUE"""),0.0567304874273543)</f>
        <v>0.05673048743</v>
      </c>
      <c r="M2" s="10">
        <f>IFERROR(__xludf.DUMMYFUNCTION("""COMPUTED_VALUE"""),0.2712500000000002)</f>
        <v>0.27125</v>
      </c>
      <c r="N2" s="10">
        <f>IFERROR(__xludf.DUMMYFUNCTION("""COMPUTED_VALUE"""),0.2641165755919854)</f>
        <v>0.2641165756</v>
      </c>
      <c r="O2" s="36">
        <f>IFERROR(__xludf.DUMMYFUNCTION("""COMPUTED_VALUE"""),-0.7133424408014788)</f>
        <v>-0.7133424408</v>
      </c>
      <c r="P2" s="11">
        <f>IFERROR(__xludf.DUMMYFUNCTION("""COMPUTED_VALUE"""),140.92169363121312)</f>
        <v>140.9216936</v>
      </c>
      <c r="Q2" s="11">
        <f>IFERROR(__xludf.DUMMYFUNCTION("""COMPUTED_VALUE"""),145.0)</f>
        <v>145</v>
      </c>
      <c r="R2" s="11">
        <f>IFERROR(__xludf.DUMMYFUNCTION("""COMPUTED_VALUE"""),4.078306368786883)</f>
        <v>4.078306369</v>
      </c>
      <c r="S2" s="10">
        <f>IFERROR(__xludf.DUMMYFUNCTION("""COMPUTED_VALUE"""),0.028940231015528815)</f>
        <v>0.02894023102</v>
      </c>
      <c r="T2" s="11">
        <f>IFERROR(__xludf.DUMMYFUNCTION("""COMPUTED_VALUE"""),647608.0857249293)</f>
        <v>647608.0857</v>
      </c>
      <c r="U2" s="15">
        <f>IFERROR(__xludf.DUMMYFUNCTION("""COMPUTED_VALUE"""),4940.0)</f>
        <v>4940</v>
      </c>
      <c r="V2" s="15">
        <f>IFERROR(__xludf.DUMMYFUNCTION("""COMPUTED_VALUE"""),145596.71322325454)</f>
        <v>145596.7132</v>
      </c>
      <c r="W2" s="10">
        <f>IFERROR(__xludf.DUMMYFUNCTION("""COMPUTED_VALUE"""),0.2248222596854613)</f>
        <v>0.2248222597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IFERROR(__xludf.DUMMYFUNCTION("""COMPUTED_VALUE"""),87.48387096774188)</f>
        <v>87.48387097</v>
      </c>
      <c r="C3" s="11">
        <f>IFERROR(__xludf.DUMMYFUNCTION("""COMPUTED_VALUE"""),95.0)</f>
        <v>95</v>
      </c>
      <c r="D3" s="11">
        <f>IFERROR(__xludf.DUMMYFUNCTION("""COMPUTED_VALUE"""),7.516129032258121)</f>
        <v>7.516129032</v>
      </c>
      <c r="E3" s="10">
        <f>IFERROR(__xludf.DUMMYFUNCTION("""COMPUTED_VALUE"""),0.08591445427728683)</f>
        <v>0.08591445428</v>
      </c>
      <c r="F3" s="10">
        <f>IFERROR(__xludf.DUMMYFUNCTION("""COMPUTED_VALUE"""),0.7720883770996894)</f>
        <v>0.7720883771</v>
      </c>
      <c r="G3" s="10">
        <f>IFERROR(__xludf.DUMMYFUNCTION("""COMPUTED_VALUE"""),0.7894736842105263)</f>
        <v>0.7894736842</v>
      </c>
      <c r="H3" s="36">
        <f>IFERROR(__xludf.DUMMYFUNCTION("""COMPUTED_VALUE"""),1.7385307110836967)</f>
        <v>1.738530711</v>
      </c>
      <c r="I3" s="11">
        <f>IFERROR(__xludf.DUMMYFUNCTION("""COMPUTED_VALUE"""),67.54527995788246)</f>
        <v>67.54527996</v>
      </c>
      <c r="J3" s="11">
        <f>IFERROR(__xludf.DUMMYFUNCTION("""COMPUTED_VALUE"""),75.0)</f>
        <v>75</v>
      </c>
      <c r="K3" s="11">
        <f>IFERROR(__xludf.DUMMYFUNCTION("""COMPUTED_VALUE"""),7.454720042117543)</f>
        <v>7.454720042</v>
      </c>
      <c r="L3" s="10">
        <f>IFERROR(__xludf.DUMMYFUNCTION("""COMPUTED_VALUE"""),0.11036626166574331)</f>
        <v>0.1103662617</v>
      </c>
      <c r="M3" s="10">
        <f>IFERROR(__xludf.DUMMYFUNCTION("""COMPUTED_VALUE"""),0.2760937500000002)</f>
        <v>0.27609375</v>
      </c>
      <c r="N3" s="10">
        <f>IFERROR(__xludf.DUMMYFUNCTION("""COMPUTED_VALUE"""),0.16)</f>
        <v>0.16</v>
      </c>
      <c r="O3" s="36">
        <f>IFERROR(__xludf.DUMMYFUNCTION("""COMPUTED_VALUE"""),-11.60937500000002)</f>
        <v>-11.609375</v>
      </c>
      <c r="P3" s="11">
        <f>IFERROR(__xludf.DUMMYFUNCTION("""COMPUTED_VALUE"""),18.648829638371623)</f>
        <v>18.64882964</v>
      </c>
      <c r="Q3" s="11">
        <f>IFERROR(__xludf.DUMMYFUNCTION("""COMPUTED_VALUE"""),12.0)</f>
        <v>12</v>
      </c>
      <c r="R3" s="11">
        <f>IFERROR(__xludf.DUMMYFUNCTION("""COMPUTED_VALUE"""),-6.648829638371623)</f>
        <v>-6.648829638</v>
      </c>
      <c r="S3" s="10">
        <f>IFERROR(__xludf.DUMMYFUNCTION("""COMPUTED_VALUE"""),-0.35652798418465176)</f>
        <v>-0.3565279842</v>
      </c>
      <c r="T3" s="11">
        <f>IFERROR(__xludf.DUMMYFUNCTION("""COMPUTED_VALUE"""),95763.08290877224)</f>
        <v>95763.08291</v>
      </c>
      <c r="U3" s="15">
        <f>IFERROR(__xludf.DUMMYFUNCTION("""COMPUTED_VALUE"""),5520.000000000001)</f>
        <v>5520</v>
      </c>
      <c r="V3" s="15">
        <f>IFERROR(__xludf.DUMMYFUNCTION("""COMPUTED_VALUE"""),41150.05463248884)</f>
        <v>41150.05463</v>
      </c>
      <c r="W3" s="10">
        <f>IFERROR(__xludf.DUMMYFUNCTION("""COMPUTED_VALUE"""),0.42970687014838527)</f>
        <v>0.4297068701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IFERROR(__xludf.DUMMYFUNCTION("""COMPUTED_VALUE"""),1704.6193548387087)</f>
        <v>1704.619355</v>
      </c>
      <c r="C4" s="11">
        <f>IFERROR(__xludf.DUMMYFUNCTION("""COMPUTED_VALUE"""),1859.0)</f>
        <v>1859</v>
      </c>
      <c r="D4" s="11">
        <f>IFERROR(__xludf.DUMMYFUNCTION("""COMPUTED_VALUE"""),154.38064516129134)</f>
        <v>154.3806452</v>
      </c>
      <c r="E4" s="10">
        <f>IFERROR(__xludf.DUMMYFUNCTION("""COMPUTED_VALUE"""),0.09056605201804649)</f>
        <v>0.09056605202</v>
      </c>
      <c r="F4" s="10">
        <f>IFERROR(__xludf.DUMMYFUNCTION("""COMPUTED_VALUE"""),0.8334080360633019)</f>
        <v>0.8334080361</v>
      </c>
      <c r="G4" s="10" t="str">
        <f>IFERROR(__xludf.DUMMYFUNCTION("""COMPUTED_VALUE"""),"#REF!")</f>
        <v>#REF!</v>
      </c>
      <c r="H4" s="36" t="str">
        <f>IFERROR(__xludf.DUMMYFUNCTION("""COMPUTED_VALUE"""),"#REF!")</f>
        <v>#REF!</v>
      </c>
      <c r="I4" s="11">
        <f>IFERROR(__xludf.DUMMYFUNCTION("""COMPUTED_VALUE"""),1420.643468751621)</f>
        <v>1420.643469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IFERROR(__xludf.DUMMYFUNCTION("""COMPUTED_VALUE"""),0.3224063344180109)</f>
        <v>0.3224063344</v>
      </c>
      <c r="N4" s="10" t="str">
        <f>IFERROR(__xludf.DUMMYFUNCTION("""COMPUTED_VALUE"""),"#REF!")</f>
        <v>#REF!</v>
      </c>
      <c r="O4" s="36" t="str">
        <f>IFERROR(__xludf.DUMMYFUNCTION("""COMPUTED_VALUE"""),"#REF!")</f>
        <v>#REF!</v>
      </c>
      <c r="P4" s="11">
        <f>IFERROR(__xludf.DUMMYFUNCTION("""COMPUTED_VALUE"""),458.02445327509815)</f>
        <v>458.0244533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IFERROR(__xludf.DUMMYFUNCTION("""COMPUTED_VALUE"""),2490111.329014455)</f>
        <v>2490111.329</v>
      </c>
      <c r="U4" s="15">
        <f>IFERROR(__xludf.DUMMYFUNCTION("""COMPUTED_VALUE"""),5844.167295568762)</f>
        <v>5844.167296</v>
      </c>
      <c r="V4" s="15">
        <f>IFERROR(__xludf.DUMMYFUNCTION("""COMPUTED_VALUE"""),837150.8900788195)</f>
        <v>837150.8901</v>
      </c>
      <c r="W4" s="10">
        <f>IFERROR(__xludf.DUMMYFUNCTION("""COMPUTED_VALUE"""),0.3361901455266058)</f>
        <v>0.3361901455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IFERROR(__xludf.DUMMYFUNCTION("""COMPUTED_VALUE"""),1062.1935483870961)</f>
        <v>1062.193548</v>
      </c>
      <c r="C5" s="11">
        <f>IFERROR(__xludf.DUMMYFUNCTION("""COMPUTED_VALUE"""),1077.0)</f>
        <v>1077</v>
      </c>
      <c r="D5" s="11">
        <f>IFERROR(__xludf.DUMMYFUNCTION("""COMPUTED_VALUE"""),14.806451612903857)</f>
        <v>14.80645161</v>
      </c>
      <c r="E5" s="10">
        <f>IFERROR(__xludf.DUMMYFUNCTION("""COMPUTED_VALUE"""),0.013939504373178445)</f>
        <v>0.01393950437</v>
      </c>
      <c r="F5" s="10">
        <f>IFERROR(__xludf.DUMMYFUNCTION("""COMPUTED_VALUE"""),0.8426624896062617)</f>
        <v>0.8426624896</v>
      </c>
      <c r="G5" s="10">
        <f>IFERROR(__xludf.DUMMYFUNCTION("""COMPUTED_VALUE"""),0.8495821727019499)</f>
        <v>0.8495821727</v>
      </c>
      <c r="H5" s="36">
        <f>IFERROR(__xludf.DUMMYFUNCTION("""COMPUTED_VALUE"""),0.6919683095688245)</f>
        <v>0.6919683096</v>
      </c>
      <c r="I5" s="11">
        <f>IFERROR(__xludf.DUMMYFUNCTION("""COMPUTED_VALUE"""),895.0706599275796)</f>
        <v>895.0706599</v>
      </c>
      <c r="J5" s="11">
        <f>IFERROR(__xludf.DUMMYFUNCTION("""COMPUTED_VALUE"""),915.0)</f>
        <v>915</v>
      </c>
      <c r="K5" s="11">
        <f>IFERROR(__xludf.DUMMYFUNCTION("""COMPUTED_VALUE"""),19.92934007242036)</f>
        <v>19.92934007</v>
      </c>
      <c r="L5" s="10">
        <f>IFERROR(__xludf.DUMMYFUNCTION("""COMPUTED_VALUE"""),0.022265661209398647)</f>
        <v>0.02226566121</v>
      </c>
      <c r="M5" s="10">
        <f>IFERROR(__xludf.DUMMYFUNCTION("""COMPUTED_VALUE"""),0.32937500000000025)</f>
        <v>0.329375</v>
      </c>
      <c r="N5" s="10">
        <f>IFERROR(__xludf.DUMMYFUNCTION("""COMPUTED_VALUE"""),0.3158469945355191)</f>
        <v>0.3158469945</v>
      </c>
      <c r="O5" s="36">
        <f>IFERROR(__xludf.DUMMYFUNCTION("""COMPUTED_VALUE"""),-1.352800546448113)</f>
        <v>-1.352800546</v>
      </c>
      <c r="P5" s="11">
        <f>IFERROR(__xludf.DUMMYFUNCTION("""COMPUTED_VALUE"""),294.81389861364676)</f>
        <v>294.8138986</v>
      </c>
      <c r="Q5" s="11">
        <f>IFERROR(__xludf.DUMMYFUNCTION("""COMPUTED_VALUE"""),289.0)</f>
        <v>289</v>
      </c>
      <c r="R5" s="11">
        <f>IFERROR(__xludf.DUMMYFUNCTION("""COMPUTED_VALUE"""),-5.8138986136467565)</f>
        <v>-5.813898614</v>
      </c>
      <c r="S5" s="10">
        <f>IFERROR(__xludf.DUMMYFUNCTION("""COMPUTED_VALUE"""),-0.019720571658888658)</f>
        <v>-0.01972057166</v>
      </c>
      <c r="T5" s="11">
        <f>IFERROR(__xludf.DUMMYFUNCTION("""COMPUTED_VALUE"""),1667473.6999219565)</f>
        <v>1667473.7</v>
      </c>
      <c r="U5" s="15">
        <f>IFERROR(__xludf.DUMMYFUNCTION("""COMPUTED_VALUE"""),6080.000000000001)</f>
        <v>6080</v>
      </c>
      <c r="V5" s="15">
        <f>IFERROR(__xludf.DUMMYFUNCTION("""COMPUTED_VALUE"""),121170.3876403158)</f>
        <v>121170.3876</v>
      </c>
      <c r="W5" s="10">
        <f>IFERROR(__xludf.DUMMYFUNCTION("""COMPUTED_VALUE"""),0.0726670457506988)</f>
        <v>0.07266704575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IFERROR(__xludf.DUMMYFUNCTION("""COMPUTED_VALUE"""),116.0)</f>
        <v>116</v>
      </c>
      <c r="D6" s="9"/>
      <c r="E6" s="9"/>
      <c r="F6" s="9"/>
      <c r="G6" s="10">
        <f>IFERROR(__xludf.DUMMYFUNCTION("""COMPUTED_VALUE"""),0.8879310344827587)</f>
        <v>0.8879310345</v>
      </c>
      <c r="H6" s="9"/>
      <c r="I6" s="9"/>
      <c r="J6" s="11">
        <f>IFERROR(__xludf.DUMMYFUNCTION("""COMPUTED_VALUE"""),103.0)</f>
        <v>103</v>
      </c>
      <c r="K6" s="9"/>
      <c r="L6" s="9"/>
      <c r="M6" s="10">
        <f>IFERROR(__xludf.DUMMYFUNCTION("""COMPUTED_VALUE"""),0.32937500000000025)</f>
        <v>0.329375</v>
      </c>
      <c r="N6" s="10">
        <f>IFERROR(__xludf.DUMMYFUNCTION("""COMPUTED_VALUE"""),0.3883495145631068)</f>
        <v>0.3883495146</v>
      </c>
      <c r="O6" s="36">
        <f>IFERROR(__xludf.DUMMYFUNCTION("""COMPUTED_VALUE"""),5.8974514563106535)</f>
        <v>5.897451456</v>
      </c>
      <c r="P6" s="9"/>
      <c r="Q6" s="11">
        <f>IFERROR(__xludf.DUMMYFUNCTION("""COMPUTED_VALUE"""),40.0)</f>
        <v>40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IFERROR(__xludf.DUMMYFUNCTION("""COMPUTED_VALUE"""),"Luiz Felipe")</f>
        <v>Luiz Felipe</v>
      </c>
      <c r="B7" s="9"/>
      <c r="C7" s="11">
        <f>IFERROR(__xludf.DUMMYFUNCTION("""COMPUTED_VALUE"""),115.0)</f>
        <v>115</v>
      </c>
      <c r="D7" s="9"/>
      <c r="E7" s="9"/>
      <c r="F7" s="9"/>
      <c r="G7" s="10">
        <f>IFERROR(__xludf.DUMMYFUNCTION("""COMPUTED_VALUE"""),0.8260869565217391)</f>
        <v>0.8260869565</v>
      </c>
      <c r="H7" s="9"/>
      <c r="I7" s="9"/>
      <c r="J7" s="11">
        <f>IFERROR(__xludf.DUMMYFUNCTION("""COMPUTED_VALUE"""),95.0)</f>
        <v>95</v>
      </c>
      <c r="K7" s="9"/>
      <c r="L7" s="9"/>
      <c r="M7" s="10">
        <f>IFERROR(__xludf.DUMMYFUNCTION("""COMPUTED_VALUE"""),0.32937500000000025)</f>
        <v>0.329375</v>
      </c>
      <c r="N7" s="10">
        <f>IFERROR(__xludf.DUMMYFUNCTION("""COMPUTED_VALUE"""),0.3473684210526316)</f>
        <v>0.3473684211</v>
      </c>
      <c r="O7" s="36">
        <f>IFERROR(__xludf.DUMMYFUNCTION("""COMPUTED_VALUE"""),1.7993421052631353)</f>
        <v>1.799342105</v>
      </c>
      <c r="P7" s="9"/>
      <c r="Q7" s="11">
        <f>IFERROR(__xludf.DUMMYFUNCTION("""COMPUTED_VALUE"""),33.0)</f>
        <v>33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IFERROR(__xludf.DUMMYFUNCTION("""COMPUTED_VALUE"""),112.0)</f>
        <v>112</v>
      </c>
      <c r="D8" s="9"/>
      <c r="E8" s="9"/>
      <c r="F8" s="9"/>
      <c r="G8" s="10">
        <f>IFERROR(__xludf.DUMMYFUNCTION("""COMPUTED_VALUE"""),0.8660714285714286)</f>
        <v>0.8660714286</v>
      </c>
      <c r="H8" s="9"/>
      <c r="I8" s="9"/>
      <c r="J8" s="11">
        <f>IFERROR(__xludf.DUMMYFUNCTION("""COMPUTED_VALUE"""),97.0)</f>
        <v>97</v>
      </c>
      <c r="K8" s="9"/>
      <c r="L8" s="9"/>
      <c r="M8" s="10">
        <f>IFERROR(__xludf.DUMMYFUNCTION("""COMPUTED_VALUE"""),0.32937500000000025)</f>
        <v>0.329375</v>
      </c>
      <c r="N8" s="10">
        <f>IFERROR(__xludf.DUMMYFUNCTION("""COMPUTED_VALUE"""),0.32989690721649484)</f>
        <v>0.3298969072</v>
      </c>
      <c r="O8" s="36">
        <f>IFERROR(__xludf.DUMMYFUNCTION("""COMPUTED_VALUE"""),0.052190721649458816)</f>
        <v>0.05219072165</v>
      </c>
      <c r="P8" s="9"/>
      <c r="Q8" s="11">
        <f>IFERROR(__xludf.DUMMYFUNCTION("""COMPUTED_VALUE"""),32.0)</f>
        <v>32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IFERROR(__xludf.DUMMYFUNCTION("""COMPUTED_VALUE"""),"Leonardo Alencar")</f>
        <v>Leonardo Alencar</v>
      </c>
      <c r="B9" s="9"/>
      <c r="C9" s="11">
        <f>IFERROR(__xludf.DUMMYFUNCTION("""COMPUTED_VALUE"""),113.0)</f>
        <v>113</v>
      </c>
      <c r="D9" s="9"/>
      <c r="E9" s="9"/>
      <c r="F9" s="9"/>
      <c r="G9" s="10">
        <f>IFERROR(__xludf.DUMMYFUNCTION("""COMPUTED_VALUE"""),0.8761061946902655)</f>
        <v>0.8761061947</v>
      </c>
      <c r="H9" s="9"/>
      <c r="I9" s="9"/>
      <c r="J9" s="11">
        <f>IFERROR(__xludf.DUMMYFUNCTION("""COMPUTED_VALUE"""),99.0)</f>
        <v>99</v>
      </c>
      <c r="K9" s="9"/>
      <c r="L9" s="9"/>
      <c r="M9" s="10">
        <f>IFERROR(__xludf.DUMMYFUNCTION("""COMPUTED_VALUE"""),0.32937500000000025)</f>
        <v>0.329375</v>
      </c>
      <c r="N9" s="10">
        <f>IFERROR(__xludf.DUMMYFUNCTION("""COMPUTED_VALUE"""),0.30303030303030304)</f>
        <v>0.303030303</v>
      </c>
      <c r="O9" s="36">
        <f>IFERROR(__xludf.DUMMYFUNCTION("""COMPUTED_VALUE"""),-2.634469696969721)</f>
        <v>-2.634469697</v>
      </c>
      <c r="P9" s="9"/>
      <c r="Q9" s="11">
        <f>IFERROR(__xludf.DUMMYFUNCTION("""COMPUTED_VALUE"""),30.0)</f>
        <v>30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IFERROR(__xludf.DUMMYFUNCTION("""COMPUTED_VALUE"""),112.0)</f>
        <v>112</v>
      </c>
      <c r="D10" s="9"/>
      <c r="E10" s="9"/>
      <c r="F10" s="9"/>
      <c r="G10" s="10">
        <f>IFERROR(__xludf.DUMMYFUNCTION("""COMPUTED_VALUE"""),0.8125)</f>
        <v>0.8125</v>
      </c>
      <c r="H10" s="9"/>
      <c r="I10" s="9"/>
      <c r="J10" s="11">
        <f>IFERROR(__xludf.DUMMYFUNCTION("""COMPUTED_VALUE"""),91.0)</f>
        <v>91</v>
      </c>
      <c r="K10" s="9"/>
      <c r="L10" s="9"/>
      <c r="M10" s="10">
        <f>IFERROR(__xludf.DUMMYFUNCTION("""COMPUTED_VALUE"""),0.32937500000000025)</f>
        <v>0.329375</v>
      </c>
      <c r="N10" s="10">
        <f>IFERROR(__xludf.DUMMYFUNCTION("""COMPUTED_VALUE"""),0.31868131868131866)</f>
        <v>0.3186813187</v>
      </c>
      <c r="O10" s="36">
        <f>IFERROR(__xludf.DUMMYFUNCTION("""COMPUTED_VALUE"""),-1.0693681318681592)</f>
        <v>-1.069368132</v>
      </c>
      <c r="P10" s="9"/>
      <c r="Q10" s="11">
        <f>IFERROR(__xludf.DUMMYFUNCTION("""COMPUTED_VALUE"""),29.0)</f>
        <v>29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IFERROR(__xludf.DUMMYFUNCTION("""COMPUTED_VALUE"""),"Nicolas Miranda")</f>
        <v>Nicolas Miranda</v>
      </c>
      <c r="B11" s="9"/>
      <c r="C11" s="11">
        <f>IFERROR(__xludf.DUMMYFUNCTION("""COMPUTED_VALUE"""),106.0)</f>
        <v>106</v>
      </c>
      <c r="D11" s="9"/>
      <c r="E11" s="9"/>
      <c r="F11" s="9"/>
      <c r="G11" s="10">
        <f>IFERROR(__xludf.DUMMYFUNCTION("""COMPUTED_VALUE"""),0.8773584905660378)</f>
        <v>0.8773584906</v>
      </c>
      <c r="H11" s="9"/>
      <c r="I11" s="9"/>
      <c r="J11" s="11">
        <f>IFERROR(__xludf.DUMMYFUNCTION("""COMPUTED_VALUE"""),93.0)</f>
        <v>93</v>
      </c>
      <c r="K11" s="9"/>
      <c r="L11" s="9"/>
      <c r="M11" s="10">
        <f>IFERROR(__xludf.DUMMYFUNCTION("""COMPUTED_VALUE"""),0.32937500000000025)</f>
        <v>0.329375</v>
      </c>
      <c r="N11" s="10">
        <f>IFERROR(__xludf.DUMMYFUNCTION("""COMPUTED_VALUE"""),0.3010752688172043)</f>
        <v>0.3010752688</v>
      </c>
      <c r="O11" s="36">
        <f>IFERROR(__xludf.DUMMYFUNCTION("""COMPUTED_VALUE"""),-2.829973118279594)</f>
        <v>-2.829973118</v>
      </c>
      <c r="P11" s="9"/>
      <c r="Q11" s="11">
        <f>IFERROR(__xludf.DUMMYFUNCTION("""COMPUTED_VALUE"""),28.0)</f>
        <v>28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IFERROR(__xludf.DUMMYFUNCTION("""COMPUTED_VALUE"""),75.0)</f>
        <v>75</v>
      </c>
      <c r="D12" s="9"/>
      <c r="E12" s="9"/>
      <c r="F12" s="9"/>
      <c r="G12" s="10">
        <f>IFERROR(__xludf.DUMMYFUNCTION("""COMPUTED_VALUE"""),0.8533333333333334)</f>
        <v>0.8533333333</v>
      </c>
      <c r="H12" s="9"/>
      <c r="I12" s="9"/>
      <c r="J12" s="11">
        <f>IFERROR(__xludf.DUMMYFUNCTION("""COMPUTED_VALUE"""),64.0)</f>
        <v>64</v>
      </c>
      <c r="K12" s="9"/>
      <c r="L12" s="9"/>
      <c r="M12" s="10">
        <f>IFERROR(__xludf.DUMMYFUNCTION("""COMPUTED_VALUE"""),0.32937500000000025)</f>
        <v>0.329375</v>
      </c>
      <c r="N12" s="10">
        <f>IFERROR(__xludf.DUMMYFUNCTION("""COMPUTED_VALUE"""),0.3125)</f>
        <v>0.3125</v>
      </c>
      <c r="O12" s="36">
        <f>IFERROR(__xludf.DUMMYFUNCTION("""COMPUTED_VALUE"""),-1.687500000000025)</f>
        <v>-1.6875</v>
      </c>
      <c r="P12" s="9"/>
      <c r="Q12" s="11">
        <f>IFERROR(__xludf.DUMMYFUNCTION("""COMPUTED_VALUE"""),20.0)</f>
        <v>20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IFERROR(__xludf.DUMMYFUNCTION("""COMPUTED_VALUE"""),112.0)</f>
        <v>112</v>
      </c>
      <c r="D13" s="9"/>
      <c r="E13" s="9"/>
      <c r="F13" s="9"/>
      <c r="G13" s="10">
        <f>IFERROR(__xludf.DUMMYFUNCTION("""COMPUTED_VALUE"""),0.8214285714285714)</f>
        <v>0.8214285714</v>
      </c>
      <c r="H13" s="9"/>
      <c r="I13" s="9"/>
      <c r="J13" s="11">
        <f>IFERROR(__xludf.DUMMYFUNCTION("""COMPUTED_VALUE"""),92.0)</f>
        <v>92</v>
      </c>
      <c r="K13" s="9"/>
      <c r="L13" s="9"/>
      <c r="M13" s="10">
        <f>IFERROR(__xludf.DUMMYFUNCTION("""COMPUTED_VALUE"""),0.32937500000000025)</f>
        <v>0.329375</v>
      </c>
      <c r="N13" s="10">
        <f>IFERROR(__xludf.DUMMYFUNCTION("""COMPUTED_VALUE"""),0.18478260869565216)</f>
        <v>0.1847826087</v>
      </c>
      <c r="O13" s="36">
        <f>IFERROR(__xludf.DUMMYFUNCTION("""COMPUTED_VALUE"""),-14.45923913043481)</f>
        <v>-14.45923913</v>
      </c>
      <c r="P13" s="9"/>
      <c r="Q13" s="11">
        <f>IFERROR(__xludf.DUMMYFUNCTION("""COMPUTED_VALUE"""),17.0)</f>
        <v>17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IFERROR(__xludf.DUMMYFUNCTION("""COMPUTED_VALUE"""),"João Vitor Nascimento")</f>
        <v>João Vitor Nascimento</v>
      </c>
      <c r="B14" s="9"/>
      <c r="C14" s="11">
        <f>IFERROR(__xludf.DUMMYFUNCTION("""COMPUTED_VALUE"""),61.0)</f>
        <v>61</v>
      </c>
      <c r="D14" s="9"/>
      <c r="E14" s="9"/>
      <c r="F14" s="9"/>
      <c r="G14" s="10">
        <f>IFERROR(__xludf.DUMMYFUNCTION("""COMPUTED_VALUE"""),0.8852459016393442)</f>
        <v>0.8852459016</v>
      </c>
      <c r="H14" s="9"/>
      <c r="I14" s="9"/>
      <c r="J14" s="11">
        <f>IFERROR(__xludf.DUMMYFUNCTION("""COMPUTED_VALUE"""),54.0)</f>
        <v>54</v>
      </c>
      <c r="K14" s="9"/>
      <c r="L14" s="9"/>
      <c r="M14" s="10">
        <f>IFERROR(__xludf.DUMMYFUNCTION("""COMPUTED_VALUE"""),0.32937500000000025)</f>
        <v>0.329375</v>
      </c>
      <c r="N14" s="10">
        <f>IFERROR(__xludf.DUMMYFUNCTION("""COMPUTED_VALUE"""),0.2962962962962963)</f>
        <v>0.2962962963</v>
      </c>
      <c r="O14" s="36">
        <f>IFERROR(__xludf.DUMMYFUNCTION("""COMPUTED_VALUE"""),-3.307870370370397)</f>
        <v>-3.30787037</v>
      </c>
      <c r="P14" s="9"/>
      <c r="Q14" s="11">
        <f>IFERROR(__xludf.DUMMYFUNCTION("""COMPUTED_VALUE"""),16.0)</f>
        <v>16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IFERROR(__xludf.DUMMYFUNCTION("""COMPUTED_VALUE"""),"Bruno Xavier")</f>
        <v>Bruno Xavier</v>
      </c>
      <c r="B15" s="9"/>
      <c r="C15" s="11">
        <f>IFERROR(__xludf.DUMMYFUNCTION("""COMPUTED_VALUE"""),100.0)</f>
        <v>100</v>
      </c>
      <c r="D15" s="9"/>
      <c r="E15" s="9"/>
      <c r="F15" s="9"/>
      <c r="G15" s="10">
        <f>IFERROR(__xludf.DUMMYFUNCTION("""COMPUTED_VALUE"""),0.7)</f>
        <v>0.7</v>
      </c>
      <c r="H15" s="9"/>
      <c r="I15" s="9"/>
      <c r="J15" s="11">
        <f>IFERROR(__xludf.DUMMYFUNCTION("""COMPUTED_VALUE"""),70.0)</f>
        <v>70</v>
      </c>
      <c r="K15" s="9"/>
      <c r="L15" s="9"/>
      <c r="M15" s="10">
        <f>IFERROR(__xludf.DUMMYFUNCTION("""COMPUTED_VALUE"""),0.32937500000000025)</f>
        <v>0.329375</v>
      </c>
      <c r="N15" s="10">
        <f>IFERROR(__xludf.DUMMYFUNCTION("""COMPUTED_VALUE"""),0.22857142857142856)</f>
        <v>0.2285714286</v>
      </c>
      <c r="O15" s="36">
        <f>IFERROR(__xludf.DUMMYFUNCTION("""COMPUTED_VALUE"""),-10.080357142857169)</f>
        <v>-10.08035714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IFERROR(__xludf.DUMMYFUNCTION("""COMPUTED_VALUE"""),0.32937500000000025)</f>
        <v>0.329375</v>
      </c>
      <c r="N16" s="10">
        <f>IFERROR(__xludf.DUMMYFUNCTION("""COMPUTED_VALUE"""),0.8888888888888888)</f>
        <v>0.8888888889</v>
      </c>
      <c r="O16" s="36">
        <f>IFERROR(__xludf.DUMMYFUNCTION("""COMPUTED_VALUE"""),55.951388888888864)</f>
        <v>55.95138889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IFERROR(__xludf.DUMMYFUNCTION("""COMPUTED_VALUE"""),0.32937500000000025)</f>
        <v>0.329375</v>
      </c>
      <c r="N17" s="10">
        <f>IFERROR(__xludf.DUMMYFUNCTION("""COMPUTED_VALUE"""),0.6666666666666666)</f>
        <v>0.6666666667</v>
      </c>
      <c r="O17" s="36">
        <f>IFERROR(__xludf.DUMMYFUNCTION("""COMPUTED_VALUE"""),33.729166666666636)</f>
        <v>33.72916667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IFERROR(__xludf.DUMMYFUNCTION("""COMPUTED_VALUE"""),0.32937500000000025)</f>
        <v>0.329375</v>
      </c>
      <c r="N18" s="10">
        <f>IFERROR(__xludf.DUMMYFUNCTION("""COMPUTED_VALUE"""),0.5555555555555556)</f>
        <v>0.5555555556</v>
      </c>
      <c r="O18" s="36">
        <f>IFERROR(__xludf.DUMMYFUNCTION("""COMPUTED_VALUE"""),22.618055555555532)</f>
        <v>22.61805556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IFERROR(__xludf.DUMMYFUNCTION("""COMPUTED_VALUE"""),"Jefferson Da Silva Santos")</f>
        <v>Jefferson Da Silva Santos</v>
      </c>
      <c r="B19" s="9"/>
      <c r="C19" s="11">
        <f>IFERROR(__xludf.DUMMYFUNCTION("""COMPUTED_VALUE"""),21.0)</f>
        <v>21</v>
      </c>
      <c r="D19" s="9"/>
      <c r="E19" s="9"/>
      <c r="F19" s="9"/>
      <c r="G19" s="10">
        <f>IFERROR(__xludf.DUMMYFUNCTION("""COMPUTED_VALUE"""),0.8095238095238095)</f>
        <v>0.8095238095</v>
      </c>
      <c r="H19" s="9"/>
      <c r="I19" s="9"/>
      <c r="J19" s="11">
        <f>IFERROR(__xludf.DUMMYFUNCTION("""COMPUTED_VALUE"""),17.0)</f>
        <v>17</v>
      </c>
      <c r="K19" s="9"/>
      <c r="L19" s="9"/>
      <c r="M19" s="10">
        <f>IFERROR(__xludf.DUMMYFUNCTION("""COMPUTED_VALUE"""),0.32937500000000025)</f>
        <v>0.329375</v>
      </c>
      <c r="N19" s="10">
        <f>IFERROR(__xludf.DUMMYFUNCTION("""COMPUTED_VALUE"""),0.11764705882352941)</f>
        <v>0.1176470588</v>
      </c>
      <c r="O19" s="36">
        <f>IFERROR(__xludf.DUMMYFUNCTION("""COMPUTED_VALUE"""),-21.172794117647083)</f>
        <v>-21.17279412</v>
      </c>
      <c r="P19" s="9"/>
      <c r="Q19" s="11">
        <f>IFERROR(__xludf.DUMMYFUNCTION("""COMPUTED_VALUE"""),2.0)</f>
        <v>2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IFERROR(__xludf.DUMMYFUNCTION("""COMPUTED_VALUE"""),0.32937500000000025)</f>
        <v>0.329375</v>
      </c>
      <c r="N20" s="10">
        <f>IFERROR(__xludf.DUMMYFUNCTION("""COMPUTED_VALUE"""),1.0)</f>
        <v>1</v>
      </c>
      <c r="O20" s="36">
        <f>IFERROR(__xludf.DUMMYFUNCTION("""COMPUTED_VALUE"""),67.06249999999999)</f>
        <v>67.0625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IFERROR(__xludf.DUMMYFUNCTION("""COMPUTED_VALUE"""),0.32937500000000025)</f>
        <v>0.329375</v>
      </c>
      <c r="N21" s="10">
        <f>IFERROR(__xludf.DUMMYFUNCTION("""COMPUTED_VALUE"""),1.0)</f>
        <v>1</v>
      </c>
      <c r="O21" s="36">
        <f>IFERROR(__xludf.DUMMYFUNCTION("""COMPUTED_VALUE"""),67.06249999999999)</f>
        <v>67.0625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IFERROR(__xludf.DUMMYFUNCTION("""COMPUTED_VALUE"""),0.32937500000000025)</f>
        <v>0.329375</v>
      </c>
      <c r="N22" s="10">
        <f>IFERROR(__xludf.DUMMYFUNCTION("""COMPUTED_VALUE"""),0.0)</f>
        <v>0</v>
      </c>
      <c r="O22" s="36">
        <f>IFERROR(__xludf.DUMMYFUNCTION("""COMPUTED_VALUE"""),-32.93750000000003)</f>
        <v>-32.9375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IFERROR(__xludf.DUMMYFUNCTION("""COMPUTED_VALUE"""),0.32937500000000025)</f>
        <v>0.329375</v>
      </c>
      <c r="N23" s="10">
        <f>IFERROR(__xludf.DUMMYFUNCTION("""COMPUTED_VALUE"""),0.0)</f>
        <v>0</v>
      </c>
      <c r="O23" s="36">
        <f>IFERROR(__xludf.DUMMYFUNCTION("""COMPUTED_VALUE"""),-32.93750000000003)</f>
        <v>-32.9375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IFERROR(__xludf.DUMMYFUNCTION("""COMPUTED_VALUE"""),309.67741935483855)</f>
        <v>309.6774194</v>
      </c>
      <c r="C24" s="11">
        <f>IFERROR(__xludf.DUMMYFUNCTION("""COMPUTED_VALUE"""),344.0)</f>
        <v>344</v>
      </c>
      <c r="D24" s="11">
        <f>IFERROR(__xludf.DUMMYFUNCTION("""COMPUTED_VALUE"""),34.32258064516145)</f>
        <v>34.32258065</v>
      </c>
      <c r="E24" s="10">
        <f>IFERROR(__xludf.DUMMYFUNCTION("""COMPUTED_VALUE"""),0.11083333333333391)</f>
        <v>0.1108333333</v>
      </c>
      <c r="F24" s="10">
        <f>IFERROR(__xludf.DUMMYFUNCTION("""COMPUTED_VALUE"""),0.820698804996366)</f>
        <v>0.820698805</v>
      </c>
      <c r="G24" s="10">
        <f>IFERROR(__xludf.DUMMYFUNCTION("""COMPUTED_VALUE"""),0.875)</f>
        <v>0.875</v>
      </c>
      <c r="H24" s="36">
        <f>IFERROR(__xludf.DUMMYFUNCTION("""COMPUTED_VALUE"""),5.430119500363395)</f>
        <v>5.4301195</v>
      </c>
      <c r="I24" s="11">
        <f>IFERROR(__xludf.DUMMYFUNCTION("""COMPUTED_VALUE"""),254.1518879988745)</f>
        <v>254.151888</v>
      </c>
      <c r="J24" s="11">
        <f>IFERROR(__xludf.DUMMYFUNCTION("""COMPUTED_VALUE"""),301.0)</f>
        <v>301</v>
      </c>
      <c r="K24" s="11">
        <f>IFERROR(__xludf.DUMMYFUNCTION("""COMPUTED_VALUE"""),46.848112001125486)</f>
        <v>46.848112</v>
      </c>
      <c r="L24" s="10">
        <f>IFERROR(__xludf.DUMMYFUNCTION("""COMPUTED_VALUE"""),0.1843311587019686)</f>
        <v>0.1843311587</v>
      </c>
      <c r="M24" s="10">
        <f>IFERROR(__xludf.DUMMYFUNCTION("""COMPUTED_VALUE"""),0.3003125000000002)</f>
        <v>0.3003125</v>
      </c>
      <c r="N24" s="10">
        <f>IFERROR(__xludf.DUMMYFUNCTION("""COMPUTED_VALUE"""),0.3089700996677741)</f>
        <v>0.3089700997</v>
      </c>
      <c r="O24" s="36">
        <f>IFERROR(__xludf.DUMMYFUNCTION("""COMPUTED_VALUE"""),0.8657599667773908)</f>
        <v>0.8657599668</v>
      </c>
      <c r="P24" s="11">
        <f>IFERROR(__xludf.DUMMYFUNCTION("""COMPUTED_VALUE"""),76.32498886466206)</f>
        <v>76.32498886</v>
      </c>
      <c r="Q24" s="11">
        <f>IFERROR(__xludf.DUMMYFUNCTION("""COMPUTED_VALUE"""),93.0)</f>
        <v>93</v>
      </c>
      <c r="R24" s="11">
        <f>IFERROR(__xludf.DUMMYFUNCTION("""COMPUTED_VALUE"""),16.67501113533794)</f>
        <v>16.67501114</v>
      </c>
      <c r="S24" s="10">
        <f>IFERROR(__xludf.DUMMYFUNCTION("""COMPUTED_VALUE"""),0.21847381026030327)</f>
        <v>0.2184738103</v>
      </c>
      <c r="T24" s="11">
        <f>IFERROR(__xludf.DUMMYFUNCTION("""COMPUTED_VALUE"""),434535.86900393764)</f>
        <v>434535.869</v>
      </c>
      <c r="U24" s="15">
        <f>IFERROR(__xludf.DUMMYFUNCTION("""COMPUTED_VALUE"""),6120.000000000001)</f>
        <v>6120</v>
      </c>
      <c r="V24" s="15">
        <f>IFERROR(__xludf.DUMMYFUNCTION("""COMPUTED_VALUE"""),286710.44544688804)</f>
        <v>286710.4454</v>
      </c>
      <c r="W24" s="10">
        <f>IFERROR(__xludf.DUMMYFUNCTION("""COMPUTED_VALUE"""),0.6598084666844614)</f>
        <v>0.6598084667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IFERROR(__xludf.DUMMYFUNCTION("""COMPUTED_VALUE"""),42.0)</f>
        <v>42</v>
      </c>
      <c r="D25" s="9"/>
      <c r="E25" s="9"/>
      <c r="F25" s="9"/>
      <c r="G25" s="10">
        <f>IFERROR(__xludf.DUMMYFUNCTION("""COMPUTED_VALUE"""),0.7619047619047619)</f>
        <v>0.7619047619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IFERROR(__xludf.DUMMYFUNCTION("""COMPUTED_VALUE"""),41.0)</f>
        <v>41</v>
      </c>
      <c r="D26" s="9"/>
      <c r="E26" s="9"/>
      <c r="F26" s="9"/>
      <c r="G26" s="10">
        <f>IFERROR(__xludf.DUMMYFUNCTION("""COMPUTED_VALUE"""),0.8292682926829268)</f>
        <v>0.8292682927</v>
      </c>
      <c r="H26" s="9"/>
      <c r="I26" s="9"/>
      <c r="J26" s="11">
        <f>IFERROR(__xludf.DUMMYFUNCTION("""COMPUTED_VALUE"""),34.0)</f>
        <v>34</v>
      </c>
      <c r="K26" s="9"/>
      <c r="L26" s="9"/>
      <c r="M26" s="9"/>
      <c r="N26" s="10">
        <f>IFERROR(__xludf.DUMMYFUNCTION("""COMPUTED_VALUE"""),0.35294117647058826)</f>
        <v>0.3529411765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IFERROR(__xludf.DUMMYFUNCTION("""COMPUTED_VALUE"""),42.0)</f>
        <v>42</v>
      </c>
      <c r="D27" s="9"/>
      <c r="E27" s="9"/>
      <c r="F27" s="9"/>
      <c r="G27" s="10">
        <f>IFERROR(__xludf.DUMMYFUNCTION("""COMPUTED_VALUE"""),0.8333333333333334)</f>
        <v>0.8333333333</v>
      </c>
      <c r="H27" s="9"/>
      <c r="I27" s="9"/>
      <c r="J27" s="11">
        <f>IFERROR(__xludf.DUMMYFUNCTION("""COMPUTED_VALUE"""),35.0)</f>
        <v>35</v>
      </c>
      <c r="K27" s="9"/>
      <c r="L27" s="9"/>
      <c r="M27" s="9"/>
      <c r="N27" s="10">
        <f>IFERROR(__xludf.DUMMYFUNCTION("""COMPUTED_VALUE"""),0.3142857142857143)</f>
        <v>0.3142857143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IFERROR(__xludf.DUMMYFUNCTION("""COMPUTED_VALUE"""),27.0)</f>
        <v>27</v>
      </c>
      <c r="D28" s="9"/>
      <c r="E28" s="9"/>
      <c r="F28" s="9"/>
      <c r="G28" s="10">
        <f>IFERROR(__xludf.DUMMYFUNCTION("""COMPUTED_VALUE"""),0.9259259259259259)</f>
        <v>0.9259259259</v>
      </c>
      <c r="H28" s="9"/>
      <c r="I28" s="9"/>
      <c r="J28" s="11">
        <f>IFERROR(__xludf.DUMMYFUNCTION("""COMPUTED_VALUE"""),25.0)</f>
        <v>25</v>
      </c>
      <c r="K28" s="9"/>
      <c r="L28" s="9"/>
      <c r="M28" s="9"/>
      <c r="N28" s="10">
        <f>IFERROR(__xludf.DUMMYFUNCTION("""COMPUTED_VALUE"""),0.4)</f>
        <v>0.4</v>
      </c>
      <c r="O28" s="9"/>
      <c r="P28" s="9"/>
      <c r="Q28" s="11">
        <f>IFERROR(__xludf.DUMMYFUNCTION("""COMPUTED_VALUE"""),10.0)</f>
        <v>10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IFERROR(__xludf.DUMMYFUNCTION("""COMPUTED_VALUE"""),0.8285714285714286)</f>
        <v>0.8285714286</v>
      </c>
      <c r="H29" s="9"/>
      <c r="I29" s="9"/>
      <c r="J29" s="11">
        <f>IFERROR(__xludf.DUMMYFUNCTION("""COMPUTED_VALUE"""),29.0)</f>
        <v>29</v>
      </c>
      <c r="K29" s="9"/>
      <c r="L29" s="9"/>
      <c r="M29" s="9"/>
      <c r="N29" s="10">
        <f>IFERROR(__xludf.DUMMYFUNCTION("""COMPUTED_VALUE"""),0.3103448275862069)</f>
        <v>0.3103448276</v>
      </c>
      <c r="O29" s="9"/>
      <c r="P29" s="9"/>
      <c r="Q29" s="11">
        <f>IFERROR(__xludf.DUMMYFUNCTION("""COMPUTED_VALUE"""),9.0)</f>
        <v>9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IFERROR(__xludf.DUMMYFUNCTION("""COMPUTED_VALUE"""),37.0)</f>
        <v>37</v>
      </c>
      <c r="D30" s="9"/>
      <c r="E30" s="9"/>
      <c r="F30" s="9"/>
      <c r="G30" s="10">
        <f>IFERROR(__xludf.DUMMYFUNCTION("""COMPUTED_VALUE"""),0.7837837837837838)</f>
        <v>0.7837837838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IFERROR(__xludf.DUMMYFUNCTION("""COMPUTED_VALUE"""),29.0)</f>
        <v>29</v>
      </c>
      <c r="D31" s="9"/>
      <c r="E31" s="9"/>
      <c r="F31" s="9"/>
      <c r="G31" s="10">
        <f>IFERROR(__xludf.DUMMYFUNCTION("""COMPUTED_VALUE"""),0.7586206896551724)</f>
        <v>0.7586206897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IFERROR(__xludf.DUMMYFUNCTION("""COMPUTED_VALUE"""),27.0)</f>
        <v>27</v>
      </c>
      <c r="D32" s="9"/>
      <c r="E32" s="9"/>
      <c r="F32" s="9"/>
      <c r="G32" s="10">
        <f>IFERROR(__xludf.DUMMYFUNCTION("""COMPUTED_VALUE"""),1.0)</f>
        <v>1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IFERROR(__xludf.DUMMYFUNCTION("""COMPUTED_VALUE"""),37.0)</f>
        <v>37</v>
      </c>
      <c r="D33" s="9"/>
      <c r="E33" s="9"/>
      <c r="F33" s="9"/>
      <c r="G33" s="10">
        <f>IFERROR(__xludf.DUMMYFUNCTION("""COMPUTED_VALUE"""),0.918918918918919)</f>
        <v>0.9189189189</v>
      </c>
      <c r="H33" s="9"/>
      <c r="I33" s="9"/>
      <c r="J33" s="11">
        <f>IFERROR(__xludf.DUMMYFUNCTION("""COMPUTED_VALUE"""),34.0)</f>
        <v>34</v>
      </c>
      <c r="K33" s="9"/>
      <c r="L33" s="9"/>
      <c r="M33" s="9"/>
      <c r="N33" s="10">
        <f>IFERROR(__xludf.DUMMYFUNCTION("""COMPUTED_VALUE"""),0.17647058823529413)</f>
        <v>0.1764705882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IFERROR(__xludf.DUMMYFUNCTION("""COMPUTED_VALUE"""),0.75)</f>
        <v>0.75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IFERROR(__xludf.DUMMYFUNCTION("""COMPUTED_VALUE"""),20.0)</f>
        <v>20</v>
      </c>
      <c r="D36" s="9"/>
      <c r="E36" s="9"/>
      <c r="F36" s="9"/>
      <c r="G36" s="10">
        <f>IFERROR(__xludf.DUMMYFUNCTION("""COMPUTED_VALUE"""),0.65)</f>
        <v>0.65</v>
      </c>
      <c r="H36" s="9"/>
      <c r="I36" s="9"/>
      <c r="J36" s="11">
        <f>IFERROR(__xludf.DUMMYFUNCTION("""COMPUTED_VALUE"""),13.0)</f>
        <v>13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IFERROR(__xludf.DUMMYFUNCTION("""COMPUTED_VALUE"""),270.96774193548373)</f>
        <v>270.9677419</v>
      </c>
      <c r="C37" s="11">
        <f>IFERROR(__xludf.DUMMYFUNCTION("""COMPUTED_VALUE"""),379.0)</f>
        <v>379</v>
      </c>
      <c r="D37" s="11">
        <f>IFERROR(__xludf.DUMMYFUNCTION("""COMPUTED_VALUE"""),108.03225806451627)</f>
        <v>108.0322581</v>
      </c>
      <c r="E37" s="10">
        <f>IFERROR(__xludf.DUMMYFUNCTION("""COMPUTED_VALUE"""),0.39869047619047693)</f>
        <v>0.3986904762</v>
      </c>
      <c r="F37" s="10">
        <f>IFERROR(__xludf.DUMMYFUNCTION("""COMPUTED_VALUE"""),0.8420724459024017)</f>
        <v>0.8420724459</v>
      </c>
      <c r="G37" s="10">
        <f>IFERROR(__xludf.DUMMYFUNCTION("""COMPUTED_VALUE"""),0.8443271767810027)</f>
        <v>0.8443271768</v>
      </c>
      <c r="H37" s="36">
        <f>IFERROR(__xludf.DUMMYFUNCTION("""COMPUTED_VALUE"""),0.22547308786009523)</f>
        <v>0.2254730879</v>
      </c>
      <c r="I37" s="11">
        <f>IFERROR(__xludf.DUMMYFUNCTION("""COMPUTED_VALUE"""),228.17446921226357)</f>
        <v>228.1744692</v>
      </c>
      <c r="J37" s="11">
        <f>IFERROR(__xludf.DUMMYFUNCTION("""COMPUTED_VALUE"""),320.0)</f>
        <v>320</v>
      </c>
      <c r="K37" s="11">
        <f>IFERROR(__xludf.DUMMYFUNCTION("""COMPUTED_VALUE"""),91.82553078773643)</f>
        <v>91.82553079</v>
      </c>
      <c r="L37" s="10">
        <f>IFERROR(__xludf.DUMMYFUNCTION("""COMPUTED_VALUE"""),0.40243560598497113)</f>
        <v>0.402435606</v>
      </c>
      <c r="M37" s="10">
        <f>IFERROR(__xludf.DUMMYFUNCTION("""COMPUTED_VALUE"""),0.3293750000000003)</f>
        <v>0.329375</v>
      </c>
      <c r="N37" s="10">
        <f>IFERROR(__xludf.DUMMYFUNCTION("""COMPUTED_VALUE"""),0.4125)</f>
        <v>0.4125</v>
      </c>
      <c r="O37" s="36">
        <f>IFERROR(__xludf.DUMMYFUNCTION("""COMPUTED_VALUE"""),8.312499999999968)</f>
        <v>8.3125</v>
      </c>
      <c r="P37" s="11">
        <f>IFERROR(__xludf.DUMMYFUNCTION("""COMPUTED_VALUE"""),75.15496579678938)</f>
        <v>75.1549658</v>
      </c>
      <c r="Q37" s="11">
        <f>IFERROR(__xludf.DUMMYFUNCTION("""COMPUTED_VALUE"""),132.0)</f>
        <v>132</v>
      </c>
      <c r="R37" s="11">
        <f>IFERROR(__xludf.DUMMYFUNCTION("""COMPUTED_VALUE"""),56.845034203210616)</f>
        <v>56.8450342</v>
      </c>
      <c r="S37" s="10">
        <f>IFERROR(__xludf.DUMMYFUNCTION("""COMPUTED_VALUE"""),0.7563709676472108)</f>
        <v>0.7563709676</v>
      </c>
      <c r="T37" s="11">
        <f>IFERROR(__xludf.DUMMYFUNCTION("""COMPUTED_VALUE"""),296436.03634456074)</f>
        <v>296436.0363</v>
      </c>
      <c r="U37" s="15">
        <f>IFERROR(__xludf.DUMMYFUNCTION("""COMPUTED_VALUE"""),4240.0)</f>
        <v>4240</v>
      </c>
      <c r="V37" s="15">
        <f>IFERROR(__xludf.DUMMYFUNCTION("""COMPUTED_VALUE"""),389340.2505400024)</f>
        <v>389340.2505</v>
      </c>
      <c r="W37" s="10">
        <f>IFERROR(__xludf.DUMMYFUNCTION("""COMPUTED_VALUE"""),1.3134039145208884)</f>
        <v>1.313403915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IFERROR(__xludf.DUMMYFUNCTION("""COMPUTED_VALUE"""),61.78064516129028)</f>
        <v>61.78064516</v>
      </c>
      <c r="C49" s="11">
        <f>IFERROR(__xludf.DUMMYFUNCTION("""COMPUTED_VALUE"""),59.0)</f>
        <v>59</v>
      </c>
      <c r="D49" s="11">
        <f>IFERROR(__xludf.DUMMYFUNCTION("""COMPUTED_VALUE"""),-2.7806451612902805)</f>
        <v>-2.780645161</v>
      </c>
      <c r="E49" s="10">
        <f>IFERROR(__xludf.DUMMYFUNCTION("""COMPUTED_VALUE"""),-0.04500835421887989)</f>
        <v>-0.04500835422</v>
      </c>
      <c r="F49" s="10">
        <f>IFERROR(__xludf.DUMMYFUNCTION("""COMPUTED_VALUE"""),0.7)</f>
        <v>0.7</v>
      </c>
      <c r="G49" s="10">
        <f>IFERROR(__xludf.DUMMYFUNCTION("""COMPUTED_VALUE"""),0.8135593220338984)</f>
        <v>0.813559322</v>
      </c>
      <c r="H49" s="36">
        <f>IFERROR(__xludf.DUMMYFUNCTION("""COMPUTED_VALUE"""),11.355932203389841)</f>
        <v>11.3559322</v>
      </c>
      <c r="I49" s="11">
        <f>IFERROR(__xludf.DUMMYFUNCTION("""COMPUTED_VALUE"""),43.24645161290319)</f>
        <v>43.24645161</v>
      </c>
      <c r="J49" s="11">
        <f>IFERROR(__xludf.DUMMYFUNCTION("""COMPUTED_VALUE"""),48.0)</f>
        <v>48</v>
      </c>
      <c r="K49" s="11">
        <f>IFERROR(__xludf.DUMMYFUNCTION("""COMPUTED_VALUE"""),4.7535483870968065)</f>
        <v>4.753548387</v>
      </c>
      <c r="L49" s="10">
        <f>IFERROR(__xludf.DUMMYFUNCTION("""COMPUTED_VALUE"""),0.10991765127103556)</f>
        <v>0.1099176513</v>
      </c>
      <c r="M49" s="10">
        <f>IFERROR(__xludf.DUMMYFUNCTION("""COMPUTED_VALUE"""),0.2712500000000002)</f>
        <v>0.27125</v>
      </c>
      <c r="N49" s="10">
        <f>IFERROR(__xludf.DUMMYFUNCTION("""COMPUTED_VALUE"""),0.1875)</f>
        <v>0.1875</v>
      </c>
      <c r="O49" s="36">
        <f>IFERROR(__xludf.DUMMYFUNCTION("""COMPUTED_VALUE"""),-8.375000000000021)</f>
        <v>-8.375</v>
      </c>
      <c r="P49" s="11">
        <f>IFERROR(__xludf.DUMMYFUNCTION("""COMPUTED_VALUE"""),11.7306)</f>
        <v>11.7306</v>
      </c>
      <c r="Q49" s="11">
        <f>IFERROR(__xludf.DUMMYFUNCTION("""COMPUTED_VALUE"""),9.0)</f>
        <v>9</v>
      </c>
      <c r="R49" s="11">
        <f>IFERROR(__xludf.DUMMYFUNCTION("""COMPUTED_VALUE"""),-2.730600000000001)</f>
        <v>-2.7306</v>
      </c>
      <c r="S49" s="10">
        <f>IFERROR(__xludf.DUMMYFUNCTION("""COMPUTED_VALUE"""),-0.23277581709375486)</f>
        <v>-0.2327758171</v>
      </c>
      <c r="T49" s="11">
        <f>IFERROR(__xludf.DUMMYFUNCTION("""COMPUTED_VALUE"""),91665.723744)</f>
        <v>91665.72374</v>
      </c>
      <c r="U49" s="15">
        <f>IFERROR(__xludf.DUMMYFUNCTION("""COMPUTED_VALUE"""),8400.0)</f>
        <v>8400</v>
      </c>
      <c r="V49" s="15">
        <f>IFERROR(__xludf.DUMMYFUNCTION("""COMPUTED_VALUE"""),39929.80645161318)</f>
        <v>39929.80645</v>
      </c>
      <c r="W49" s="10">
        <f>IFERROR(__xludf.DUMMYFUNCTION("""COMPUTED_VALUE"""),0.43560236935593705)</f>
        <v>0.4356023694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IFERROR(__xludf.DUMMYFUNCTION("""COMPUTED_VALUE"""),5.0)</f>
        <v>5</v>
      </c>
      <c r="D50" s="9"/>
      <c r="E50" s="9"/>
      <c r="F50" s="9"/>
      <c r="G50" s="10">
        <f>IFERROR(__xludf.DUMMYFUNCTION("""COMPUTED_VALUE"""),0.8)</f>
        <v>0.8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IFERROR(__xludf.DUMMYFUNCTION("""COMPUTED_VALUE"""),7.0)</f>
        <v>7</v>
      </c>
      <c r="D51" s="9"/>
      <c r="E51" s="9"/>
      <c r="F51" s="9"/>
      <c r="G51" s="10">
        <f>IFERROR(__xludf.DUMMYFUNCTION("""COMPUTED_VALUE"""),0.8571428571428571)</f>
        <v>0.8571428571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IFERROR(__xludf.DUMMYFUNCTION("""COMPUTED_VALUE"""),7.0)</f>
        <v>7</v>
      </c>
      <c r="D53" s="9"/>
      <c r="E53" s="9"/>
      <c r="F53" s="9"/>
      <c r="G53" s="10">
        <f>IFERROR(__xludf.DUMMYFUNCTION("""COMPUTED_VALUE"""),0.5714285714285714)</f>
        <v>0.5714285714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IFERROR(__xludf.DUMMYFUNCTION("""COMPUTED_VALUE"""),6.0)</f>
        <v>6</v>
      </c>
      <c r="D54" s="9"/>
      <c r="E54" s="9"/>
      <c r="F54" s="9"/>
      <c r="G54" s="10">
        <f>IFERROR(__xludf.DUMMYFUNCTION("""COMPUTED_VALUE"""),0.8333333333333334)</f>
        <v>0.8333333333</v>
      </c>
      <c r="H54" s="9"/>
      <c r="I54" s="9"/>
      <c r="J54" s="11">
        <f>IFERROR(__xludf.DUMMYFUNCTION("""COMPUTED_VALUE"""),5.0)</f>
        <v>5</v>
      </c>
      <c r="K54" s="9"/>
      <c r="L54" s="9"/>
      <c r="M54" s="9"/>
      <c r="N54" s="10">
        <f>IFERROR(__xludf.DUMMYFUNCTION("""COMPUTED_VALUE"""),0.2)</f>
        <v>0.2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IFERROR(__xludf.DUMMYFUNCTION("""COMPUTED_VALUE"""),"João Vitor Nascimento")</f>
        <v>João Vitor Nascimento</v>
      </c>
      <c r="B55" s="9"/>
      <c r="C55" s="11">
        <f>IFERROR(__xludf.DUMMYFUNCTION("""COMPUTED_VALUE"""),5.0)</f>
        <v>5</v>
      </c>
      <c r="D55" s="9"/>
      <c r="E55" s="9"/>
      <c r="F55" s="9"/>
      <c r="G55" s="10">
        <f>IFERROR(__xludf.DUMMYFUNCTION("""COMPUTED_VALUE"""),1.0)</f>
        <v>1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IFERROR(__xludf.DUMMYFUNCTION("""COMPUTED_VALUE"""),6.0)</f>
        <v>6</v>
      </c>
      <c r="D56" s="9"/>
      <c r="E56" s="9"/>
      <c r="F56" s="9"/>
      <c r="G56" s="10">
        <f>IFERROR(__xludf.DUMMYFUNCTION("""COMPUTED_VALUE"""),1.0)</f>
        <v>1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IFERROR(__xludf.DUMMYFUNCTION("""COMPUTED_VALUE"""),6.0)</f>
        <v>6</v>
      </c>
      <c r="D57" s="9"/>
      <c r="E57" s="9"/>
      <c r="F57" s="9"/>
      <c r="G57" s="10">
        <f>IFERROR(__xludf.DUMMYFUNCTION("""COMPUTED_VALUE"""),0.6666666666666666)</f>
        <v>0.6666666667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IFERROR(__xludf.DUMMYFUNCTION("""COMPUTED_VALUE"""),3.0)</f>
        <v>3</v>
      </c>
      <c r="D58" s="9"/>
      <c r="E58" s="9"/>
      <c r="F58" s="9"/>
      <c r="G58" s="10">
        <f>IFERROR(__xludf.DUMMYFUNCTION("""COMPUTED_VALUE"""),0.3333333333333333)</f>
        <v>0.3333333333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IFERROR(__xludf.DUMMYFUNCTION("""COMPUTED_VALUE"""),5.0)</f>
        <v>5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IFERROR(__xludf.DUMMYFUNCTION("""COMPUTED_VALUE"""),5.0)</f>
        <v>5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IFERROR(__xludf.DUMMYFUNCTION("""COMPUTED_VALUE"""),1174.6064516129024)</f>
        <v>1174.606452</v>
      </c>
      <c r="C60" s="11">
        <f>IFERROR(__xludf.DUMMYFUNCTION("""COMPUTED_VALUE"""),2576.0)</f>
        <v>2576</v>
      </c>
      <c r="D60" s="11">
        <f>IFERROR(__xludf.DUMMYFUNCTION("""COMPUTED_VALUE"""),1401.3935483870976)</f>
        <v>1401.393548</v>
      </c>
      <c r="E60" s="10">
        <f>IFERROR(__xludf.DUMMYFUNCTION("""COMPUTED_VALUE"""),1.193074962650498)</f>
        <v>1.193074963</v>
      </c>
      <c r="F60" s="10">
        <f>IFERROR(__xludf.DUMMYFUNCTION("""COMPUTED_VALUE"""),0.7391240265256913)</f>
        <v>0.7391240265</v>
      </c>
      <c r="G60" s="10">
        <f>IFERROR(__xludf.DUMMYFUNCTION("""COMPUTED_VALUE"""),0.6948757763975155)</f>
        <v>0.6948757764</v>
      </c>
      <c r="H60" s="36">
        <f>IFERROR(__xludf.DUMMYFUNCTION("""COMPUTED_VALUE"""),-4.424825012817579)</f>
        <v>-4.424825013</v>
      </c>
      <c r="I60" s="11">
        <f>IFERROR(__xludf.DUMMYFUNCTION("""COMPUTED_VALUE"""),868.1798500991831)</f>
        <v>868.1798501</v>
      </c>
      <c r="J60" s="11">
        <f>IFERROR(__xludf.DUMMYFUNCTION("""COMPUTED_VALUE"""),1790.0)</f>
        <v>1790</v>
      </c>
      <c r="K60" s="11">
        <f>IFERROR(__xludf.DUMMYFUNCTION("""COMPUTED_VALUE"""),921.8201499008169)</f>
        <v>921.8201499</v>
      </c>
      <c r="L60" s="10">
        <f>IFERROR(__xludf.DUMMYFUNCTION("""COMPUTED_VALUE"""),1.0617847785749759)</f>
        <v>1.061784779</v>
      </c>
      <c r="M60" s="10">
        <f>IFERROR(__xludf.DUMMYFUNCTION("""COMPUTED_VALUE"""),0.33573164743115086)</f>
        <v>0.3357316474</v>
      </c>
      <c r="N60" s="10">
        <f>IFERROR(__xludf.DUMMYFUNCTION("""COMPUTED_VALUE"""),0.39608938547486033)</f>
        <v>0.3960893855</v>
      </c>
      <c r="O60" s="36">
        <f>IFERROR(__xludf.DUMMYFUNCTION("""COMPUTED_VALUE"""),6.0357738043709475)</f>
        <v>6.035773804</v>
      </c>
      <c r="P60" s="11">
        <f>IFERROR(__xludf.DUMMYFUNCTION("""COMPUTED_VALUE"""),291.47545134032833)</f>
        <v>291.4754513</v>
      </c>
      <c r="Q60" s="11">
        <f>IFERROR(__xludf.DUMMYFUNCTION("""COMPUTED_VALUE"""),709.0)</f>
        <v>709</v>
      </c>
      <c r="R60" s="11">
        <f>IFERROR(__xludf.DUMMYFUNCTION("""COMPUTED_VALUE"""),417.52454865967167)</f>
        <v>417.5245487</v>
      </c>
      <c r="S60" s="10">
        <f>IFERROR(__xludf.DUMMYFUNCTION("""COMPUTED_VALUE"""),1.4324518471099912)</f>
        <v>1.432451847</v>
      </c>
      <c r="T60" s="11">
        <f>IFERROR(__xludf.DUMMYFUNCTION("""COMPUTED_VALUE"""),1587389.8286786797)</f>
        <v>1587389.829</v>
      </c>
      <c r="U60" s="15">
        <f>IFERROR(__xludf.DUMMYFUNCTION("""COMPUTED_VALUE"""),5854.288896925282)</f>
        <v>5854.288897</v>
      </c>
      <c r="V60" s="15">
        <f>IFERROR(__xludf.DUMMYFUNCTION("""COMPUTED_VALUE"""),226933.83253602762)</f>
        <v>226933.8325</v>
      </c>
      <c r="W60" s="10">
        <f>IFERROR(__xludf.DUMMYFUNCTION("""COMPUTED_VALUE"""),0.1429603670353136)</f>
        <v>0.142960367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IFERROR(__xludf.DUMMYFUNCTION("""COMPUTED_VALUE"""),357.6774193548385)</f>
        <v>357.6774194</v>
      </c>
      <c r="C61" s="11">
        <f>IFERROR(__xludf.DUMMYFUNCTION("""COMPUTED_VALUE"""),358.0)</f>
        <v>358</v>
      </c>
      <c r="D61" s="11">
        <f>IFERROR(__xludf.DUMMYFUNCTION("""COMPUTED_VALUE"""),0.32258064516150853)</f>
        <v>0.3225806452</v>
      </c>
      <c r="E61" s="10">
        <f>IFERROR(__xludf.DUMMYFUNCTION("""COMPUTED_VALUE"""),9.018759018765125E-4)</f>
        <v>0.0009018759019</v>
      </c>
      <c r="F61" s="10">
        <f>IFERROR(__xludf.DUMMYFUNCTION("""COMPUTED_VALUE"""),0.8681746999803265)</f>
        <v>0.8681747</v>
      </c>
      <c r="G61" s="10">
        <f>IFERROR(__xludf.DUMMYFUNCTION("""COMPUTED_VALUE"""),0.7067039106145251)</f>
        <v>0.7067039106</v>
      </c>
      <c r="H61" s="36">
        <f>IFERROR(__xludf.DUMMYFUNCTION("""COMPUTED_VALUE"""),-16.14707893658014)</f>
        <v>-16.14707894</v>
      </c>
      <c r="I61" s="11">
        <f>IFERROR(__xludf.DUMMYFUNCTION("""COMPUTED_VALUE"""),310.52648623812433)</f>
        <v>310.5264862</v>
      </c>
      <c r="J61" s="11">
        <f>IFERROR(__xludf.DUMMYFUNCTION("""COMPUTED_VALUE"""),253.0)</f>
        <v>253</v>
      </c>
      <c r="K61" s="11">
        <f>IFERROR(__xludf.DUMMYFUNCTION("""COMPUTED_VALUE"""),-57.526486238124335)</f>
        <v>-57.52648624</v>
      </c>
      <c r="L61" s="10">
        <f>IFERROR(__xludf.DUMMYFUNCTION("""COMPUTED_VALUE"""),-0.1852546845038226)</f>
        <v>-0.1852546845</v>
      </c>
      <c r="M61" s="10">
        <f>IFERROR(__xludf.DUMMYFUNCTION("""COMPUTED_VALUE"""),0.3100000000000003)</f>
        <v>0.31</v>
      </c>
      <c r="N61" s="10">
        <f>IFERROR(__xludf.DUMMYFUNCTION("""COMPUTED_VALUE"""),0.42292490118577075)</f>
        <v>0.4229249012</v>
      </c>
      <c r="O61" s="36">
        <f>IFERROR(__xludf.DUMMYFUNCTION("""COMPUTED_VALUE"""),11.292490118577048)</f>
        <v>11.29249012</v>
      </c>
      <c r="P61" s="11">
        <f>IFERROR(__xludf.DUMMYFUNCTION("""COMPUTED_VALUE"""),96.26321073381862)</f>
        <v>96.26321073</v>
      </c>
      <c r="Q61" s="11">
        <f>IFERROR(__xludf.DUMMYFUNCTION("""COMPUTED_VALUE"""),107.0)</f>
        <v>107</v>
      </c>
      <c r="R61" s="11">
        <f>IFERROR(__xludf.DUMMYFUNCTION("""COMPUTED_VALUE"""),10.736789266181376)</f>
        <v>10.73678927</v>
      </c>
      <c r="S61" s="10">
        <f>IFERROR(__xludf.DUMMYFUNCTION("""COMPUTED_VALUE"""),0.11153574854125856)</f>
        <v>0.1115357485</v>
      </c>
      <c r="T61" s="11">
        <f>IFERROR(__xludf.DUMMYFUNCTION("""COMPUTED_VALUE"""),454468.5650728001)</f>
        <v>454468.5651</v>
      </c>
      <c r="U61" s="15">
        <f>IFERROR(__xludf.DUMMYFUNCTION("""COMPUTED_VALUE"""),5074.999999999999)</f>
        <v>5075</v>
      </c>
      <c r="V61" s="15">
        <f>IFERROR(__xludf.DUMMYFUNCTION("""COMPUTED_VALUE"""),-291946.91765848093)</f>
        <v>-291946.9177</v>
      </c>
      <c r="W61" s="10">
        <f>IFERROR(__xludf.DUMMYFUNCTION("""COMPUTED_VALUE"""),-0.6423918838296654)</f>
        <v>-0.6423918838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IFERROR(__xludf.DUMMYFUNCTION("""COMPUTED_VALUE"""),40.0)</f>
        <v>40</v>
      </c>
      <c r="D62" s="9"/>
      <c r="E62" s="9"/>
      <c r="F62" s="9"/>
      <c r="G62" s="10">
        <f>IFERROR(__xludf.DUMMYFUNCTION("""COMPUTED_VALUE"""),0.75)</f>
        <v>0.75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IFERROR(__xludf.DUMMYFUNCTION("""COMPUTED_VALUE"""),39.0)</f>
        <v>39</v>
      </c>
      <c r="D63" s="9"/>
      <c r="E63" s="9"/>
      <c r="F63" s="9"/>
      <c r="G63" s="10">
        <f>IFERROR(__xludf.DUMMYFUNCTION("""COMPUTED_VALUE"""),0.8205128205128205)</f>
        <v>0.8205128205</v>
      </c>
      <c r="H63" s="9"/>
      <c r="I63" s="9"/>
      <c r="J63" s="11">
        <f>IFERROR(__xludf.DUMMYFUNCTION("""COMPUTED_VALUE"""),32.0)</f>
        <v>32</v>
      </c>
      <c r="K63" s="9"/>
      <c r="L63" s="9"/>
      <c r="M63" s="9"/>
      <c r="N63" s="10">
        <f>IFERROR(__xludf.DUMMYFUNCTION("""COMPUTED_VALUE"""),0.40625)</f>
        <v>0.40625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IFERROR(__xludf.DUMMYFUNCTION("""COMPUTED_VALUE"""),"Thalita Lopes")</f>
        <v>Thalita Lopes</v>
      </c>
      <c r="B64" s="9"/>
      <c r="C64" s="11">
        <f>IFERROR(__xludf.DUMMYFUNCTION("""COMPUTED_VALUE"""),39.0)</f>
        <v>39</v>
      </c>
      <c r="D64" s="9"/>
      <c r="E64" s="9"/>
      <c r="F64" s="9"/>
      <c r="G64" s="10">
        <f>IFERROR(__xludf.DUMMYFUNCTION("""COMPUTED_VALUE"""),0.5897435897435898)</f>
        <v>0.5897435897</v>
      </c>
      <c r="H64" s="9"/>
      <c r="I64" s="9"/>
      <c r="J64" s="11">
        <f>IFERROR(__xludf.DUMMYFUNCTION("""COMPUTED_VALUE"""),23.0)</f>
        <v>23</v>
      </c>
      <c r="K64" s="9"/>
      <c r="L64" s="9"/>
      <c r="M64" s="9"/>
      <c r="N64" s="10">
        <f>IFERROR(__xludf.DUMMYFUNCTION("""COMPUTED_VALUE"""),0.5217391304347826)</f>
        <v>0.5217391304</v>
      </c>
      <c r="O64" s="9"/>
      <c r="P64" s="9"/>
      <c r="Q64" s="11">
        <f>IFERROR(__xludf.DUMMYFUNCTION("""COMPUTED_VALUE"""),12.0)</f>
        <v>12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IFERROR(__xludf.DUMMYFUNCTION("""COMPUTED_VALUE"""),"Marcio Lucas")</f>
        <v>Marcio Lucas</v>
      </c>
      <c r="B65" s="9"/>
      <c r="C65" s="11">
        <f>IFERROR(__xludf.DUMMYFUNCTION("""COMPUTED_VALUE"""),46.0)</f>
        <v>46</v>
      </c>
      <c r="D65" s="9"/>
      <c r="E65" s="9"/>
      <c r="F65" s="9"/>
      <c r="G65" s="10">
        <f>IFERROR(__xludf.DUMMYFUNCTION("""COMPUTED_VALUE"""),0.8043478260869565)</f>
        <v>0.8043478261</v>
      </c>
      <c r="H65" s="9"/>
      <c r="I65" s="9"/>
      <c r="J65" s="11">
        <f>IFERROR(__xludf.DUMMYFUNCTION("""COMPUTED_VALUE"""),37.0)</f>
        <v>37</v>
      </c>
      <c r="K65" s="9"/>
      <c r="L65" s="9"/>
      <c r="M65" s="9"/>
      <c r="N65" s="10">
        <f>IFERROR(__xludf.DUMMYFUNCTION("""COMPUTED_VALUE"""),0.32432432432432434)</f>
        <v>0.3243243243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IFERROR(__xludf.DUMMYFUNCTION("""COMPUTED_VALUE"""),41.0)</f>
        <v>41</v>
      </c>
      <c r="D66" s="9"/>
      <c r="E66" s="9"/>
      <c r="F66" s="9"/>
      <c r="G66" s="10">
        <f>IFERROR(__xludf.DUMMYFUNCTION("""COMPUTED_VALUE"""),0.6341463414634146)</f>
        <v>0.6341463415</v>
      </c>
      <c r="H66" s="9"/>
      <c r="I66" s="9"/>
      <c r="J66" s="11">
        <f>IFERROR(__xludf.DUMMYFUNCTION("""COMPUTED_VALUE"""),26.0)</f>
        <v>26</v>
      </c>
      <c r="K66" s="9"/>
      <c r="L66" s="9"/>
      <c r="M66" s="9"/>
      <c r="N66" s="10">
        <f>IFERROR(__xludf.DUMMYFUNCTION("""COMPUTED_VALUE"""),0.4230769230769231)</f>
        <v>0.4230769231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IFERROR(__xludf.DUMMYFUNCTION("""COMPUTED_VALUE"""),"Gustavo Pereira")</f>
        <v>Gustavo Pereira</v>
      </c>
      <c r="B67" s="9"/>
      <c r="C67" s="11">
        <f>IFERROR(__xludf.DUMMYFUNCTION("""COMPUTED_VALUE"""),39.0)</f>
        <v>39</v>
      </c>
      <c r="D67" s="9"/>
      <c r="E67" s="9"/>
      <c r="F67" s="9"/>
      <c r="G67" s="10">
        <f>IFERROR(__xludf.DUMMYFUNCTION("""COMPUTED_VALUE"""),0.6410256410256411)</f>
        <v>0.641025641</v>
      </c>
      <c r="H67" s="9"/>
      <c r="I67" s="9"/>
      <c r="J67" s="11">
        <f>IFERROR(__xludf.DUMMYFUNCTION("""COMPUTED_VALUE"""),25.0)</f>
        <v>25</v>
      </c>
      <c r="K67" s="9"/>
      <c r="L67" s="9"/>
      <c r="M67" s="9"/>
      <c r="N67" s="10">
        <f>IFERROR(__xludf.DUMMYFUNCTION("""COMPUTED_VALUE"""),0.4)</f>
        <v>0.4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IFERROR(__xludf.DUMMYFUNCTION("""COMPUTED_VALUE"""),"João Rios")</f>
        <v>João Rios</v>
      </c>
      <c r="B69" s="9"/>
      <c r="C69" s="11">
        <f>IFERROR(__xludf.DUMMYFUNCTION("""COMPUTED_VALUE"""),39.0)</f>
        <v>39</v>
      </c>
      <c r="D69" s="9"/>
      <c r="E69" s="9"/>
      <c r="F69" s="9"/>
      <c r="G69" s="10">
        <f>IFERROR(__xludf.DUMMYFUNCTION("""COMPUTED_VALUE"""),0.5897435897435898)</f>
        <v>0.5897435897</v>
      </c>
      <c r="H69" s="9"/>
      <c r="I69" s="9"/>
      <c r="J69" s="11">
        <f>IFERROR(__xludf.DUMMYFUNCTION("""COMPUTED_VALUE"""),23.0)</f>
        <v>23</v>
      </c>
      <c r="K69" s="9"/>
      <c r="L69" s="9"/>
      <c r="M69" s="9"/>
      <c r="N69" s="10">
        <f>IFERROR(__xludf.DUMMYFUNCTION("""COMPUTED_VALUE"""),0.34782608695652173)</f>
        <v>0.347826087</v>
      </c>
      <c r="O69" s="9"/>
      <c r="P69" s="9"/>
      <c r="Q69" s="11">
        <f>IFERROR(__xludf.DUMMYFUNCTION("""COMPUTED_VALUE"""),8.0)</f>
        <v>8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IFERROR(__xludf.DUMMYFUNCTION("""COMPUTED_VALUE"""),"Felipe Maximo")</f>
        <v>Felipe Maximo</v>
      </c>
      <c r="B70" s="9"/>
      <c r="C70" s="11">
        <f>IFERROR(__xludf.DUMMYFUNCTION("""COMPUTED_VALUE"""),32.0)</f>
        <v>32</v>
      </c>
      <c r="D70" s="9"/>
      <c r="E70" s="9"/>
      <c r="F70" s="9"/>
      <c r="G70" s="10">
        <f>IFERROR(__xludf.DUMMYFUNCTION("""COMPUTED_VALUE"""),0.75)</f>
        <v>0.75</v>
      </c>
      <c r="H70" s="9"/>
      <c r="I70" s="9"/>
      <c r="J70" s="11">
        <f>IFERROR(__xludf.DUMMYFUNCTION("""COMPUTED_VALUE"""),24.0)</f>
        <v>24</v>
      </c>
      <c r="K70" s="9"/>
      <c r="L70" s="9"/>
      <c r="M70" s="9"/>
      <c r="N70" s="10">
        <f>IFERROR(__xludf.DUMMYFUNCTION("""COMPUTED_VALUE"""),0.3333333333333333)</f>
        <v>0.3333333333</v>
      </c>
      <c r="O70" s="9"/>
      <c r="P70" s="9"/>
      <c r="Q70" s="11">
        <f>IFERROR(__xludf.DUMMYFUNCTION("""COMPUTED_VALUE"""),8.0)</f>
        <v>8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IFERROR(__xludf.DUMMYFUNCTION("""COMPUTED_VALUE"""),139.35483870967732)</f>
        <v>139.3548387</v>
      </c>
      <c r="C72" s="11">
        <f>IFERROR(__xludf.DUMMYFUNCTION("""COMPUTED_VALUE"""),173.0)</f>
        <v>173</v>
      </c>
      <c r="D72" s="11">
        <f>IFERROR(__xludf.DUMMYFUNCTION("""COMPUTED_VALUE"""),33.645161290322676)</f>
        <v>33.64516129</v>
      </c>
      <c r="E72" s="10">
        <f>IFERROR(__xludf.DUMMYFUNCTION("""COMPUTED_VALUE"""),0.24143518518518603)</f>
        <v>0.2414351852</v>
      </c>
      <c r="F72" s="10">
        <f>IFERROR(__xludf.DUMMYFUNCTION("""COMPUTED_VALUE"""),0.7488125590778879)</f>
        <v>0.7488125591</v>
      </c>
      <c r="G72" s="10">
        <f>IFERROR(__xludf.DUMMYFUNCTION("""COMPUTED_VALUE"""),0.6647398843930635)</f>
        <v>0.6647398844</v>
      </c>
      <c r="H72" s="36">
        <f>IFERROR(__xludf.DUMMYFUNCTION("""COMPUTED_VALUE"""),-8.407267468482438)</f>
        <v>-8.407267468</v>
      </c>
      <c r="I72" s="11">
        <f>IFERROR(__xludf.DUMMYFUNCTION("""COMPUTED_VALUE"""),104.35065339407979)</f>
        <v>104.3506534</v>
      </c>
      <c r="J72" s="11">
        <f>IFERROR(__xludf.DUMMYFUNCTION("""COMPUTED_VALUE"""),115.0)</f>
        <v>115</v>
      </c>
      <c r="K72" s="11">
        <f>IFERROR(__xludf.DUMMYFUNCTION("""COMPUTED_VALUE"""),10.649346605920215)</f>
        <v>10.64934661</v>
      </c>
      <c r="L72" s="10">
        <f>IFERROR(__xludf.DUMMYFUNCTION("""COMPUTED_VALUE"""),0.10205347316516557)</f>
        <v>0.1020534732</v>
      </c>
      <c r="M72" s="10">
        <f>IFERROR(__xludf.DUMMYFUNCTION("""COMPUTED_VALUE"""),0.26156250000000025)</f>
        <v>0.2615625</v>
      </c>
      <c r="N72" s="10">
        <f>IFERROR(__xludf.DUMMYFUNCTION("""COMPUTED_VALUE"""),0.23478260869565218)</f>
        <v>0.2347826087</v>
      </c>
      <c r="O72" s="36">
        <f>IFERROR(__xludf.DUMMYFUNCTION("""COMPUTED_VALUE"""),-2.6779891304348076)</f>
        <v>-2.67798913</v>
      </c>
      <c r="P72" s="11">
        <f>IFERROR(__xludf.DUMMYFUNCTION("""COMPUTED_VALUE"""),27.29421777838902)</f>
        <v>27.29421778</v>
      </c>
      <c r="Q72" s="11">
        <f>IFERROR(__xludf.DUMMYFUNCTION("""COMPUTED_VALUE"""),27.0)</f>
        <v>27</v>
      </c>
      <c r="R72" s="11">
        <f>IFERROR(__xludf.DUMMYFUNCTION("""COMPUTED_VALUE"""),-0.29421777838901875)</f>
        <v>-0.2942177784</v>
      </c>
      <c r="S72" s="10">
        <f>IFERROR(__xludf.DUMMYFUNCTION("""COMPUTED_VALUE"""),-0.01077949112804303)</f>
        <v>-0.01077949113</v>
      </c>
      <c r="T72" s="11">
        <f>IFERROR(__xludf.DUMMYFUNCTION("""COMPUTED_VALUE"""),81758.70119416279)</f>
        <v>81758.70119</v>
      </c>
      <c r="U72" s="15">
        <f>IFERROR(__xludf.DUMMYFUNCTION("""COMPUTED_VALUE"""),3220.0)</f>
        <v>3220</v>
      </c>
      <c r="V72" s="15">
        <f>IFERROR(__xludf.DUMMYFUNCTION("""COMPUTED_VALUE"""),34290.89607106309)</f>
        <v>34290.89607</v>
      </c>
      <c r="W72" s="10">
        <f>IFERROR(__xludf.DUMMYFUNCTION("""COMPUTED_VALUE"""),0.41941586118923463)</f>
        <v>0.4194158612</v>
      </c>
      <c r="X72" s="9"/>
      <c r="Y72" s="9"/>
      <c r="Z72" s="9"/>
    </row>
    <row r="73">
      <c r="A73" s="9" t="str">
        <f>IFERROR(__xludf.DUMMYFUNCTION("""COMPUTED_VALUE"""),"Mariana Jovenato")</f>
        <v>Mariana Jovenato</v>
      </c>
      <c r="B73" s="9"/>
      <c r="C73" s="11">
        <f>IFERROR(__xludf.DUMMYFUNCTION("""COMPUTED_VALUE"""),19.0)</f>
        <v>19</v>
      </c>
      <c r="D73" s="9"/>
      <c r="E73" s="9"/>
      <c r="F73" s="9"/>
      <c r="G73" s="10">
        <f>IFERROR(__xludf.DUMMYFUNCTION("""COMPUTED_VALUE"""),0.631578947368421)</f>
        <v>0.6315789474</v>
      </c>
      <c r="H73" s="9"/>
      <c r="I73" s="9"/>
      <c r="J73" s="11">
        <f>IFERROR(__xludf.DUMMYFUNCTION("""COMPUTED_VALUE"""),12.0)</f>
        <v>12</v>
      </c>
      <c r="K73" s="9"/>
      <c r="L73" s="9"/>
      <c r="M73" s="9"/>
      <c r="N73" s="10">
        <f>IFERROR(__xludf.DUMMYFUNCTION("""COMPUTED_VALUE"""),0.5)</f>
        <v>0.5</v>
      </c>
      <c r="O73" s="9"/>
      <c r="P73" s="9"/>
      <c r="Q73" s="11">
        <f>IFERROR(__xludf.DUMMYFUNCTION("""COMPUTED_VALUE"""),6.0)</f>
        <v>6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IFERROR(__xludf.DUMMYFUNCTION("""COMPUTED_VALUE"""),"Thalita Lopes")</f>
        <v>Thalita Lopes</v>
      </c>
      <c r="B74" s="9"/>
      <c r="C74" s="11">
        <f>IFERROR(__xludf.DUMMYFUNCTION("""COMPUTED_VALUE"""),22.0)</f>
        <v>22</v>
      </c>
      <c r="D74" s="9"/>
      <c r="E74" s="9"/>
      <c r="F74" s="9"/>
      <c r="G74" s="10">
        <f>IFERROR(__xludf.DUMMYFUNCTION("""COMPUTED_VALUE"""),0.6818181818181818)</f>
        <v>0.6818181818</v>
      </c>
      <c r="H74" s="9"/>
      <c r="I74" s="9"/>
      <c r="J74" s="11">
        <f>IFERROR(__xludf.DUMMYFUNCTION("""COMPUTED_VALUE"""),15.0)</f>
        <v>15</v>
      </c>
      <c r="K74" s="9"/>
      <c r="L74" s="9"/>
      <c r="M74" s="9"/>
      <c r="N74" s="10">
        <f>IFERROR(__xludf.DUMMYFUNCTION("""COMPUTED_VALUE"""),0.4)</f>
        <v>0.4</v>
      </c>
      <c r="O74" s="9"/>
      <c r="P74" s="9"/>
      <c r="Q74" s="11">
        <f>IFERROR(__xludf.DUMMYFUNCTION("""COMPUTED_VALUE"""),6.0)</f>
        <v>6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IFERROR(__xludf.DUMMYFUNCTION("""COMPUTED_VALUE"""),22.0)</f>
        <v>22</v>
      </c>
      <c r="D75" s="9"/>
      <c r="E75" s="9"/>
      <c r="F75" s="9"/>
      <c r="G75" s="10">
        <f>IFERROR(__xludf.DUMMYFUNCTION("""COMPUTED_VALUE"""),0.6818181818181818)</f>
        <v>0.6818181818</v>
      </c>
      <c r="H75" s="9"/>
      <c r="I75" s="9"/>
      <c r="J75" s="11">
        <f>IFERROR(__xludf.DUMMYFUNCTION("""COMPUTED_VALUE"""),15.0)</f>
        <v>15</v>
      </c>
      <c r="K75" s="9"/>
      <c r="L75" s="9"/>
      <c r="M75" s="9"/>
      <c r="N75" s="10">
        <f>IFERROR(__xludf.DUMMYFUNCTION("""COMPUTED_VALUE"""),0.3333333333333333)</f>
        <v>0.3333333333</v>
      </c>
      <c r="O75" s="9"/>
      <c r="P75" s="9"/>
      <c r="Q75" s="11">
        <f>IFERROR(__xludf.DUMMYFUNCTION("""COMPUTED_VALUE"""),5.0)</f>
        <v>5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IFERROR(__xludf.DUMMYFUNCTION("""COMPUTED_VALUE"""),20.0)</f>
        <v>20</v>
      </c>
      <c r="D76" s="9"/>
      <c r="E76" s="9"/>
      <c r="F76" s="9"/>
      <c r="G76" s="10">
        <f>IFERROR(__xludf.DUMMYFUNCTION("""COMPUTED_VALUE"""),0.7)</f>
        <v>0.7</v>
      </c>
      <c r="H76" s="9"/>
      <c r="I76" s="9"/>
      <c r="J76" s="11">
        <f>IFERROR(__xludf.DUMMYFUNCTION("""COMPUTED_VALUE"""),14.0)</f>
        <v>14</v>
      </c>
      <c r="K76" s="9"/>
      <c r="L76" s="9"/>
      <c r="M76" s="9"/>
      <c r="N76" s="10">
        <f>IFERROR(__xludf.DUMMYFUNCTION("""COMPUTED_VALUE"""),0.2857142857142857)</f>
        <v>0.2857142857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IFERROR(__xludf.DUMMYFUNCTION("""COMPUTED_VALUE"""),"Ilson Costa Lima")</f>
        <v>Ilson Costa Lima</v>
      </c>
      <c r="B77" s="9"/>
      <c r="C77" s="11">
        <f>IFERROR(__xludf.DUMMYFUNCTION("""COMPUTED_VALUE"""),21.0)</f>
        <v>21</v>
      </c>
      <c r="D77" s="9"/>
      <c r="E77" s="9"/>
      <c r="F77" s="9"/>
      <c r="G77" s="10">
        <f>IFERROR(__xludf.DUMMYFUNCTION("""COMPUTED_VALUE"""),0.47619047619047616)</f>
        <v>0.4761904762</v>
      </c>
      <c r="H77" s="9"/>
      <c r="I77" s="9"/>
      <c r="J77" s="11">
        <f>IFERROR(__xludf.DUMMYFUNCTION("""COMPUTED_VALUE"""),10.0)</f>
        <v>10</v>
      </c>
      <c r="K77" s="9"/>
      <c r="L77" s="9"/>
      <c r="M77" s="9"/>
      <c r="N77" s="10">
        <f>IFERROR(__xludf.DUMMYFUNCTION("""COMPUTED_VALUE"""),0.2)</f>
        <v>0.2</v>
      </c>
      <c r="O77" s="9"/>
      <c r="P77" s="9"/>
      <c r="Q77" s="11">
        <f>IFERROR(__xludf.DUMMYFUNCTION("""COMPUTED_VALUE"""),2.0)</f>
        <v>2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IFERROR(__xludf.DUMMYFUNCTION("""COMPUTED_VALUE"""),"Marcio Lucas")</f>
        <v>Marcio Lucas</v>
      </c>
      <c r="B78" s="9"/>
      <c r="C78" s="11">
        <f>IFERROR(__xludf.DUMMYFUNCTION("""COMPUTED_VALUE"""),21.0)</f>
        <v>21</v>
      </c>
      <c r="D78" s="9"/>
      <c r="E78" s="9"/>
      <c r="F78" s="9"/>
      <c r="G78" s="10">
        <f>IFERROR(__xludf.DUMMYFUNCTION("""COMPUTED_VALUE"""),0.6666666666666666)</f>
        <v>0.6666666667</v>
      </c>
      <c r="H78" s="9"/>
      <c r="I78" s="9"/>
      <c r="J78" s="11">
        <f>IFERROR(__xludf.DUMMYFUNCTION("""COMPUTED_VALUE"""),14.0)</f>
        <v>14</v>
      </c>
      <c r="K78" s="9"/>
      <c r="L78" s="9"/>
      <c r="M78" s="9"/>
      <c r="N78" s="10">
        <f>IFERROR(__xludf.DUMMYFUNCTION("""COMPUTED_VALUE"""),0.14285714285714285)</f>
        <v>0.1428571429</v>
      </c>
      <c r="O78" s="9"/>
      <c r="P78" s="9"/>
      <c r="Q78" s="11">
        <f>IFERROR(__xludf.DUMMYFUNCTION("""COMPUTED_VALUE"""),2.0)</f>
        <v>2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IFERROR(__xludf.DUMMYFUNCTION("""COMPUTED_VALUE"""),15.0)</f>
        <v>15</v>
      </c>
      <c r="D82" s="9"/>
      <c r="E82" s="9"/>
      <c r="F82" s="9"/>
      <c r="G82" s="10">
        <f>IFERROR(__xludf.DUMMYFUNCTION("""COMPUTED_VALUE"""),0.6666666666666666)</f>
        <v>0.6666666667</v>
      </c>
      <c r="H82" s="9"/>
      <c r="I82" s="9"/>
      <c r="J82" s="11">
        <f>IFERROR(__xludf.DUMMYFUNCTION("""COMPUTED_VALUE"""),10.0)</f>
        <v>10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IFERROR(__xludf.DUMMYFUNCTION("""COMPUTED_VALUE"""),23.0)</f>
        <v>23</v>
      </c>
      <c r="D83" s="9"/>
      <c r="E83" s="9"/>
      <c r="F83" s="9"/>
      <c r="G83" s="10">
        <f>IFERROR(__xludf.DUMMYFUNCTION("""COMPUTED_VALUE"""),0.7391304347826086)</f>
        <v>0.7391304348</v>
      </c>
      <c r="H83" s="9"/>
      <c r="I83" s="9"/>
      <c r="J83" s="11">
        <f>IFERROR(__xludf.DUMMYFUNCTION("""COMPUTED_VALUE"""),17.0)</f>
        <v>17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IFERROR(__xludf.DUMMYFUNCTION("""COMPUTED_VALUE"""),112.25806451612897)</f>
        <v>112.2580645</v>
      </c>
      <c r="C84" s="11">
        <f>IFERROR(__xludf.DUMMYFUNCTION("""COMPUTED_VALUE"""),229.0)</f>
        <v>229</v>
      </c>
      <c r="D84" s="11">
        <f>IFERROR(__xludf.DUMMYFUNCTION("""COMPUTED_VALUE"""),116.74193548387103)</f>
        <v>116.7419355</v>
      </c>
      <c r="E84" s="10">
        <f>IFERROR(__xludf.DUMMYFUNCTION("""COMPUTED_VALUE"""),1.0399425287356334)</f>
        <v>1.039942529</v>
      </c>
      <c r="F84" s="10">
        <f>IFERROR(__xludf.DUMMYFUNCTION("""COMPUTED_VALUE"""),0.5893855762154737)</f>
        <v>0.5893855762</v>
      </c>
      <c r="G84" s="10">
        <f>IFERROR(__xludf.DUMMYFUNCTION("""COMPUTED_VALUE"""),0.7816593886462883)</f>
        <v>0.7816593886</v>
      </c>
      <c r="H84" s="36">
        <f>IFERROR(__xludf.DUMMYFUNCTION("""COMPUTED_VALUE"""),19.227381243081453)</f>
        <v>19.22738124</v>
      </c>
      <c r="I84" s="11">
        <f>IFERROR(__xludf.DUMMYFUNCTION("""COMPUTED_VALUE"""),66.16328403967249)</f>
        <v>66.16328404</v>
      </c>
      <c r="J84" s="11">
        <f>IFERROR(__xludf.DUMMYFUNCTION("""COMPUTED_VALUE"""),179.0)</f>
        <v>179</v>
      </c>
      <c r="K84" s="11">
        <f>IFERROR(__xludf.DUMMYFUNCTION("""COMPUTED_VALUE"""),112.83671596032751)</f>
        <v>112.836716</v>
      </c>
      <c r="L84" s="10">
        <f>IFERROR(__xludf.DUMMYFUNCTION("""COMPUTED_VALUE"""),1.7054279816683364)</f>
        <v>1.705427982</v>
      </c>
      <c r="M84" s="10">
        <f>IFERROR(__xludf.DUMMYFUNCTION("""COMPUTED_VALUE"""),0.35843750000000024)</f>
        <v>0.3584375</v>
      </c>
      <c r="N84" s="10">
        <f>IFERROR(__xludf.DUMMYFUNCTION("""COMPUTED_VALUE"""),0.41899441340782123)</f>
        <v>0.4189944134</v>
      </c>
      <c r="O84" s="36">
        <f>IFERROR(__xludf.DUMMYFUNCTION("""COMPUTED_VALUE"""),6.055691340782099)</f>
        <v>6.055691341</v>
      </c>
      <c r="P84" s="11">
        <f>IFERROR(__xludf.DUMMYFUNCTION("""COMPUTED_VALUE"""),23.715402122970126)</f>
        <v>23.71540212</v>
      </c>
      <c r="Q84" s="11">
        <f>IFERROR(__xludf.DUMMYFUNCTION("""COMPUTED_VALUE"""),75.0)</f>
        <v>75</v>
      </c>
      <c r="R84" s="11">
        <f>IFERROR(__xludf.DUMMYFUNCTION("""COMPUTED_VALUE"""),51.284597877029874)</f>
        <v>51.28459788</v>
      </c>
      <c r="S84" s="10">
        <f>IFERROR(__xludf.DUMMYFUNCTION("""COMPUTED_VALUE"""),2.1625017198151126)</f>
        <v>2.16250172</v>
      </c>
      <c r="T84" s="11">
        <f>IFERROR(__xludf.DUMMYFUNCTION("""COMPUTED_VALUE"""),121780.29741040444)</f>
        <v>121780.2974</v>
      </c>
      <c r="U84" s="15">
        <f>IFERROR(__xludf.DUMMYFUNCTION("""COMPUTED_VALUE"""),5520.0)</f>
        <v>5520</v>
      </c>
      <c r="V84" s="15">
        <f>IFERROR(__xludf.DUMMYFUNCTION("""COMPUTED_VALUE"""),622858.6721010079)</f>
        <v>622858.6721</v>
      </c>
      <c r="W84" s="10">
        <f>IFERROR(__xludf.DUMMYFUNCTION("""COMPUTED_VALUE"""),5.114609549703672)</f>
        <v>5.11460955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IFERROR(__xludf.DUMMYFUNCTION("""COMPUTED_VALUE"""),31.0)</f>
        <v>31</v>
      </c>
      <c r="D85" s="9"/>
      <c r="E85" s="9"/>
      <c r="F85" s="9"/>
      <c r="G85" s="10">
        <f>IFERROR(__xludf.DUMMYFUNCTION("""COMPUTED_VALUE"""),0.7096774193548387)</f>
        <v>0.7096774194</v>
      </c>
      <c r="H85" s="9"/>
      <c r="I85" s="9"/>
      <c r="J85" s="11">
        <f>IFERROR(__xludf.DUMMYFUNCTION("""COMPUTED_VALUE"""),22.0)</f>
        <v>22</v>
      </c>
      <c r="K85" s="9"/>
      <c r="L85" s="9"/>
      <c r="M85" s="9"/>
      <c r="N85" s="10">
        <f>IFERROR(__xludf.DUMMYFUNCTION("""COMPUTED_VALUE"""),0.5454545454545454)</f>
        <v>0.5454545455</v>
      </c>
      <c r="O85" s="9"/>
      <c r="P85" s="9"/>
      <c r="Q85" s="11">
        <f>IFERROR(__xludf.DUMMYFUNCTION("""COMPUTED_VALUE"""),12.0)</f>
        <v>12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IFERROR(__xludf.DUMMYFUNCTION("""COMPUTED_VALUE"""),17.0)</f>
        <v>17</v>
      </c>
      <c r="D86" s="9"/>
      <c r="E86" s="9"/>
      <c r="F86" s="9"/>
      <c r="G86" s="10">
        <f>IFERROR(__xludf.DUMMYFUNCTION("""COMPUTED_VALUE"""),0.8823529411764706)</f>
        <v>0.8823529412</v>
      </c>
      <c r="H86" s="9"/>
      <c r="I86" s="9"/>
      <c r="J86" s="11">
        <f>IFERROR(__xludf.DUMMYFUNCTION("""COMPUTED_VALUE"""),15.0)</f>
        <v>15</v>
      </c>
      <c r="K86" s="9"/>
      <c r="L86" s="9"/>
      <c r="M86" s="9"/>
      <c r="N86" s="10">
        <f>IFERROR(__xludf.DUMMYFUNCTION("""COMPUTED_VALUE"""),0.6)</f>
        <v>0.6</v>
      </c>
      <c r="O86" s="9"/>
      <c r="P86" s="9"/>
      <c r="Q86" s="11">
        <f>IFERROR(__xludf.DUMMYFUNCTION("""COMPUTED_VALUE"""),9.0)</f>
        <v>9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IFERROR(__xludf.DUMMYFUNCTION("""COMPUTED_VALUE"""),29.0)</f>
        <v>29</v>
      </c>
      <c r="D87" s="9"/>
      <c r="E87" s="9"/>
      <c r="F87" s="9"/>
      <c r="G87" s="10">
        <f>IFERROR(__xludf.DUMMYFUNCTION("""COMPUTED_VALUE"""),0.6896551724137931)</f>
        <v>0.6896551724</v>
      </c>
      <c r="H87" s="9"/>
      <c r="I87" s="9"/>
      <c r="J87" s="11">
        <f>IFERROR(__xludf.DUMMYFUNCTION("""COMPUTED_VALUE"""),20.0)</f>
        <v>20</v>
      </c>
      <c r="K87" s="9"/>
      <c r="L87" s="9"/>
      <c r="M87" s="9"/>
      <c r="N87" s="10">
        <f>IFERROR(__xludf.DUMMYFUNCTION("""COMPUTED_VALUE"""),0.45)</f>
        <v>0.45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IFERROR(__xludf.DUMMYFUNCTION("""COMPUTED_VALUE"""),"João Rios")</f>
        <v>João Rios</v>
      </c>
      <c r="B88" s="9"/>
      <c r="C88" s="11">
        <f>IFERROR(__xludf.DUMMYFUNCTION("""COMPUTED_VALUE"""),16.0)</f>
        <v>16</v>
      </c>
      <c r="D88" s="9"/>
      <c r="E88" s="9"/>
      <c r="F88" s="9"/>
      <c r="G88" s="10">
        <f>IFERROR(__xludf.DUMMYFUNCTION("""COMPUTED_VALUE"""),0.8125)</f>
        <v>0.8125</v>
      </c>
      <c r="H88" s="9"/>
      <c r="I88" s="9"/>
      <c r="J88" s="11">
        <f>IFERROR(__xludf.DUMMYFUNCTION("""COMPUTED_VALUE"""),13.0)</f>
        <v>13</v>
      </c>
      <c r="K88" s="9"/>
      <c r="L88" s="9"/>
      <c r="M88" s="9"/>
      <c r="N88" s="10">
        <f>IFERROR(__xludf.DUMMYFUNCTION("""COMPUTED_VALUE"""),0.5384615384615384)</f>
        <v>0.5384615385</v>
      </c>
      <c r="O88" s="9"/>
      <c r="P88" s="9"/>
      <c r="Q88" s="11">
        <f>IFERROR(__xludf.DUMMYFUNCTION("""COMPUTED_VALUE"""),7.0)</f>
        <v>7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IFERROR(__xludf.DUMMYFUNCTION("""COMPUTED_VALUE"""),"Ilson Costa Lima")</f>
        <v>Ilson Costa Lima</v>
      </c>
      <c r="B89" s="9"/>
      <c r="C89" s="11">
        <f>IFERROR(__xludf.DUMMYFUNCTION("""COMPUTED_VALUE"""),23.0)</f>
        <v>23</v>
      </c>
      <c r="D89" s="9"/>
      <c r="E89" s="9"/>
      <c r="F89" s="9"/>
      <c r="G89" s="10">
        <f>IFERROR(__xludf.DUMMYFUNCTION("""COMPUTED_VALUE"""),0.5652173913043478)</f>
        <v>0.5652173913</v>
      </c>
      <c r="H89" s="9"/>
      <c r="I89" s="9"/>
      <c r="J89" s="11">
        <f>IFERROR(__xludf.DUMMYFUNCTION("""COMPUTED_VALUE"""),13.0)</f>
        <v>13</v>
      </c>
      <c r="K89" s="9"/>
      <c r="L89" s="9"/>
      <c r="M89" s="9"/>
      <c r="N89" s="10">
        <f>IFERROR(__xludf.DUMMYFUNCTION("""COMPUTED_VALUE"""),0.5384615384615384)</f>
        <v>0.5384615385</v>
      </c>
      <c r="O89" s="9"/>
      <c r="P89" s="9"/>
      <c r="Q89" s="11">
        <f>IFERROR(__xludf.DUMMYFUNCTION("""COMPUTED_VALUE"""),7.0)</f>
        <v>7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IFERROR(__xludf.DUMMYFUNCTION("""COMPUTED_VALUE"""),"Mylena Reis")</f>
        <v>Mylena Reis</v>
      </c>
      <c r="B90" s="9"/>
      <c r="C90" s="11">
        <f>IFERROR(__xludf.DUMMYFUNCTION("""COMPUTED_VALUE"""),27.0)</f>
        <v>27</v>
      </c>
      <c r="D90" s="9"/>
      <c r="E90" s="9"/>
      <c r="F90" s="9"/>
      <c r="G90" s="10">
        <f>IFERROR(__xludf.DUMMYFUNCTION("""COMPUTED_VALUE"""),0.9629629629629629)</f>
        <v>0.962962963</v>
      </c>
      <c r="H90" s="9"/>
      <c r="I90" s="9"/>
      <c r="J90" s="11">
        <f>IFERROR(__xludf.DUMMYFUNCTION("""COMPUTED_VALUE"""),26.0)</f>
        <v>26</v>
      </c>
      <c r="K90" s="9"/>
      <c r="L90" s="9"/>
      <c r="M90" s="9"/>
      <c r="N90" s="10">
        <f>IFERROR(__xludf.DUMMYFUNCTION("""COMPUTED_VALUE"""),0.2692307692307692)</f>
        <v>0.2692307692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IFERROR(__xludf.DUMMYFUNCTION("""COMPUTED_VALUE"""),"Gustavo Pereira")</f>
        <v>Gustavo Pereira</v>
      </c>
      <c r="B91" s="9"/>
      <c r="C91" s="11">
        <f>IFERROR(__xludf.DUMMYFUNCTION("""COMPUTED_VALUE"""),37.0)</f>
        <v>37</v>
      </c>
      <c r="D91" s="9"/>
      <c r="E91" s="9"/>
      <c r="F91" s="9"/>
      <c r="G91" s="10">
        <f>IFERROR(__xludf.DUMMYFUNCTION("""COMPUTED_VALUE"""),0.7297297297297297)</f>
        <v>0.7297297297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IFERROR(__xludf.DUMMYFUNCTION("""COMPUTED_VALUE"""),0.25925925925925924)</f>
        <v>0.2592592593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IFERROR(__xludf.DUMMYFUNCTION("""COMPUTED_VALUE"""),18.0)</f>
        <v>18</v>
      </c>
      <c r="D92" s="9"/>
      <c r="E92" s="9"/>
      <c r="F92" s="9"/>
      <c r="G92" s="10">
        <f>IFERROR(__xludf.DUMMYFUNCTION("""COMPUTED_VALUE"""),0.7777777777777778)</f>
        <v>0.7777777778</v>
      </c>
      <c r="H92" s="9"/>
      <c r="I92" s="9"/>
      <c r="J92" s="11">
        <f>IFERROR(__xludf.DUMMYFUNCTION("""COMPUTED_VALUE"""),14.0)</f>
        <v>14</v>
      </c>
      <c r="K92" s="9"/>
      <c r="L92" s="9"/>
      <c r="M92" s="9"/>
      <c r="N92" s="10">
        <f>IFERROR(__xludf.DUMMYFUNCTION("""COMPUTED_VALUE"""),0.35714285714285715)</f>
        <v>0.3571428571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IFERROR(__xludf.DUMMYFUNCTION("""COMPUTED_VALUE"""),18.0)</f>
        <v>18</v>
      </c>
      <c r="D93" s="9"/>
      <c r="E93" s="9"/>
      <c r="F93" s="9"/>
      <c r="G93" s="10">
        <f>IFERROR(__xludf.DUMMYFUNCTION("""COMPUTED_VALUE"""),0.9444444444444444)</f>
        <v>0.9444444444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IFERROR(__xludf.DUMMYFUNCTION("""COMPUTED_VALUE"""),397.9354838709675)</f>
        <v>397.9354839</v>
      </c>
      <c r="C99" s="11">
        <f>IFERROR(__xludf.DUMMYFUNCTION("""COMPUTED_VALUE"""),414.0)</f>
        <v>414</v>
      </c>
      <c r="D99" s="11">
        <f>IFERROR(__xludf.DUMMYFUNCTION("""COMPUTED_VALUE"""),16.064516129032484)</f>
        <v>16.06451613</v>
      </c>
      <c r="E99" s="10">
        <f>IFERROR(__xludf.DUMMYFUNCTION("""COMPUTED_VALUE"""),0.04036964980544806)</f>
        <v>0.04036964981</v>
      </c>
      <c r="F99" s="10">
        <f>IFERROR(__xludf.DUMMYFUNCTION("""COMPUTED_VALUE"""),0.6293553918193087)</f>
        <v>0.6293553918</v>
      </c>
      <c r="G99" s="10">
        <f>IFERROR(__xludf.DUMMYFUNCTION("""COMPUTED_VALUE"""),0.6328502415458938)</f>
        <v>0.6328502415</v>
      </c>
      <c r="H99" s="36">
        <f>IFERROR(__xludf.DUMMYFUNCTION("""COMPUTED_VALUE"""),0.3494849726585092)</f>
        <v>0.3494849727</v>
      </c>
      <c r="I99" s="11">
        <f>IFERROR(__xludf.DUMMYFUNCTION("""COMPUTED_VALUE"""),250.44284237041893)</f>
        <v>250.4428424</v>
      </c>
      <c r="J99" s="11">
        <f>IFERROR(__xludf.DUMMYFUNCTION("""COMPUTED_VALUE"""),262.0)</f>
        <v>262</v>
      </c>
      <c r="K99" s="11">
        <f>IFERROR(__xludf.DUMMYFUNCTION("""COMPUTED_VALUE"""),11.55715762958107)</f>
        <v>11.55715763</v>
      </c>
      <c r="L99" s="10">
        <f>IFERROR(__xludf.DUMMYFUNCTION("""COMPUTED_VALUE"""),0.046146887330432824)</f>
        <v>0.04614688733</v>
      </c>
      <c r="M99" s="10">
        <f>IFERROR(__xludf.DUMMYFUNCTION("""COMPUTED_VALUE"""),0.40687500000000026)</f>
        <v>0.406875</v>
      </c>
      <c r="N99" s="10">
        <f>IFERROR(__xludf.DUMMYFUNCTION("""COMPUTED_VALUE"""),0.46564885496183206)</f>
        <v>0.465648855</v>
      </c>
      <c r="O99" s="36">
        <f>IFERROR(__xludf.DUMMYFUNCTION("""COMPUTED_VALUE"""),5.877385496183179)</f>
        <v>5.877385496</v>
      </c>
      <c r="P99" s="11">
        <f>IFERROR(__xludf.DUMMYFUNCTION("""COMPUTED_VALUE"""),101.89893148946427)</f>
        <v>101.8989315</v>
      </c>
      <c r="Q99" s="11">
        <f>IFERROR(__xludf.DUMMYFUNCTION("""COMPUTED_VALUE"""),122.0)</f>
        <v>122</v>
      </c>
      <c r="R99" s="11">
        <f>IFERROR(__xludf.DUMMYFUNCTION("""COMPUTED_VALUE"""),20.101068510535725)</f>
        <v>20.10106851</v>
      </c>
      <c r="S99" s="10">
        <f>IFERROR(__xludf.DUMMYFUNCTION("""COMPUTED_VALUE"""),0.19726476241425606)</f>
        <v>0.1972647624</v>
      </c>
      <c r="T99" s="11">
        <f>IFERROR(__xludf.DUMMYFUNCTION("""COMPUTED_VALUE"""),659760.5281618485)</f>
        <v>659760.5282</v>
      </c>
      <c r="U99" s="15">
        <f>IFERROR(__xludf.DUMMYFUNCTION("""COMPUTED_VALUE"""),6959.999999999999)</f>
        <v>6960</v>
      </c>
      <c r="V99" s="15">
        <f>IFERROR(__xludf.DUMMYFUNCTION("""COMPUTED_VALUE"""),80437.81710188424)</f>
        <v>80437.8171</v>
      </c>
      <c r="W99" s="10">
        <f>IFERROR(__xludf.DUMMYFUNCTION("""COMPUTED_VALUE"""),0.12191971733439577)</f>
        <v>0.1219197173</v>
      </c>
      <c r="X99" s="9"/>
      <c r="Y99" s="9"/>
      <c r="Z99" s="9"/>
    </row>
    <row r="100">
      <c r="A100" s="9" t="str">
        <f>IFERROR(__xludf.DUMMYFUNCTION("""COMPUTED_VALUE"""),"Mariana Jovenato")</f>
        <v>Mariana Jovenato</v>
      </c>
      <c r="B100" s="9"/>
      <c r="C100" s="11">
        <f>IFERROR(__xludf.DUMMYFUNCTION("""COMPUTED_VALUE"""),47.0)</f>
        <v>47</v>
      </c>
      <c r="D100" s="9"/>
      <c r="E100" s="9"/>
      <c r="F100" s="9"/>
      <c r="G100" s="10">
        <f>IFERROR(__xludf.DUMMYFUNCTION("""COMPUTED_VALUE"""),0.6170212765957447)</f>
        <v>0.6170212766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IFERROR(__xludf.DUMMYFUNCTION("""COMPUTED_VALUE"""),"Felipe Maximo")</f>
        <v>Felipe Maximo</v>
      </c>
      <c r="B101" s="9"/>
      <c r="C101" s="11">
        <f>IFERROR(__xludf.DUMMYFUNCTION("""COMPUTED_VALUE"""),45.0)</f>
        <v>45</v>
      </c>
      <c r="D101" s="9"/>
      <c r="E101" s="9"/>
      <c r="F101" s="9"/>
      <c r="G101" s="10">
        <f>IFERROR(__xludf.DUMMYFUNCTION("""COMPUTED_VALUE"""),0.6444444444444445)</f>
        <v>0.6444444444</v>
      </c>
      <c r="H101" s="9"/>
      <c r="I101" s="9"/>
      <c r="J101" s="11">
        <f>IFERROR(__xludf.DUMMYFUNCTION("""COMPUTED_VALUE"""),29.0)</f>
        <v>29</v>
      </c>
      <c r="K101" s="9"/>
      <c r="L101" s="9"/>
      <c r="M101" s="9"/>
      <c r="N101" s="10">
        <f>IFERROR(__xludf.DUMMYFUNCTION("""COMPUTED_VALUE"""),0.5172413793103449)</f>
        <v>0.5172413793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IFERROR(__xludf.DUMMYFUNCTION("""COMPUTED_VALUE"""),52.0)</f>
        <v>52</v>
      </c>
      <c r="D102" s="9"/>
      <c r="E102" s="9"/>
      <c r="F102" s="9"/>
      <c r="G102" s="10">
        <f>IFERROR(__xludf.DUMMYFUNCTION("""COMPUTED_VALUE"""),0.6346153846153846)</f>
        <v>0.6346153846</v>
      </c>
      <c r="H102" s="9"/>
      <c r="I102" s="9"/>
      <c r="J102" s="11">
        <f>IFERROR(__xludf.DUMMYFUNCTION("""COMPUTED_VALUE"""),33.0)</f>
        <v>33</v>
      </c>
      <c r="K102" s="9"/>
      <c r="L102" s="9"/>
      <c r="M102" s="9"/>
      <c r="N102" s="10">
        <f>IFERROR(__xludf.DUMMYFUNCTION("""COMPUTED_VALUE"""),0.45454545454545453)</f>
        <v>0.4545454545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IFERROR(__xludf.DUMMYFUNCTION("""COMPUTED_VALUE"""),43.0)</f>
        <v>43</v>
      </c>
      <c r="D103" s="9"/>
      <c r="E103" s="9"/>
      <c r="F103" s="9"/>
      <c r="G103" s="10">
        <f>IFERROR(__xludf.DUMMYFUNCTION("""COMPUTED_VALUE"""),0.6511627906976745)</f>
        <v>0.6511627907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IFERROR(__xludf.DUMMYFUNCTION("""COMPUTED_VALUE"""),34.0)</f>
        <v>34</v>
      </c>
      <c r="D104" s="9"/>
      <c r="E104" s="9"/>
      <c r="F104" s="9"/>
      <c r="G104" s="10">
        <f>IFERROR(__xludf.DUMMYFUNCTION("""COMPUTED_VALUE"""),0.5588235294117647)</f>
        <v>0.5588235294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IFERROR(__xludf.DUMMYFUNCTION("""COMPUTED_VALUE"""),"João Rios")</f>
        <v>João Rios</v>
      </c>
      <c r="B105" s="9"/>
      <c r="C105" s="11">
        <f>IFERROR(__xludf.DUMMYFUNCTION("""COMPUTED_VALUE"""),45.0)</f>
        <v>45</v>
      </c>
      <c r="D105" s="9"/>
      <c r="E105" s="9"/>
      <c r="F105" s="9"/>
      <c r="G105" s="10">
        <f>IFERROR(__xludf.DUMMYFUNCTION("""COMPUTED_VALUE"""),0.6)</f>
        <v>0.6</v>
      </c>
      <c r="H105" s="9"/>
      <c r="I105" s="9"/>
      <c r="J105" s="11">
        <f>IFERROR(__xludf.DUMMYFUNCTION("""COMPUTED_VALUE"""),27.0)</f>
        <v>27</v>
      </c>
      <c r="K105" s="9"/>
      <c r="L105" s="9"/>
      <c r="M105" s="9"/>
      <c r="N105" s="10">
        <f>IFERROR(__xludf.DUMMYFUNCTION("""COMPUTED_VALUE"""),0.4074074074074074)</f>
        <v>0.4074074074</v>
      </c>
      <c r="O105" s="9"/>
      <c r="P105" s="9"/>
      <c r="Q105" s="11">
        <f>IFERROR(__xludf.DUMMYFUNCTION("""COMPUTED_VALUE"""),11.0)</f>
        <v>11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IFERROR(__xludf.DUMMYFUNCTION("""COMPUTED_VALUE"""),"Gustavo Pereira")</f>
        <v>Gustavo Pereira</v>
      </c>
      <c r="B106" s="9"/>
      <c r="C106" s="11">
        <f>IFERROR(__xludf.DUMMYFUNCTION("""COMPUTED_VALUE"""),41.0)</f>
        <v>41</v>
      </c>
      <c r="D106" s="9"/>
      <c r="E106" s="9"/>
      <c r="F106" s="9"/>
      <c r="G106" s="10">
        <f>IFERROR(__xludf.DUMMYFUNCTION("""COMPUTED_VALUE"""),0.6829268292682927)</f>
        <v>0.6829268293</v>
      </c>
      <c r="H106" s="9"/>
      <c r="I106" s="9"/>
      <c r="J106" s="11">
        <f>IFERROR(__xludf.DUMMYFUNCTION("""COMPUTED_VALUE"""),28.0)</f>
        <v>28</v>
      </c>
      <c r="K106" s="9"/>
      <c r="L106" s="9"/>
      <c r="M106" s="9"/>
      <c r="N106" s="10">
        <f>IFERROR(__xludf.DUMMYFUNCTION("""COMPUTED_VALUE"""),0.39285714285714285)</f>
        <v>0.3928571429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IFERROR(__xludf.DUMMYFUNCTION("""COMPUTED_VALUE"""),"Mylena Reis")</f>
        <v>Mylena Reis</v>
      </c>
      <c r="B107" s="9"/>
      <c r="C107" s="11">
        <f>IFERROR(__xludf.DUMMYFUNCTION("""COMPUTED_VALUE"""),31.0)</f>
        <v>31</v>
      </c>
      <c r="D107" s="9"/>
      <c r="E107" s="9"/>
      <c r="F107" s="9"/>
      <c r="G107" s="10">
        <f>IFERROR(__xludf.DUMMYFUNCTION("""COMPUTED_VALUE"""),0.5806451612903226)</f>
        <v>0.5806451613</v>
      </c>
      <c r="H107" s="9"/>
      <c r="I107" s="9"/>
      <c r="J107" s="11">
        <f>IFERROR(__xludf.DUMMYFUNCTION("""COMPUTED_VALUE"""),18.0)</f>
        <v>18</v>
      </c>
      <c r="K107" s="9"/>
      <c r="L107" s="9"/>
      <c r="M107" s="9"/>
      <c r="N107" s="10">
        <f>IFERROR(__xludf.DUMMYFUNCTION("""COMPUTED_VALUE"""),0.3888888888888889)</f>
        <v>0.3888888889</v>
      </c>
      <c r="O107" s="9"/>
      <c r="P107" s="9"/>
      <c r="Q107" s="11">
        <f>IFERROR(__xludf.DUMMYFUNCTION("""COMPUTED_VALUE"""),7.0)</f>
        <v>7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IFERROR(__xludf.DUMMYFUNCTION("""COMPUTED_VALUE"""),"João Vitor Nascimento")</f>
        <v>João Vitor Nascimento</v>
      </c>
      <c r="B108" s="9"/>
      <c r="C108" s="11">
        <f>IFERROR(__xludf.DUMMYFUNCTION("""COMPUTED_VALUE"""),12.0)</f>
        <v>12</v>
      </c>
      <c r="D108" s="9"/>
      <c r="E108" s="9"/>
      <c r="F108" s="9"/>
      <c r="G108" s="10">
        <f>IFERROR(__xludf.DUMMYFUNCTION("""COMPUTED_VALUE"""),0.75)</f>
        <v>0.75</v>
      </c>
      <c r="H108" s="9"/>
      <c r="I108" s="9"/>
      <c r="J108" s="11">
        <f>IFERROR(__xludf.DUMMYFUNCTION("""COMPUTED_VALUE"""),9.0)</f>
        <v>9</v>
      </c>
      <c r="K108" s="9"/>
      <c r="L108" s="9"/>
      <c r="M108" s="9"/>
      <c r="N108" s="10">
        <f>IFERROR(__xludf.DUMMYFUNCTION("""COMPUTED_VALUE"""),0.6666666666666666)</f>
        <v>0.6666666667</v>
      </c>
      <c r="O108" s="9"/>
      <c r="P108" s="9"/>
      <c r="Q108" s="11">
        <f>IFERROR(__xludf.DUMMYFUNCTION("""COMPUTED_VALUE"""),6.0)</f>
        <v>6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IFERROR(__xludf.DUMMYFUNCTION("""COMPUTED_VALUE"""),"Ilson Costa Lima")</f>
        <v>Ilson Costa Lima</v>
      </c>
      <c r="B109" s="9"/>
      <c r="C109" s="11">
        <f>IFERROR(__xludf.DUMMYFUNCTION("""COMPUTED_VALUE"""),49.0)</f>
        <v>49</v>
      </c>
      <c r="D109" s="9"/>
      <c r="E109" s="9"/>
      <c r="F109" s="9"/>
      <c r="G109" s="10">
        <f>IFERROR(__xludf.DUMMYFUNCTION("""COMPUTED_VALUE"""),0.5714285714285714)</f>
        <v>0.5714285714</v>
      </c>
      <c r="H109" s="9"/>
      <c r="I109" s="9"/>
      <c r="J109" s="11">
        <f>IFERROR(__xludf.DUMMYFUNCTION("""COMPUTED_VALUE"""),28.0)</f>
        <v>28</v>
      </c>
      <c r="K109" s="9"/>
      <c r="L109" s="9"/>
      <c r="M109" s="9"/>
      <c r="N109" s="10">
        <f>IFERROR(__xludf.DUMMYFUNCTION("""COMPUTED_VALUE"""),0.21428571428571427)</f>
        <v>0.2142857143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IFERROR(__xludf.DUMMYFUNCTION("""COMPUTED_VALUE"""),126.1935483870967)</f>
        <v>126.1935484</v>
      </c>
      <c r="C117" s="11">
        <f>IFERROR(__xludf.DUMMYFUNCTION("""COMPUTED_VALUE"""),91.0)</f>
        <v>91</v>
      </c>
      <c r="D117" s="11">
        <f>IFERROR(__xludf.DUMMYFUNCTION("""COMPUTED_VALUE"""),-35.1935483870967)</f>
        <v>-35.19354839</v>
      </c>
      <c r="E117" s="10">
        <f>IFERROR(__xludf.DUMMYFUNCTION("""COMPUTED_VALUE"""),-0.2788854805725967)</f>
        <v>-0.2788854806</v>
      </c>
      <c r="F117" s="10">
        <f>IFERROR(__xludf.DUMMYFUNCTION("""COMPUTED_VALUE"""),0.8547633194692019)</f>
        <v>0.8547633195</v>
      </c>
      <c r="G117" s="10">
        <f>IFERROR(__xludf.DUMMYFUNCTION("""COMPUTED_VALUE"""),0.8131868131868132)</f>
        <v>0.8131868132</v>
      </c>
      <c r="H117" s="36">
        <f>IFERROR(__xludf.DUMMYFUNCTION("""COMPUTED_VALUE"""),-4.157650628238874)</f>
        <v>-4.157650628</v>
      </c>
      <c r="I117" s="11">
        <f>IFERROR(__xludf.DUMMYFUNCTION("""COMPUTED_VALUE"""),107.86561631495212)</f>
        <v>107.8656163</v>
      </c>
      <c r="J117" s="11">
        <f>IFERROR(__xludf.DUMMYFUNCTION("""COMPUTED_VALUE"""),74.0)</f>
        <v>74</v>
      </c>
      <c r="K117" s="11">
        <f>IFERROR(__xludf.DUMMYFUNCTION("""COMPUTED_VALUE"""),-33.86561631495212)</f>
        <v>-33.86561631</v>
      </c>
      <c r="L117" s="10">
        <f>IFERROR(__xludf.DUMMYFUNCTION("""COMPUTED_VALUE"""),-0.3139611812541763)</f>
        <v>-0.3139611813</v>
      </c>
      <c r="M117" s="10">
        <f>IFERROR(__xludf.DUMMYFUNCTION("""COMPUTED_VALUE"""),0.31968750000000024)</f>
        <v>0.3196875</v>
      </c>
      <c r="N117" s="10">
        <f>IFERROR(__xludf.DUMMYFUNCTION("""COMPUTED_VALUE"""),0.28378378378378377)</f>
        <v>0.2837837838</v>
      </c>
      <c r="O117" s="36">
        <f>IFERROR(__xludf.DUMMYFUNCTION("""COMPUTED_VALUE"""),-3.5903716216216464)</f>
        <v>-3.590371622</v>
      </c>
      <c r="P117" s="11">
        <f>IFERROR(__xludf.DUMMYFUNCTION("""COMPUTED_VALUE"""),34.483289215686284)</f>
        <v>34.48328922</v>
      </c>
      <c r="Q117" s="11">
        <f>IFERROR(__xludf.DUMMYFUNCTION("""COMPUTED_VALUE"""),21.0)</f>
        <v>21</v>
      </c>
      <c r="R117" s="11">
        <f>IFERROR(__xludf.DUMMYFUNCTION("""COMPUTED_VALUE"""),-13.483289215686284)</f>
        <v>-13.48328922</v>
      </c>
      <c r="S117" s="10">
        <f>IFERROR(__xludf.DUMMYFUNCTION("""COMPUTED_VALUE"""),-0.3910093706940462)</f>
        <v>-0.3910093707</v>
      </c>
      <c r="T117" s="11">
        <f>IFERROR(__xludf.DUMMYFUNCTION("""COMPUTED_VALUE"""),208511.25434346407)</f>
        <v>208511.2543</v>
      </c>
      <c r="U117" s="15">
        <f>IFERROR(__xludf.DUMMYFUNCTION("""COMPUTED_VALUE"""),6500.0)</f>
        <v>6500</v>
      </c>
      <c r="V117" s="15">
        <f>IFERROR(__xludf.DUMMYFUNCTION("""COMPUTED_VALUE"""),-220126.50604718877)</f>
        <v>-220126.506</v>
      </c>
      <c r="W117" s="10">
        <f>IFERROR(__xludf.DUMMYFUNCTION("""COMPUTED_VALUE"""),-1.0557056344047109)</f>
        <v>-1.055705634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IFERROR(__xludf.DUMMYFUNCTION("""COMPUTED_VALUE"""),"Felipe Maximo")</f>
        <v>Felipe Maximo</v>
      </c>
      <c r="B119" s="9"/>
      <c r="C119" s="11">
        <f>IFERROR(__xludf.DUMMYFUNCTION("""COMPUTED_VALUE"""),9.0)</f>
        <v>9</v>
      </c>
      <c r="D119" s="9"/>
      <c r="E119" s="9"/>
      <c r="F119" s="9"/>
      <c r="G119" s="10">
        <f>IFERROR(__xludf.DUMMYFUNCTION("""COMPUTED_VALUE"""),0.7777777777777778)</f>
        <v>0.7777777778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IFERROR(__xludf.DUMMYFUNCTION("""COMPUTED_VALUE"""),"Ilson Costa Lima")</f>
        <v>Ilson Costa Lima</v>
      </c>
      <c r="B120" s="9"/>
      <c r="C120" s="11">
        <f>IFERROR(__xludf.DUMMYFUNCTION("""COMPUTED_VALUE"""),8.0)</f>
        <v>8</v>
      </c>
      <c r="D120" s="9"/>
      <c r="E120" s="9"/>
      <c r="F120" s="9"/>
      <c r="G120" s="10">
        <f>IFERROR(__xludf.DUMMYFUNCTION("""COMPUTED_VALUE"""),0.875)</f>
        <v>0.875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IFERROR(__xludf.DUMMYFUNCTION("""COMPUTED_VALUE"""),0.42857142857142855)</f>
        <v>0.4285714286</v>
      </c>
      <c r="O120" s="9"/>
      <c r="P120" s="9"/>
      <c r="Q120" s="11">
        <f>IFERROR(__xludf.DUMMYFUNCTION("""COMPUTED_VALUE"""),3.0)</f>
        <v>3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IFERROR(__xludf.DUMMYFUNCTION("""COMPUTED_VALUE"""),12.0)</f>
        <v>12</v>
      </c>
      <c r="D122" s="9"/>
      <c r="E122" s="9"/>
      <c r="F122" s="9"/>
      <c r="G122" s="10">
        <f>IFERROR(__xludf.DUMMYFUNCTION("""COMPUTED_VALUE"""),0.6666666666666666)</f>
        <v>0.6666666667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IFERROR(__xludf.DUMMYFUNCTION("""COMPUTED_VALUE"""),11.0)</f>
        <v>11</v>
      </c>
      <c r="D125" s="9"/>
      <c r="E125" s="9"/>
      <c r="F125" s="9"/>
      <c r="G125" s="10">
        <f>IFERROR(__xludf.DUMMYFUNCTION("""COMPUTED_VALUE"""),0.8181818181818182)</f>
        <v>0.8181818182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IFERROR(__xludf.DUMMYFUNCTION("""COMPUTED_VALUE"""),6.0)</f>
        <v>6</v>
      </c>
      <c r="D128" s="9"/>
      <c r="E128" s="9"/>
      <c r="F128" s="9"/>
      <c r="G128" s="10">
        <f>IFERROR(__xludf.DUMMYFUNCTION("""COMPUTED_VALUE"""),0.8333333333333334)</f>
        <v>0.8333333333</v>
      </c>
      <c r="H128" s="9"/>
      <c r="I128" s="9"/>
      <c r="J128" s="11">
        <f>IFERROR(__xludf.DUMMYFUNCTION("""COMPUTED_VALUE"""),5.0)</f>
        <v>5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IFERROR(__xludf.DUMMYFUNCTION("""COMPUTED_VALUE"""),41.18709677419353)</f>
        <v>41.18709677</v>
      </c>
      <c r="C129" s="11">
        <f>IFERROR(__xludf.DUMMYFUNCTION("""COMPUTED_VALUE"""),49.0)</f>
        <v>49</v>
      </c>
      <c r="D129" s="11">
        <f>IFERROR(__xludf.DUMMYFUNCTION("""COMPUTED_VALUE"""),7.812903225806473)</f>
        <v>7.812903226</v>
      </c>
      <c r="E129" s="10">
        <f>IFERROR(__xludf.DUMMYFUNCTION("""COMPUTED_VALUE"""),0.18969298245614097)</f>
        <v>0.1896929825</v>
      </c>
      <c r="F129" s="10">
        <f>IFERROR(__xludf.DUMMYFUNCTION("""COMPUTED_VALUE"""),0.7)</f>
        <v>0.7</v>
      </c>
      <c r="G129" s="10">
        <f>IFERROR(__xludf.DUMMYFUNCTION("""COMPUTED_VALUE"""),0.5918367346938775)</f>
        <v>0.5918367347</v>
      </c>
      <c r="H129" s="36">
        <f>IFERROR(__xludf.DUMMYFUNCTION("""COMPUTED_VALUE"""),-10.81632653061224)</f>
        <v>-10.81632653</v>
      </c>
      <c r="I129" s="11">
        <f>IFERROR(__xludf.DUMMYFUNCTION("""COMPUTED_VALUE"""),28.830967741935467)</f>
        <v>28.83096774</v>
      </c>
      <c r="J129" s="11">
        <f>IFERROR(__xludf.DUMMYFUNCTION("""COMPUTED_VALUE"""),29.0)</f>
        <v>29</v>
      </c>
      <c r="K129" s="11">
        <f>IFERROR(__xludf.DUMMYFUNCTION("""COMPUTED_VALUE"""),0.16903225806453293)</f>
        <v>0.1690322581</v>
      </c>
      <c r="L129" s="10">
        <f>IFERROR(__xludf.DUMMYFUNCTION("""COMPUTED_VALUE"""),0.00586287146437581)</f>
        <v>0.005862871464</v>
      </c>
      <c r="M129" s="10">
        <f>IFERROR(__xludf.DUMMYFUNCTION("""COMPUTED_VALUE"""),0.2712500000000002)</f>
        <v>0.27125</v>
      </c>
      <c r="N129" s="10">
        <f>IFERROR(__xludf.DUMMYFUNCTION("""COMPUTED_VALUE"""),0.41379310344827586)</f>
        <v>0.4137931034</v>
      </c>
      <c r="O129" s="36">
        <f>IFERROR(__xludf.DUMMYFUNCTION("""COMPUTED_VALUE"""),14.254310344827564)</f>
        <v>14.25431034</v>
      </c>
      <c r="P129" s="11">
        <f>IFERROR(__xludf.DUMMYFUNCTION("""COMPUTED_VALUE"""),7.820400000000002)</f>
        <v>7.8204</v>
      </c>
      <c r="Q129" s="11">
        <f>IFERROR(__xludf.DUMMYFUNCTION("""COMPUTED_VALUE"""),12.0)</f>
        <v>12</v>
      </c>
      <c r="R129" s="11">
        <f>IFERROR(__xludf.DUMMYFUNCTION("""COMPUTED_VALUE"""),4.179599999999998)</f>
        <v>4.1796</v>
      </c>
      <c r="S129" s="10">
        <f>IFERROR(__xludf.DUMMYFUNCTION("""COMPUTED_VALUE"""),0.53444836581249)</f>
        <v>0.5344483658</v>
      </c>
      <c r="T129" s="11">
        <f>IFERROR(__xludf.DUMMYFUNCTION("""COMPUTED_VALUE"""),61110.482496000004)</f>
        <v>61110.4825</v>
      </c>
      <c r="U129" s="15">
        <f>IFERROR(__xludf.DUMMYFUNCTION("""COMPUTED_VALUE"""),8400.0)</f>
        <v>8400</v>
      </c>
      <c r="V129" s="15">
        <f>IFERROR(__xludf.DUMMYFUNCTION("""COMPUTED_VALUE"""),1419.8709677420766)</f>
        <v>1419.870968</v>
      </c>
      <c r="W129" s="10">
        <f>IFERROR(__xludf.DUMMYFUNCTION("""COMPUTED_VALUE"""),0.02323449119936198)</f>
        <v>0.0232344912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IFERROR(__xludf.DUMMYFUNCTION("""COMPUTED_VALUE"""),6.0)</f>
        <v>6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IFERROR(__xludf.DUMMYFUNCTION("""COMPUTED_VALUE"""),4.0)</f>
        <v>4</v>
      </c>
      <c r="D133" s="9"/>
      <c r="E133" s="9"/>
      <c r="F133" s="9"/>
      <c r="G133" s="10">
        <f>IFERROR(__xludf.DUMMYFUNCTION("""COMPUTED_VALUE"""),0.25)</f>
        <v>0.25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IFERROR(__xludf.DUMMYFUNCTION("""COMPUTED_VALUE"""),6.0)</f>
        <v>6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IFERROR(__xludf.DUMMYFUNCTION("""COMPUTED_VALUE"""),"Ilson Costa Lima")</f>
        <v>Ilson Costa Lima</v>
      </c>
      <c r="B136" s="9"/>
      <c r="C136" s="11">
        <f>IFERROR(__xludf.DUMMYFUNCTION("""COMPUTED_VALUE"""),5.0)</f>
        <v>5</v>
      </c>
      <c r="D136" s="9"/>
      <c r="E136" s="9"/>
      <c r="F136" s="9"/>
      <c r="G136" s="10">
        <f>IFERROR(__xludf.DUMMYFUNCTION("""COMPUTED_VALUE"""),0.6)</f>
        <v>0.6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IFERROR(__xludf.DUMMYFUNCTION("""COMPUTED_VALUE"""),"Gustavo Pereira")</f>
        <v>Gustavo Pereira</v>
      </c>
      <c r="B137" s="9"/>
      <c r="C137" s="11">
        <f>IFERROR(__xludf.DUMMYFUNCTION("""COMPUTED_VALUE"""),5.0)</f>
        <v>5</v>
      </c>
      <c r="D137" s="9"/>
      <c r="E137" s="9"/>
      <c r="F137" s="9"/>
      <c r="G137" s="10">
        <f>IFERROR(__xludf.DUMMYFUNCTION("""COMPUTED_VALUE"""),0.6)</f>
        <v>0.6</v>
      </c>
      <c r="H137" s="9"/>
      <c r="I137" s="9"/>
      <c r="J137" s="11">
        <f>IFERROR(__xludf.DUMMYFUNCTION("""COMPUTED_VALUE"""),3.0)</f>
        <v>3</v>
      </c>
      <c r="K137" s="9"/>
      <c r="L137" s="9"/>
      <c r="M137" s="9"/>
      <c r="N137" s="10">
        <f>IFERROR(__xludf.DUMMYFUNCTION("""COMPUTED_VALUE"""),0.3333333333333333)</f>
        <v>0.3333333333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IFERROR(__xludf.DUMMYFUNCTION("""COMPUTED_VALUE"""),5.0)</f>
        <v>5</v>
      </c>
      <c r="D138" s="9"/>
      <c r="E138" s="9"/>
      <c r="F138" s="9"/>
      <c r="G138" s="10">
        <f>IFERROR(__xludf.DUMMYFUNCTION("""COMPUTED_VALUE"""),0.8)</f>
        <v>0.8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IFERROR(__xludf.DUMMYFUNCTION("""COMPUTED_VALUE"""),6.0)</f>
        <v>6</v>
      </c>
      <c r="D139" s="9"/>
      <c r="E139" s="9"/>
      <c r="F139" s="9"/>
      <c r="G139" s="10">
        <f>IFERROR(__xludf.DUMMYFUNCTION("""COMPUTED_VALUE"""),0.16666666666666666)</f>
        <v>0.1666666667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IFERROR(__xludf.DUMMYFUNCTION("""COMPUTED_VALUE"""),580.6451612903222)</f>
        <v>580.6451613</v>
      </c>
      <c r="F226" s="35">
        <f>IFERROR(__xludf.DUMMYFUNCTION("""COMPUTED_VALUE"""),482.322580645161)</f>
        <v>482.3225806</v>
      </c>
      <c r="G226" s="35">
        <f>IFERROR(__xludf.DUMMYFUNCTION("""COMPUTED_VALUE"""),126.00000000000001)</f>
        <v>126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IFERROR(__xludf.DUMMYFUNCTION("""COMPUTED_VALUE"""),23.999999999999986)</f>
        <v>24</v>
      </c>
      <c r="F227" s="35">
        <f>IFERROR(__xludf.DUMMYFUNCTION("""COMPUTED_VALUE"""),23.999999999999986)</f>
        <v>24</v>
      </c>
      <c r="G227" s="35">
        <f>IFERROR(__xludf.DUMMYFUNCTION("""COMPUTED_VALUE"""),8.250000000000002)</f>
        <v>8.25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IFERROR(__xludf.DUMMYFUNCTION("""COMPUTED_VALUE"""),1529.0322580645152)</f>
        <v>1529.032258</v>
      </c>
      <c r="F228" s="35">
        <f>IFERROR(__xludf.DUMMYFUNCTION("""COMPUTED_VALUE"""),1172.1290322580637)</f>
        <v>1172.129032</v>
      </c>
      <c r="G228" s="35">
        <f>IFERROR(__xludf.DUMMYFUNCTION("""COMPUTED_VALUE"""),396.75000000000006)</f>
        <v>396.75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IFERROR(__xludf.DUMMYFUNCTION("""COMPUTED_VALUE"""),957.6774193548381)</f>
        <v>957.6774194</v>
      </c>
      <c r="F229" s="35">
        <f>IFERROR(__xludf.DUMMYFUNCTION("""COMPUTED_VALUE"""),750.9677419354834)</f>
        <v>750.9677419</v>
      </c>
      <c r="G229" s="35">
        <f>IFERROR(__xludf.DUMMYFUNCTION("""COMPUTED_VALUE"""),258.00000000000006)</f>
        <v>258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IFERROR(__xludf.DUMMYFUNCTION("""COMPUTED_VALUE"""),280.25806451612885)</f>
        <v>280.2580645</v>
      </c>
      <c r="F230" s="35">
        <f>IFERROR(__xludf.DUMMYFUNCTION("""COMPUTED_VALUE"""),213.67741935483858)</f>
        <v>213.6774194</v>
      </c>
      <c r="G230" s="35">
        <f>IFERROR(__xludf.DUMMYFUNCTION("""COMPUTED_VALUE"""),63.75000000000001)</f>
        <v>63.75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IFERROR(__xludf.DUMMYFUNCTION("""COMPUTED_VALUE"""),216.77419354838696)</f>
        <v>216.7741935</v>
      </c>
      <c r="F231" s="35">
        <f>IFERROR(__xludf.DUMMYFUNCTION("""COMPUTED_VALUE"""),158.70967741935473)</f>
        <v>158.7096774</v>
      </c>
      <c r="G231" s="35">
        <f>IFERROR(__xludf.DUMMYFUNCTION("""COMPUTED_VALUE"""),60.00000000000001)</f>
        <v>60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IFERROR(__xludf.DUMMYFUNCTION("""COMPUTED_VALUE"""),74.32258064516125)</f>
        <v>74.32258065</v>
      </c>
      <c r="F232" s="35">
        <f>IFERROR(__xludf.DUMMYFUNCTION("""COMPUTED_VALUE"""),48.77419354838707)</f>
        <v>48.77419355</v>
      </c>
      <c r="G232" s="35">
        <f>IFERROR(__xludf.DUMMYFUNCTION("""COMPUTED_VALUE"""),15.000000000000002)</f>
        <v>15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IFERROR(__xludf.DUMMYFUNCTION("""COMPUTED_VALUE"""),1901.4193548387086)</f>
        <v>1901.419355</v>
      </c>
      <c r="F233" s="35">
        <f>IFERROR(__xludf.DUMMYFUNCTION("""COMPUTED_VALUE"""),1275.0967741935476)</f>
        <v>1275.096774</v>
      </c>
      <c r="G233" s="35">
        <f>IFERROR(__xludf.DUMMYFUNCTION("""COMPUTED_VALUE"""),423.00000000000006)</f>
        <v>423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IFERROR(__xludf.DUMMYFUNCTION("""COMPUTED_VALUE"""),287.22580645161275)</f>
        <v>287.2258065</v>
      </c>
      <c r="F234" s="35">
        <f>IFERROR(__xludf.DUMMYFUNCTION("""COMPUTED_VALUE"""),231.4838709677418)</f>
        <v>231.483871</v>
      </c>
      <c r="G234" s="35">
        <f>IFERROR(__xludf.DUMMYFUNCTION("""COMPUTED_VALUE"""),76.50000000000001)</f>
        <v>76.5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IFERROR(__xludf.DUMMYFUNCTION("""COMPUTED_VALUE"""),278.70967741935465)</f>
        <v>278.7096774</v>
      </c>
      <c r="F235" s="35">
        <f>IFERROR(__xludf.DUMMYFUNCTION("""COMPUTED_VALUE"""),196.64516129032245)</f>
        <v>196.6451613</v>
      </c>
      <c r="G235" s="35">
        <f>IFERROR(__xludf.DUMMYFUNCTION("""COMPUTED_VALUE"""),43.50000000000001)</f>
        <v>43.5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IFERROR(__xludf.DUMMYFUNCTION("""COMPUTED_VALUE"""),171.09677419354827)</f>
        <v>171.0967742</v>
      </c>
      <c r="F236" s="35">
        <f>IFERROR(__xludf.DUMMYFUNCTION("""COMPUTED_VALUE"""),91.35483870967737)</f>
        <v>91.35483871</v>
      </c>
      <c r="G236" s="35">
        <f>IFERROR(__xludf.DUMMYFUNCTION("""COMPUTED_VALUE"""),27.000000000000004)</f>
        <v>27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IFERROR(__xludf.DUMMYFUNCTION("""COMPUTED_VALUE"""),1114.8387096774186)</f>
        <v>1114.83871</v>
      </c>
      <c r="F237" s="35">
        <f>IFERROR(__xludf.DUMMYFUNCTION("""COMPUTED_VALUE"""),723.096774193548)</f>
        <v>723.0967742</v>
      </c>
      <c r="G237" s="35">
        <f>IFERROR(__xludf.DUMMYFUNCTION("""COMPUTED_VALUE"""),266.25000000000006)</f>
        <v>266.25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IFERROR(__xludf.DUMMYFUNCTION("""COMPUTED_VALUE"""),49.548387096774164)</f>
        <v>49.5483871</v>
      </c>
      <c r="F238" s="35">
        <f>IFERROR(__xludf.DUMMYFUNCTION("""COMPUTED_VALUE"""),32.51612903225804)</f>
        <v>32.51612903</v>
      </c>
      <c r="G238" s="35">
        <f>IFERROR(__xludf.DUMMYFUNCTION("""COMPUTED_VALUE"""),9.750000000000002)</f>
        <v>9.75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