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<sst xmlns="http://schemas.openxmlformats.org/spreadsheetml/2006/main" count="682" uniqueCount="394">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</sst>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Comercial!AE4:AF4"")"),9650087.930015557)</f>
        <v>9650087.93</v>
      </c>
      <c r="B2" s="3">
        <f>IFERROR(__xludf.DUMMYFUNCTION("""COMPUTED_VALUE"""),1.3405208912404785E7)</f>
        <v>13405208.91</v>
      </c>
      <c r="C2" s="3">
        <f>B2-A2</f>
        <v>3755120.982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Chat")</f>
        <v>[ON] Chat</v>
      </c>
      <c r="G2" s="5">
        <f>IFERROR(__xludf.DUMMYFUNCTION("""COMPUTED_VALUE"""),-0.36048951048951017)</f>
        <v>-0.3604895105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IFERROR(__xludf.DUMMYFUNCTION("""COMPUTED_VALUE"""),-0.463399981037566)</f>
        <v>-0.463399981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"),"Aplicativo G4 - Indicação")</f>
        <v>Aplicativo G4 - Indicação</v>
      </c>
      <c r="K2" s="6">
        <f>IFERROR(__xludf.DUMMYFUNCTION("""COMPUTED_VALUE"""),-13.307692307692307)</f>
        <v>-13.30769231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"),0.7872340425531915)</f>
        <v>0.7872340426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"),0.5)</f>
        <v>0.5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IFERROR(__xludf.DUMMYFUNCTION("""COMPUTED_VALUE"""),-0.8434769947582994)</f>
        <v>-0.8434769948</v>
      </c>
      <c r="AC2" s="3">
        <f>IFERROR(__xludf.DUMMYFUNCTION("""COMPUTED_VALUE"""),-3302.375)</f>
        <v>-3302.375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"),"[SKL] CRM - Email")</f>
        <v>[SKL] CRM - Email</v>
      </c>
      <c r="AE2" s="5">
        <f>IFERROR(__xludf.DUMMYFUNCTION("""COMPUTED_VALUE"""),2.2902411915177576)</f>
        <v>2.290241192</v>
      </c>
      <c r="AF2" s="3">
        <f>IFERROR(__xludf.DUMMYFUNCTION("""COMPUTED_VALUE"""),4622.209523809524)</f>
        <v>4622.209524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IFERROR(__xludf.DUMMYFUNCTION("""COMPUTED_VALUE"""),"Form G4 Incompleto Outros")</f>
        <v>Form G4 Incompleto Outros</v>
      </c>
      <c r="G3" s="5">
        <f>IFERROR(__xludf.DUMMYFUNCTION("""COMPUTED_VALUE"""),-0.3489876935291779)</f>
        <v>-0.3489876935</v>
      </c>
      <c r="H3" s="4" t="str">
        <f>IFERROR(__xludf.DUMMYFUNCTION("""COMPUTED_VALUE"""),"[SKL] Site")</f>
        <v>[SKL] Site</v>
      </c>
      <c r="I3" s="5">
        <f>IFERROR(__xludf.DUMMYFUNCTION("""COMPUTED_VALUE"""),-0.40865469495252604)</f>
        <v>-0.408654695</v>
      </c>
      <c r="J3" s="4" t="str">
        <f>IFERROR(__xludf.DUMMYFUNCTION("""COMPUTED_VALUE"""),"[SKL] Outros")</f>
        <v>[SKL] Outros</v>
      </c>
      <c r="K3" s="6">
        <f>IFERROR(__xludf.DUMMYFUNCTION("""COMPUTED_VALUE"""),-11.05263157894737)</f>
        <v>-11.05263158</v>
      </c>
      <c r="L3" s="4" t="str">
        <f>IFERROR(__xludf.DUMMYFUNCTION("""COMPUTED_VALUE"""),"[CM] Form G4 - Instagram")</f>
        <v>[CM] Form G4 - Instagram</v>
      </c>
      <c r="M3" s="6">
        <f>IFERROR(__xludf.DUMMYFUNCTION("""COMPUTED_VALUE"""),-21.0)</f>
        <v>-21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Form Facebook Ads")</f>
        <v>[IM] Form Facebook Ads</v>
      </c>
      <c r="AB3" s="5">
        <f>IFERROR(__xludf.DUMMYFUNCTION("""COMPUTED_VALUE"""),-0.5788209169608161)</f>
        <v>-0.578820917</v>
      </c>
      <c r="AC3" s="3">
        <f>IFERROR(__xludf.DUMMYFUNCTION("""COMPUTED_VALUE"""),-3381.1262626262615)</f>
        <v>-3381.126263</v>
      </c>
      <c r="AD3" s="4" t="str">
        <f>IFERROR(__xludf.DUMMYFUNCTION("""COMPUTED_VALUE"""),"Form G4 Google")</f>
        <v>Form G4 Google</v>
      </c>
      <c r="AE3" s="5">
        <f>IFERROR(__xludf.DUMMYFUNCTION("""COMPUTED_VALUE"""),1.1694858986736492)</f>
        <v>1.169485899</v>
      </c>
      <c r="AF3" s="3">
        <f>IFERROR(__xludf.DUMMYFUNCTION("""COMPUTED_VALUE"""),3970.1724137931033)</f>
        <v>3970.172414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Site")</f>
        <v>[SKL] Site</v>
      </c>
      <c r="G4" s="5">
        <f>IFERROR(__xludf.DUMMYFUNCTION("""COMPUTED_VALUE"""),-0.33540299906279253)</f>
        <v>-0.3354029991</v>
      </c>
      <c r="H4" s="4" t="str">
        <f>IFERROR(__xludf.DUMMYFUNCTION("""COMPUTED_VALUE"""),"[ON] Chat")</f>
        <v>[ON] Chat</v>
      </c>
      <c r="I4" s="5">
        <f>IFERROR(__xludf.DUMMYFUNCTION("""COMPUTED_VALUE"""),-0.36771561771561734)</f>
        <v>-0.3677156177</v>
      </c>
      <c r="J4" s="4" t="str">
        <f>IFERROR(__xludf.DUMMYFUNCTION("""COMPUTED_VALUE"""),"[SKL] CRM - WhatsApp")</f>
        <v>[SKL] CRM - WhatsApp</v>
      </c>
      <c r="K4" s="6">
        <f>IFERROR(__xludf.DUMMYFUNCTION("""COMPUTED_VALUE"""),-9.570175438596491)</f>
        <v>-9.570175439</v>
      </c>
      <c r="L4" s="4" t="str">
        <f>IFERROR(__xludf.DUMMYFUNCTION("""COMPUTED_VALUE"""),"[ON] Abandono de carrinho")</f>
        <v>[ON] Abandono de carrinho</v>
      </c>
      <c r="M4" s="6">
        <f>IFERROR(__xludf.DUMMYFUNCTION("""COMPUTED_VALUE"""),-16.58536585365854)</f>
        <v>-16.58536585</v>
      </c>
      <c r="N4" s="4" t="str">
        <f>IFERROR(__xludf.DUMMYFUNCTION("""COMPUTED_VALUE"""),"Aplicativo G4 - Indicação")</f>
        <v>Aplicativo G4 - Indicação</v>
      </c>
      <c r="O4" s="5">
        <f>IFERROR(__xludf.DUMMYFUNCTION("""COMPUTED_VALUE"""),-0.613)</f>
        <v>-0.613</v>
      </c>
      <c r="P4" s="3">
        <f>IFERROR(__xludf.DUMMYFUNCTION("""COMPUTED_VALUE"""),-17777.0)</f>
        <v>-17777</v>
      </c>
      <c r="S4" s="4"/>
      <c r="T4" s="4"/>
      <c r="AA4" s="4" t="str">
        <f>IFERROR(__xludf.DUMMYFUNCTION("""COMPUTED_VALUE"""),"[IM] Social DM")</f>
        <v>[IM] Social DM</v>
      </c>
      <c r="AB4" s="5">
        <f>IFERROR(__xludf.DUMMYFUNCTION("""COMPUTED_VALUE"""),-0.5627906765920041)</f>
        <v>-0.5627906766</v>
      </c>
      <c r="AC4" s="3">
        <f>IFERROR(__xludf.DUMMYFUNCTION("""COMPUTED_VALUE"""),-7110.389285132998)</f>
        <v>-7110.389285</v>
      </c>
      <c r="AD4" s="4" t="str">
        <f>IFERROR(__xludf.DUMMYFUNCTION("""COMPUTED_VALUE"""),"[SKL] CRM - WhatsApp")</f>
        <v>[SKL] CRM - WhatsApp</v>
      </c>
      <c r="AE4" s="5">
        <f>IFERROR(__xludf.DUMMYFUNCTION("""COMPUTED_VALUE"""),0.961688252818423)</f>
        <v>0.9616882528</v>
      </c>
      <c r="AF4" s="3">
        <f>IFERROR(__xludf.DUMMYFUNCTION("""COMPUTED_VALUE"""),1601.5764734604782)</f>
        <v>1601.576473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IFERROR(__xludf.DUMMYFUNCTION("""COMPUTED_VALUE"""),"Form G4 Outros - Não Orgânico")</f>
        <v>Form G4 Outros - Não Orgânico</v>
      </c>
      <c r="G5" s="5">
        <f>IFERROR(__xludf.DUMMYFUNCTION("""COMPUTED_VALUE"""),-0.13552704963747864)</f>
        <v>-0.1355270496</v>
      </c>
      <c r="H5" s="4" t="str">
        <f>IFERROR(__xludf.DUMMYFUNCTION("""COMPUTED_VALUE"""),"Form G4 Outros - Não Orgânico")</f>
        <v>Form G4 Outros - Não Orgânico</v>
      </c>
      <c r="I5" s="5">
        <f>IFERROR(__xludf.DUMMYFUNCTION("""COMPUTED_VALUE"""),-0.1605716664977391)</f>
        <v>-0.1605716665</v>
      </c>
      <c r="J5" s="4" t="str">
        <f>IFERROR(__xludf.DUMMYFUNCTION("""COMPUTED_VALUE"""),"[SKL] CRM - Email")</f>
        <v>[SKL] CRM - Email</v>
      </c>
      <c r="K5" s="6">
        <f>IFERROR(__xludf.DUMMYFUNCTION("""COMPUTED_VALUE"""),-9.195121951219512)</f>
        <v>-9.195121951</v>
      </c>
      <c r="L5" s="4" t="str">
        <f>IFERROR(__xludf.DUMMYFUNCTION("""COMPUTED_VALUE"""),"Form G4 Outros - Orgânico")</f>
        <v>Form G4 Outros - Orgânico</v>
      </c>
      <c r="M5" s="6">
        <f>IFERROR(__xludf.DUMMYFUNCTION("""COMPUTED_VALUE"""),-13.172661870503596)</f>
        <v>-13.17266187</v>
      </c>
      <c r="N5" s="4" t="str">
        <f>IFERROR(__xludf.DUMMYFUNCTION("""COMPUTED_VALUE"""),"[IM] Social DM")</f>
        <v>[IM] Social DM</v>
      </c>
      <c r="O5" s="5">
        <f>IFERROR(__xludf.DUMMYFUNCTION("""COMPUTED_VALUE"""),-0.5876988280614216)</f>
        <v>-0.5876988281</v>
      </c>
      <c r="P5" s="3">
        <f>IFERROR(__xludf.DUMMYFUNCTION("""COMPUTED_VALUE"""),-18806.362497965492)</f>
        <v>-18806.3625</v>
      </c>
      <c r="S5" s="4"/>
      <c r="T5" s="4"/>
      <c r="AA5" s="4" t="str">
        <f>IFERROR(__xludf.DUMMYFUNCTION("""COMPUTED_VALUE"""),"[SKL] Social")</f>
        <v>[SKL] Social</v>
      </c>
      <c r="AB5" s="5">
        <f>IFERROR(__xludf.DUMMYFUNCTION("""COMPUTED_VALUE"""),-0.5096629761015317)</f>
        <v>-0.5096629761</v>
      </c>
      <c r="AC5" s="3">
        <f>IFERROR(__xludf.DUMMYFUNCTION("""COMPUTED_VALUE"""),-2054.3939393939395)</f>
        <v>-2054.393939</v>
      </c>
      <c r="AD5" s="4" t="str">
        <f>IFERROR(__xludf.DUMMYFUNCTION("""COMPUTED_VALUE"""),"[IM] Form G4 Facebook Ads - K")</f>
        <v>[IM] Form G4 Facebook Ads - K</v>
      </c>
      <c r="AE5" s="5">
        <f>IFERROR(__xludf.DUMMYFUNCTION("""COMPUTED_VALUE"""),0.8201619922938987)</f>
        <v>0.8201619923</v>
      </c>
      <c r="AF5" s="3">
        <f>IFERROR(__xludf.DUMMYFUNCTION("""COMPUTED_VALUE"""),619.0706876960148)</f>
        <v>619.0706877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/>
      <c r="G6" s="4"/>
      <c r="H6" s="4"/>
      <c r="I6" s="4"/>
      <c r="J6" s="4" t="str">
        <f>IFERROR(__xludf.DUMMYFUNCTION("""COMPUTED_VALUE"""),"[CM] Form G4 - Instagram")</f>
        <v>[CM] Form G4 - Instagram</v>
      </c>
      <c r="K6" s="6">
        <f>IFERROR(__xludf.DUMMYFUNCTION("""COMPUTED_VALUE"""),-8.821917808219181)</f>
        <v>-8.821917808</v>
      </c>
      <c r="L6" s="4" t="str">
        <f>IFERROR(__xludf.DUMMYFUNCTION("""COMPUTED_VALUE"""),"Form G4 Instagram Outros")</f>
        <v>Form G4 Instagram Outros</v>
      </c>
      <c r="M6" s="6">
        <f>IFERROR(__xludf.DUMMYFUNCTION("""COMPUTED_VALUE"""),-11.735849056603772)</f>
        <v>-11.73584906</v>
      </c>
      <c r="N6" s="4" t="str">
        <f>IFERROR(__xludf.DUMMYFUNCTION("""COMPUTED_VALUE"""),"[FS] Time de vendas")</f>
        <v>[FS] Time de vendas</v>
      </c>
      <c r="O6" s="5">
        <f>IFERROR(__xludf.DUMMYFUNCTION("""COMPUTED_VALUE"""),-0.5484356527150628)</f>
        <v>-0.5484356527</v>
      </c>
      <c r="P6" s="3">
        <f>IFERROR(__xludf.DUMMYFUNCTION("""COMPUTED_VALUE"""),-29372.09990324409)</f>
        <v>-29372.0999</v>
      </c>
      <c r="Q6" s="7"/>
      <c r="S6" s="4"/>
      <c r="T6" s="4"/>
      <c r="AA6" s="4" t="str">
        <f>IFERROR(__xludf.DUMMYFUNCTION("""COMPUTED_VALUE"""),"Form G4 - K Outros")</f>
        <v>Form G4 - K Outros</v>
      </c>
      <c r="AB6" s="5">
        <f>IFERROR(__xludf.DUMMYFUNCTION("""COMPUTED_VALUE"""),-0.4743454708691005)</f>
        <v>-0.4743454709</v>
      </c>
      <c r="AC6" s="3">
        <f>IFERROR(__xludf.DUMMYFUNCTION("""COMPUTED_VALUE"""),-1175.6295913384884)</f>
        <v>-1175.629591</v>
      </c>
      <c r="AD6" s="4" t="str">
        <f>IFERROR(__xludf.DUMMYFUNCTION("""COMPUTED_VALUE"""),"Form G4 Instagram Tallis")</f>
        <v>Form G4 Instagram Tallis</v>
      </c>
      <c r="AE6" s="5">
        <f>IFERROR(__xludf.DUMMYFUNCTION("""COMPUTED_VALUE"""),0.7256661596781135)</f>
        <v>0.7256661597</v>
      </c>
      <c r="AF6" s="3">
        <f>IFERROR(__xludf.DUMMYFUNCTION("""COMPUTED_VALUE"""),1558.302013422819)</f>
        <v>1558.302013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/>
      <c r="G7" s="4"/>
      <c r="H7" s="4"/>
      <c r="I7" s="4"/>
      <c r="J7" s="4" t="str">
        <f>IFERROR(__xludf.DUMMYFUNCTION("""COMPUTED_VALUE"""),"[IM] Social DM")</f>
        <v>[IM] Social DM</v>
      </c>
      <c r="K7" s="6">
        <f>IFERROR(__xludf.DUMMYFUNCTION("""COMPUTED_VALUE"""),-8.467889908256875)</f>
        <v>-8.467889908</v>
      </c>
      <c r="L7" s="4" t="str">
        <f>IFERROR(__xludf.DUMMYFUNCTION("""COMPUTED_VALUE"""),"[ON] Form G4")</f>
        <v>[ON] Form G4</v>
      </c>
      <c r="M7" s="6">
        <f>IFERROR(__xludf.DUMMYFUNCTION("""COMPUTED_VALUE"""),-11.461538461538462)</f>
        <v>-11.46153846</v>
      </c>
      <c r="N7" s="4" t="str">
        <f>IFERROR(__xludf.DUMMYFUNCTION("""COMPUTED_VALUE"""),"[SKL] Midia Paga - Quente")</f>
        <v>[SKL] Midia Paga - Quente</v>
      </c>
      <c r="O7" s="5">
        <f>IFERROR(__xludf.DUMMYFUNCTION("""COMPUTED_VALUE"""),-0.4976453589489739)</f>
        <v>-0.4976453589</v>
      </c>
      <c r="P7" s="3">
        <f>IFERROR(__xludf.DUMMYFUNCTION("""COMPUTED_VALUE"""),-10627.714285714286)</f>
        <v>-10627.71429</v>
      </c>
      <c r="S7" s="4"/>
      <c r="T7" s="4"/>
      <c r="AA7" s="4" t="str">
        <f>IFERROR(__xludf.DUMMYFUNCTION("""COMPUTED_VALUE"""),"Form G4 Incompleto Instagram")</f>
        <v>Form G4 Incompleto Instagram</v>
      </c>
      <c r="AB7" s="5">
        <f>IFERROR(__xludf.DUMMYFUNCTION("""COMPUTED_VALUE"""),-0.43557455653135113)</f>
        <v>-0.4355745565</v>
      </c>
      <c r="AC7" s="3">
        <f>IFERROR(__xludf.DUMMYFUNCTION("""COMPUTED_VALUE"""),-1127.5376712328766)</f>
        <v>-1127.537671</v>
      </c>
      <c r="AD7" s="4" t="str">
        <f>IFERROR(__xludf.DUMMYFUNCTION("""COMPUTED_VALUE"""),"[CM] Form G4 - Outros")</f>
        <v>[CM] Form G4 - Outros</v>
      </c>
      <c r="AE7" s="5">
        <f>IFERROR(__xludf.DUMMYFUNCTION("""COMPUTED_VALUE"""),0.6039419067957217)</f>
        <v>0.6039419068</v>
      </c>
      <c r="AF7" s="3">
        <f>IFERROR(__xludf.DUMMYFUNCTION("""COMPUTED_VALUE"""),2276.923076923076)</f>
        <v>2276.923077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/>
      <c r="I8" s="4"/>
      <c r="J8" s="4" t="str">
        <f>IFERROR(__xludf.DUMMYFUNCTION("""COMPUTED_VALUE"""),"[IM] Link de Indicação")</f>
        <v>[IM] Link de Indicação</v>
      </c>
      <c r="K8" s="6">
        <f>IFERROR(__xludf.DUMMYFUNCTION("""COMPUTED_VALUE"""),-7.847826086956519)</f>
        <v>-7.847826087</v>
      </c>
      <c r="L8" s="4" t="str">
        <f>IFERROR(__xludf.DUMMYFUNCTION("""COMPUTED_VALUE"""),"[SKL] Outros")</f>
        <v>[SKL] Outros</v>
      </c>
      <c r="M8" s="6">
        <f>IFERROR(__xludf.DUMMYFUNCTION("""COMPUTED_VALUE"""),-11.13207547169811)</f>
        <v>-11.13207547</v>
      </c>
      <c r="N8" s="4" t="str">
        <f>IFERROR(__xludf.DUMMYFUNCTION("""COMPUTED_VALUE"""),"[SKL] Midia Paga - Frio")</f>
        <v>[SKL] Midia Paga - Frio</v>
      </c>
      <c r="O8" s="5">
        <f>IFERROR(__xludf.DUMMYFUNCTION("""COMPUTED_VALUE"""),-0.46320625210456196)</f>
        <v>-0.4632062521</v>
      </c>
      <c r="P8" s="3">
        <f>IFERROR(__xludf.DUMMYFUNCTION("""COMPUTED_VALUE"""),-7909.7099609375)</f>
        <v>-7909.709961</v>
      </c>
      <c r="Q8" s="4"/>
      <c r="S8" s="4"/>
      <c r="T8" s="4"/>
      <c r="AA8" s="4" t="str">
        <f>IFERROR(__xludf.DUMMYFUNCTION("""COMPUTED_VALUE"""),"Form G4 Outros - Orgânico")</f>
        <v>Form G4 Outros - Orgânico</v>
      </c>
      <c r="AB8" s="5">
        <f>IFERROR(__xludf.DUMMYFUNCTION("""COMPUTED_VALUE"""),-0.42876688948682395)</f>
        <v>-0.4287668895</v>
      </c>
      <c r="AC8" s="3">
        <f>IFERROR(__xludf.DUMMYFUNCTION("""COMPUTED_VALUE"""),-3809.3453237410063)</f>
        <v>-3809.345324</v>
      </c>
      <c r="AD8" s="4" t="str">
        <f>IFERROR(__xludf.DUMMYFUNCTION("""COMPUTED_VALUE"""),"[ON] Form G4 Incompleto")</f>
        <v>[ON] Form G4 Incompleto</v>
      </c>
      <c r="AE8" s="5">
        <f>IFERROR(__xludf.DUMMYFUNCTION("""COMPUTED_VALUE"""),0.5177278248300672)</f>
        <v>0.5177278248</v>
      </c>
      <c r="AF8" s="3">
        <f>IFERROR(__xludf.DUMMYFUNCTION("""COMPUTED_VALUE"""),241.2617031665559)</f>
        <v>241.2617032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IFERROR(__xludf.DUMMYFUNCTION("""COMPUTED_VALUE"""),-6.66949720670391)</f>
        <v>-6.669497207</v>
      </c>
      <c r="L9" s="4" t="str">
        <f>IFERROR(__xludf.DUMMYFUNCTION("""COMPUTED_VALUE"""),"[SKL] Site")</f>
        <v>[SKL] Site</v>
      </c>
      <c r="M9" s="6">
        <f>IFERROR(__xludf.DUMMYFUNCTION("""COMPUTED_VALUE"""),-9.608695652173916)</f>
        <v>-9.608695652</v>
      </c>
      <c r="N9" s="9" t="str">
        <f>IFERROR(__xludf.DUMMYFUNCTION("""COMPUTED_VALUE"""),"Form G4 Instagram G4")</f>
        <v>Form G4 Instagram G4</v>
      </c>
      <c r="O9" s="5">
        <f>IFERROR(__xludf.DUMMYFUNCTION("""COMPUTED_VALUE"""),-0.3315686950014349)</f>
        <v>-0.331568695</v>
      </c>
      <c r="P9" s="3">
        <f>IFERROR(__xludf.DUMMYFUNCTION("""COMPUTED_VALUE"""),-10610.198240045916)</f>
        <v>-10610.19824</v>
      </c>
      <c r="S9" s="4"/>
      <c r="T9" s="4"/>
      <c r="AA9" s="4" t="str">
        <f>IFERROR(__xludf.DUMMYFUNCTION("""COMPUTED_VALUE"""),"[ON] Form G4")</f>
        <v>[ON] Form G4</v>
      </c>
      <c r="AB9" s="5">
        <f>IFERROR(__xludf.DUMMYFUNCTION("""COMPUTED_VALUE"""),-0.2789788488757823)</f>
        <v>-0.2789788489</v>
      </c>
      <c r="AC9" s="3">
        <f>IFERROR(__xludf.DUMMYFUNCTION("""COMPUTED_VALUE"""),-1281.5692232572114)</f>
        <v>-1281.569223</v>
      </c>
      <c r="AD9" s="4" t="str">
        <f>IFERROR(__xludf.DUMMYFUNCTION("""COMPUTED_VALUE"""),"Form G4 - K Instagram")</f>
        <v>Form G4 - K Instagram</v>
      </c>
      <c r="AE9" s="5">
        <f>IFERROR(__xludf.DUMMYFUNCTION("""COMPUTED_VALUE"""),0.37125686045998907)</f>
        <v>0.3712568605</v>
      </c>
      <c r="AF9" s="3">
        <f>IFERROR(__xludf.DUMMYFUNCTION("""COMPUTED_VALUE"""),135.54925446012135)</f>
        <v>135.5492545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IFERROR(__xludf.DUMMYFUNCTION("""COMPUTED_VALUE"""),-6.472738853503185)</f>
        <v>-6.472738854</v>
      </c>
      <c r="L10" s="4" t="str">
        <f>IFERROR(__xludf.DUMMYFUNCTION("""COMPUTED_VALUE"""),"[IM] Form Facebook Ads")</f>
        <v>[IM] Form Facebook Ads</v>
      </c>
      <c r="M10" s="6">
        <f>IFERROR(__xludf.DUMMYFUNCTION("""COMPUTED_VALUE"""),-8.914141414141413)</f>
        <v>-8.914141414</v>
      </c>
      <c r="N10" s="9" t="str">
        <f>IFERROR(__xludf.DUMMYFUNCTION("""COMPUTED_VALUE"""),"[IM] Form Facebook Ads")</f>
        <v>[IM] Form Facebook Ads</v>
      </c>
      <c r="O10" s="5">
        <f>IFERROR(__xludf.DUMMYFUNCTION("""COMPUTED_VALUE"""),-0.3197018255578094)</f>
        <v>-0.3197018256</v>
      </c>
      <c r="P10" s="3">
        <f>IFERROR(__xludf.DUMMYFUNCTION("""COMPUTED_VALUE"""),-9271.352941176472)</f>
        <v>-9271.352941</v>
      </c>
      <c r="Q10" s="4"/>
      <c r="S10" s="4"/>
      <c r="T10" s="4"/>
      <c r="AA10" s="4" t="str">
        <f>IFERROR(__xludf.DUMMYFUNCTION("""COMPUTED_VALUE"""),"Form G4 Instagram G4")</f>
        <v>Form G4 Instagram G4</v>
      </c>
      <c r="AB10" s="5">
        <f>IFERROR(__xludf.DUMMYFUNCTION("""COMPUTED_VALUE"""),-0.2728557088863439)</f>
        <v>-0.2728557089</v>
      </c>
      <c r="AC10" s="3">
        <f>IFERROR(__xludf.DUMMYFUNCTION("""COMPUTED_VALUE"""),-2576.4979875937283)</f>
        <v>-2576.497988</v>
      </c>
      <c r="AD10" s="9" t="str">
        <f>IFERROR(__xludf.DUMMYFUNCTION("""COMPUTED_VALUE"""),"[SKL] Midia Paga - Frio")</f>
        <v>[SKL] Midia Paga - Frio</v>
      </c>
      <c r="AE10" s="10">
        <f>IFERROR(__xludf.DUMMYFUNCTION("""COMPUTED_VALUE"""),0.3024441296474927)</f>
        <v>0.3024441296</v>
      </c>
      <c r="AF10" s="11">
        <f>IFERROR(__xludf.DUMMYFUNCTION("""COMPUTED_VALUE"""),32.432268075284014)</f>
        <v>32.43226808</v>
      </c>
    </row>
    <row r="11">
      <c r="F11" s="4"/>
      <c r="G11" s="4"/>
      <c r="H11" s="4"/>
      <c r="I11" s="4"/>
      <c r="J11" s="4" t="str">
        <f>IFERROR(__xludf.DUMMYFUNCTION("""COMPUTED_VALUE"""),"Form G4 Facebook")</f>
        <v>Form G4 Facebook</v>
      </c>
      <c r="K11" s="6">
        <f>IFERROR(__xludf.DUMMYFUNCTION("""COMPUTED_VALUE"""),-4.976190476190478)</f>
        <v>-4.976190476</v>
      </c>
      <c r="L11" s="4" t="str">
        <f>IFERROR(__xludf.DUMMYFUNCTION("""COMPUTED_VALUE"""),"Aplicativo G4 - Indicação")</f>
        <v>Aplicativo G4 - Indicação</v>
      </c>
      <c r="M11" s="6">
        <f>IFERROR(__xludf.DUMMYFUNCTION("""COMPUTED_VALUE"""),-8.833333333333334)</f>
        <v>-8.833333333</v>
      </c>
      <c r="N11" s="9" t="str">
        <f>IFERROR(__xludf.DUMMYFUNCTION("""COMPUTED_VALUE"""),"[SKL] Social")</f>
        <v>[SKL] Social</v>
      </c>
      <c r="O11" s="5">
        <f>IFERROR(__xludf.DUMMYFUNCTION("""COMPUTED_VALUE"""),-0.3161111111111111)</f>
        <v>-0.3161111111</v>
      </c>
      <c r="P11" s="3">
        <f>IFERROR(__xludf.DUMMYFUNCTION("""COMPUTED_VALUE"""),-6638.333333333334)</f>
        <v>-6638.333333</v>
      </c>
      <c r="AA11" s="4" t="str">
        <f>IFERROR(__xludf.DUMMYFUNCTION("""COMPUTED_VALUE"""),"[IM] Chat")</f>
        <v>[IM] Chat</v>
      </c>
      <c r="AB11" s="5">
        <f>IFERROR(__xludf.DUMMYFUNCTION("""COMPUTED_VALUE"""),-0.24833195408603537)</f>
        <v>-0.2483319541</v>
      </c>
      <c r="AC11" s="3">
        <f>IFERROR(__xludf.DUMMYFUNCTION("""COMPUTED_VALUE"""),-1997.4000005778475)</f>
        <v>-1997.400001</v>
      </c>
      <c r="AD11" s="9" t="str">
        <f>IFERROR(__xludf.DUMMYFUNCTION("""COMPUTED_VALUE"""),"Form G4 Incompleto Outros")</f>
        <v>Form G4 Incompleto Outros</v>
      </c>
      <c r="AE11" s="10">
        <f>IFERROR(__xludf.DUMMYFUNCTION("""COMPUTED_VALUE"""),0.2863461448744056)</f>
        <v>0.2863461449</v>
      </c>
      <c r="AF11" s="11">
        <f>IFERROR(__xludf.DUMMYFUNCTION("""COMPUTED_VALUE"""),34.88372093023281)</f>
        <v>34.88372093</v>
      </c>
    </row>
    <row r="12">
      <c r="F12" s="4"/>
      <c r="G12" s="4"/>
      <c r="H12" s="4"/>
      <c r="I12" s="4"/>
      <c r="J12" s="4" t="str">
        <f>IFERROR(__xludf.DUMMYFUNCTION("""COMPUTED_VALUE"""),"Form G4 Outros - Não Orgânico")</f>
        <v>Form G4 Outros - Não Orgânico</v>
      </c>
      <c r="K12" s="6">
        <f>IFERROR(__xludf.DUMMYFUNCTION("""COMPUTED_VALUE"""),-4.084337349397593)</f>
        <v>-4.084337349</v>
      </c>
      <c r="L12" s="4" t="str">
        <f>IFERROR(__xludf.DUMMYFUNCTION("""COMPUTED_VALUE"""),"[SKL] CRM - Email")</f>
        <v>[SKL] CRM - Email</v>
      </c>
      <c r="M12" s="6">
        <f>IFERROR(__xludf.DUMMYFUNCTION("""COMPUTED_VALUE"""),-8.676190476190476)</f>
        <v>-8.676190476</v>
      </c>
      <c r="N12" s="9" t="str">
        <f>IFERROR(__xludf.DUMMYFUNCTION("""COMPUTED_VALUE"""),"[IM] Chat")</f>
        <v>[IM] Chat</v>
      </c>
      <c r="O12" s="5">
        <f>IFERROR(__xludf.DUMMYFUNCTION("""COMPUTED_VALUE"""),-0.23492400015024031)</f>
        <v>-0.2349240002</v>
      </c>
      <c r="P12" s="3">
        <f>IFERROR(__xludf.DUMMYFUNCTION("""COMPUTED_VALUE"""),-6108.024003906248)</f>
        <v>-6108.024004</v>
      </c>
      <c r="AA12" s="4" t="str">
        <f>IFERROR(__xludf.DUMMYFUNCTION("""COMPUTED_VALUE"""),"Form G4 Instagram Outros")</f>
        <v>Form G4 Instagram Outros</v>
      </c>
      <c r="AB12" s="5">
        <f>IFERROR(__xludf.DUMMYFUNCTION("""COMPUTED_VALUE"""),-0.20918430497268348)</f>
        <v>-0.209184305</v>
      </c>
      <c r="AC12" s="3">
        <f>IFERROR(__xludf.DUMMYFUNCTION("""COMPUTED_VALUE"""),-2284.6509433962274)</f>
        <v>-2284.650943</v>
      </c>
      <c r="AD12" s="9" t="str">
        <f>IFERROR(__xludf.DUMMYFUNCTION("""COMPUTED_VALUE"""),"[IM] Link de Indicação")</f>
        <v>[IM] Link de Indicação</v>
      </c>
      <c r="AE12" s="10">
        <f>IFERROR(__xludf.DUMMYFUNCTION("""COMPUTED_VALUE"""),0.24402373270036626)</f>
        <v>0.2440237327</v>
      </c>
      <c r="AF12" s="11">
        <f>IFERROR(__xludf.DUMMYFUNCTION("""COMPUTED_VALUE"""),-78.15789473684345)</f>
        <v>-78.15789474</v>
      </c>
    </row>
    <row r="13">
      <c r="F13" s="4"/>
      <c r="G13" s="4"/>
      <c r="H13" s="4"/>
      <c r="I13" s="4"/>
      <c r="J13" s="4" t="str">
        <f>IFERROR(__xludf.DUMMYFUNCTION("""COMPUTED_VALUE"""),"[ON] Form G4 Incompleto")</f>
        <v>[ON] Form G4 Incompleto</v>
      </c>
      <c r="K13" s="6">
        <f>IFERROR(__xludf.DUMMYFUNCTION("""COMPUTED_VALUE"""),-2.4979253112033195)</f>
        <v>-2.497925311</v>
      </c>
      <c r="L13" s="4" t="str">
        <f>IFERROR(__xludf.DUMMYFUNCTION("""COMPUTED_VALUE"""),"Form G4 Incompleto Outros")</f>
        <v>Form G4 Incompleto Outros</v>
      </c>
      <c r="M13" s="6">
        <f>IFERROR(__xludf.DUMMYFUNCTION("""COMPUTED_VALUE"""),-7.348837209302325)</f>
        <v>-7.348837209</v>
      </c>
      <c r="N13" s="9" t="str">
        <f>IFERROR(__xludf.DUMMYFUNCTION("""COMPUTED_VALUE"""),"Form G4 Incompleto Instagram")</f>
        <v>Form G4 Incompleto Instagram</v>
      </c>
      <c r="O13" s="5">
        <f>IFERROR(__xludf.DUMMYFUNCTION("""COMPUTED_VALUE"""),-0.21635588235294112)</f>
        <v>-0.2163558824</v>
      </c>
      <c r="P13" s="3">
        <f>IFERROR(__xludf.DUMMYFUNCTION("""COMPUTED_VALUE"""),-3678.0499999999993)</f>
        <v>-3678.05</v>
      </c>
      <c r="AA13" s="4" t="str">
        <f>IFERROR(__xludf.DUMMYFUNCTION("""COMPUTED_VALUE"""),"[SKL] Midia Paga - Quente")</f>
        <v>[SKL] Midia Paga - Quente</v>
      </c>
      <c r="AB13" s="5">
        <f>IFERROR(__xludf.DUMMYFUNCTION("""COMPUTED_VALUE"""),-0.19004540701566197)</f>
        <v>-0.190045407</v>
      </c>
      <c r="AC13" s="3">
        <f>IFERROR(__xludf.DUMMYFUNCTION("""COMPUTED_VALUE"""),-607.2895884057971)</f>
        <v>-607.2895884</v>
      </c>
      <c r="AD13" s="9" t="str">
        <f>IFERROR(__xludf.DUMMYFUNCTION("""COMPUTED_VALUE"""),"[SKL] Site")</f>
        <v>[SKL] Site</v>
      </c>
      <c r="AE13" s="10">
        <f>IFERROR(__xludf.DUMMYFUNCTION("""COMPUTED_VALUE"""),0.24378764337168857)</f>
        <v>0.2437876434</v>
      </c>
      <c r="AF13" s="11">
        <f>IFERROR(__xludf.DUMMYFUNCTION("""COMPUTED_VALUE"""),-73.59565005095101)</f>
        <v>-73.59565005</v>
      </c>
    </row>
    <row r="14">
      <c r="F14" s="4"/>
      <c r="G14" s="4"/>
      <c r="H14" s="4"/>
      <c r="I14" s="4"/>
      <c r="J14" s="4" t="str">
        <f>IFERROR(__xludf.DUMMYFUNCTION("""COMPUTED_VALUE"""),"[ON] Abandono de carrinho")</f>
        <v>[ON] Abandono de carrinho</v>
      </c>
      <c r="K14" s="6">
        <f>IFERROR(__xludf.DUMMYFUNCTION("""COMPUTED_VALUE"""),-2.2929292929292937)</f>
        <v>-2.292929293</v>
      </c>
      <c r="L14" s="4" t="str">
        <f>IFERROR(__xludf.DUMMYFUNCTION("""COMPUTED_VALUE"""),"Form G4 - K Outros")</f>
        <v>Form G4 - K Outros</v>
      </c>
      <c r="M14" s="6">
        <f>IFERROR(__xludf.DUMMYFUNCTION("""COMPUTED_VALUE"""),-7.336734693877552)</f>
        <v>-7.336734694</v>
      </c>
      <c r="N14" s="9" t="str">
        <f>IFERROR(__xludf.DUMMYFUNCTION("""COMPUTED_VALUE"""),"Form G4 - K Outros")</f>
        <v>Form G4 - K Outros</v>
      </c>
      <c r="O14" s="5">
        <f>IFERROR(__xludf.DUMMYFUNCTION("""COMPUTED_VALUE"""),-0.20905480722280648)</f>
        <v>-0.2090548072</v>
      </c>
      <c r="P14" s="3">
        <f>IFERROR(__xludf.DUMMYFUNCTION("""COMPUTED_VALUE"""),-2717.7124938964844)</f>
        <v>-2717.712494</v>
      </c>
      <c r="AA14" s="4" t="str">
        <f>IFERROR(__xludf.DUMMYFUNCTION("""COMPUTED_VALUE"""),"[SKL] Outros")</f>
        <v>[SKL] Outros</v>
      </c>
      <c r="AB14" s="5">
        <f>IFERROR(__xludf.DUMMYFUNCTION("""COMPUTED_VALUE"""),-0.16058893444235112)</f>
        <v>-0.1605889344</v>
      </c>
      <c r="AC14" s="3">
        <f>IFERROR(__xludf.DUMMYFUNCTION("""COMPUTED_VALUE"""),-2310.1132075471687)</f>
        <v>-2310.113208</v>
      </c>
    </row>
    <row r="15">
      <c r="F15" s="4"/>
      <c r="G15" s="4"/>
      <c r="H15" s="4"/>
      <c r="I15" s="4"/>
      <c r="J15" s="4" t="str">
        <f>IFERROR(__xludf.DUMMYFUNCTION("""COMPUTED_VALUE"""),"Form G4 Instagram G4")</f>
        <v>Form G4 Instagram G4</v>
      </c>
      <c r="K15" s="6">
        <f>IFERROR(__xludf.DUMMYFUNCTION("""COMPUTED_VALUE"""),-1.9852805887764502)</f>
        <v>-1.985280589</v>
      </c>
      <c r="L15" s="9" t="str">
        <f>IFERROR(__xludf.DUMMYFUNCTION("""COMPUTED_VALUE"""),"[SKL] Social")</f>
        <v>[SKL] Social</v>
      </c>
      <c r="M15" s="6">
        <f>IFERROR(__xludf.DUMMYFUNCTION("""COMPUTED_VALUE"""),-6.909090909090909)</f>
        <v>-6.909090909</v>
      </c>
      <c r="N15" s="9" t="str">
        <f>IFERROR(__xludf.DUMMYFUNCTION("""COMPUTED_VALUE"""),"[IM] Time de vendas")</f>
        <v>[IM] Time de vendas</v>
      </c>
      <c r="O15" s="5">
        <f>IFERROR(__xludf.DUMMYFUNCTION("""COMPUTED_VALUE"""),-0.18712672778532544)</f>
        <v>-0.1871267278</v>
      </c>
      <c r="P15" s="3">
        <f>IFERROR(__xludf.DUMMYFUNCTION("""COMPUTED_VALUE"""),-5599.114661937452)</f>
        <v>-5599.114662</v>
      </c>
      <c r="AA15" s="4" t="str">
        <f>IFERROR(__xludf.DUMMYFUNCTION("""COMPUTED_VALUE"""),"Form G4 Facebook")</f>
        <v>Form G4 Facebook</v>
      </c>
      <c r="AB15" s="5">
        <f>IFERROR(__xludf.DUMMYFUNCTION("""COMPUTED_VALUE"""),-0.06437473478065014)</f>
        <v>-0.06437473478</v>
      </c>
      <c r="AC15" s="3">
        <f>IFERROR(__xludf.DUMMYFUNCTION("""COMPUTED_VALUE"""),-832.5405405405404)</f>
        <v>-832.5405405</v>
      </c>
    </row>
    <row r="16">
      <c r="F16" s="4"/>
      <c r="G16" s="4"/>
      <c r="H16" s="4"/>
      <c r="I16" s="4"/>
      <c r="J16" s="4" t="str">
        <f>IFERROR(__xludf.DUMMYFUNCTION("""COMPUTED_VALUE"""),"Form G4 Incompleto Outros")</f>
        <v>Form G4 Incompleto Outros</v>
      </c>
      <c r="K16" s="6">
        <f>IFERROR(__xludf.DUMMYFUNCTION("""COMPUTED_VALUE"""),-1.9016393442622959)</f>
        <v>-1.901639344</v>
      </c>
      <c r="L16" s="9" t="str">
        <f>IFERROR(__xludf.DUMMYFUNCTION("""COMPUTED_VALUE"""),"[ON] Form G4 Incompleto")</f>
        <v>[ON] Form G4 Incompleto</v>
      </c>
      <c r="M16" s="6">
        <f>IFERROR(__xludf.DUMMYFUNCTION("""COMPUTED_VALUE"""),-6.3617021276595755)</f>
        <v>-6.361702128</v>
      </c>
      <c r="N16" s="9" t="str">
        <f>IFERROR(__xludf.DUMMYFUNCTION("""COMPUTED_VALUE"""),"Form G4 Outros - Orgânico")</f>
        <v>Form G4 Outros - Orgânico</v>
      </c>
      <c r="O16" s="5">
        <f>IFERROR(__xludf.DUMMYFUNCTION("""COMPUTED_VALUE"""),-0.17056628787878783)</f>
        <v>-0.1705662879</v>
      </c>
      <c r="P16" s="3">
        <f>IFERROR(__xludf.DUMMYFUNCTION("""COMPUTED_VALUE"""),-4093.590909090908)</f>
        <v>-4093.590909</v>
      </c>
      <c r="AA16" s="4"/>
      <c r="AB16" s="4"/>
      <c r="AC16" s="4"/>
    </row>
    <row r="17">
      <c r="F17" s="4"/>
      <c r="G17" s="4"/>
      <c r="H17" s="4"/>
      <c r="I17" s="4"/>
      <c r="J17" s="4" t="str">
        <f>IFERROR(__xludf.DUMMYFUNCTION("""COMPUTED_VALUE"""),"[SKL] Social")</f>
        <v>[SKL] Social</v>
      </c>
      <c r="K17" s="6">
        <f>IFERROR(__xludf.DUMMYFUNCTION("""COMPUTED_VALUE"""),-1.5820895522388052)</f>
        <v>-1.582089552</v>
      </c>
      <c r="L17" s="9" t="str">
        <f>IFERROR(__xludf.DUMMYFUNCTION("""COMPUTED_VALUE"""),"[ON] Chat")</f>
        <v>[ON] Chat</v>
      </c>
      <c r="M17" s="6">
        <f>IFERROR(__xludf.DUMMYFUNCTION("""COMPUTED_VALUE"""),-6.0)</f>
        <v>-6</v>
      </c>
      <c r="N17" s="9" t="str">
        <f>IFERROR(__xludf.DUMMYFUNCTION("""COMPUTED_VALUE"""),"[IM] Link de Indicação")</f>
        <v>[IM] Link de Indicação</v>
      </c>
      <c r="O17" s="5">
        <f>IFERROR(__xludf.DUMMYFUNCTION("""COMPUTED_VALUE"""),-0.138375)</f>
        <v>-0.138375</v>
      </c>
      <c r="P17" s="3">
        <f>IFERROR(__xludf.DUMMYFUNCTION("""COMPUTED_VALUE"""),-3321.0)</f>
        <v>-3321</v>
      </c>
      <c r="AA17" s="4"/>
      <c r="AB17" s="4"/>
      <c r="AC17" s="4"/>
    </row>
    <row r="18">
      <c r="F18" s="4"/>
      <c r="G18" s="4"/>
      <c r="H18" s="4"/>
      <c r="I18" s="4"/>
      <c r="J18" s="4" t="str">
        <f>IFERROR(__xludf.DUMMYFUNCTION("""COMPUTED_VALUE"""),"[IM] Form Facebook Ads")</f>
        <v>[IM] Form Facebook Ads</v>
      </c>
      <c r="K18" s="6">
        <f>IFERROR(__xludf.DUMMYFUNCTION("""COMPUTED_VALUE"""),-0.7697160883280763)</f>
        <v>-0.7697160883</v>
      </c>
      <c r="L18" s="9" t="str">
        <f>IFERROR(__xludf.DUMMYFUNCTION("""COMPUTED_VALUE"""),"Form G4 - K Instagram")</f>
        <v>Form G4 - K Instagram</v>
      </c>
      <c r="M18" s="6">
        <f>IFERROR(__xludf.DUMMYFUNCTION("""COMPUTED_VALUE"""),-5.805970149253732)</f>
        <v>-5.805970149</v>
      </c>
      <c r="N18" s="9" t="str">
        <f>IFERROR(__xludf.DUMMYFUNCTION("""COMPUTED_VALUE"""),"[ON] Chat")</f>
        <v>[ON] Chat</v>
      </c>
      <c r="O18" s="5">
        <f>IFERROR(__xludf.DUMMYFUNCTION("""COMPUTED_VALUE"""),-0.04803613053613059)</f>
        <v>-0.04803613054</v>
      </c>
      <c r="P18" s="3">
        <f>IFERROR(__xludf.DUMMYFUNCTION("""COMPUTED_VALUE"""),-317.0384615384619)</f>
        <v>-317.0384615</v>
      </c>
      <c r="AA18" s="4"/>
      <c r="AB18" s="4"/>
      <c r="AC18" s="4"/>
    </row>
    <row r="19">
      <c r="F19" s="4"/>
      <c r="G19" s="4"/>
      <c r="H19" s="4"/>
      <c r="I19" s="4"/>
      <c r="J19" s="4" t="str">
        <f>IFERROR(__xludf.DUMMYFUNCTION("""COMPUTED_VALUE"""),"Form G4 - K Outros")</f>
        <v>Form G4 - K Outros</v>
      </c>
      <c r="K19" s="6">
        <f>IFERROR(__xludf.DUMMYFUNCTION("""COMPUTED_VALUE"""),-0.41409691629955836)</f>
        <v>-0.4140969163</v>
      </c>
      <c r="L19" s="9" t="str">
        <f>IFERROR(__xludf.DUMMYFUNCTION("""COMPUTED_VALUE"""),"[IM] Social DM")</f>
        <v>[IM] Social DM</v>
      </c>
      <c r="M19" s="6">
        <f>IFERROR(__xludf.DUMMYFUNCTION("""COMPUTED_VALUE"""),-5.428571428571432)</f>
        <v>-5.428571429</v>
      </c>
      <c r="N19" s="9" t="str">
        <f>IFERROR(__xludf.DUMMYFUNCTION("""COMPUTED_VALUE"""),"Form G4 Facebook")</f>
        <v>Form G4 Facebook</v>
      </c>
      <c r="O19" s="5">
        <f>IFERROR(__xludf.DUMMYFUNCTION("""COMPUTED_VALUE"""),-0.03982608695652174)</f>
        <v>-0.03982608696</v>
      </c>
      <c r="P19" s="3">
        <f>IFERROR(__xludf.DUMMYFUNCTION("""COMPUTED_VALUE"""),-916.0)</f>
        <v>-916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IFERROR(__xludf.DUMMYFUNCTION("""COMPUTED_VALUE"""),"Form G4 Incompleto Instagram")</f>
        <v>Form G4 Incompleto Instagram</v>
      </c>
      <c r="K20" s="6">
        <f>IFERROR(__xludf.DUMMYFUNCTION("""COMPUTED_VALUE"""),-0.16033254156769539)</f>
        <v>-0.1603325416</v>
      </c>
      <c r="L20" s="9" t="str">
        <f>IFERROR(__xludf.DUMMYFUNCTION("""COMPUTED_VALUE"""),"Form G4 Incompleto Instagram")</f>
        <v>Form G4 Incompleto Instagram</v>
      </c>
      <c r="M20" s="6">
        <f>IFERROR(__xludf.DUMMYFUNCTION("""COMPUTED_VALUE"""),-5.1506849315068495)</f>
        <v>-5.150684932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IFERROR(__xludf.DUMMYFUNCTION("""COMPUTED_VALUE"""),-0.021422961591490146)</f>
        <v>-0.02142296159</v>
      </c>
      <c r="P20" s="3">
        <f>IFERROR(__xludf.DUMMYFUNCTION("""COMPUTED_VALUE"""),-72.8380694110665)</f>
        <v>-72.83806941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IFERROR(__xludf.DUMMYFUNCTION("""COMPUTED_VALUE"""),"[ON] Form G4")</f>
        <v>[ON] Form G4</v>
      </c>
      <c r="K21" s="6">
        <f>IFERROR(__xludf.DUMMYFUNCTION("""COMPUTED_VALUE"""),-0.010380622837369291)</f>
        <v>-0.01038062284</v>
      </c>
      <c r="L21" s="9" t="str">
        <f>IFERROR(__xludf.DUMMYFUNCTION("""COMPUTED_VALUE"""),"[IM] Chat")</f>
        <v>[IM] Chat</v>
      </c>
      <c r="M21" s="6">
        <f>IFERROR(__xludf.DUMMYFUNCTION("""COMPUTED_VALUE"""),-4.207100591715976)</f>
        <v>-4.207100592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IFERROR(__xludf.DUMMYFUNCTION("""COMPUTED_VALUE"""),"Form G4 Facebook")</f>
        <v>Form G4 Facebook</v>
      </c>
      <c r="M22" s="6">
        <f>IFERROR(__xludf.DUMMYFUNCTION("""COMPUTED_VALUE"""),-3.18918918918919)</f>
        <v>-3.189189189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Instagram G4")</f>
        <v>Form G4 Instagram G4</v>
      </c>
      <c r="M23" s="6">
        <f>IFERROR(__xludf.DUMMYFUNCTION("""COMPUTED_VALUE"""),-2.6206896551724146)</f>
        <v>-2.620689655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IFERROR(__xludf.DUMMYFUNCTION("""COMPUTED_VALUE"""),"[IM] Form G4 Facebook Ads - K")</f>
        <v>[IM] Form G4 Facebook Ads - K</v>
      </c>
      <c r="M24" s="6">
        <f>IFERROR(__xludf.DUMMYFUNCTION("""COMPUTED_VALUE"""),-1.6723568568308282)</f>
        <v>-1.672356857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IFERROR(__xludf.DUMMYFUNCTION("""COMPUTED_VALUE"""),"[SKL] CRM - WhatsApp")</f>
        <v>[SKL] CRM - WhatsApp</v>
      </c>
      <c r="M25" s="6">
        <f>IFERROR(__xludf.DUMMYFUNCTION("""COMPUTED_VALUE"""),-1.3529411764705874)</f>
        <v>-1.352941176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M26" s="4"/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M27" s="4"/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Comercial!AE1"")"),3647323.267791539)</f>
        <v>3647323.268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Comercial!AF4"")"),2192703.001220703)</f>
        <v>2192703.001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Comercial!AE4"")"),2746434.420647029)</f>
        <v>2746434.421</v>
      </c>
    </row>
    <row r="5">
      <c r="A5" s="1" t="s">
        <v>36</v>
      </c>
      <c r="B5" s="1" t="s">
        <v>2</v>
      </c>
      <c r="C5" s="3">
        <f>C3-C4</f>
        <v>-553731.4194</v>
      </c>
    </row>
    <row r="6">
      <c r="A6" s="1" t="s">
        <v>36</v>
      </c>
      <c r="B6" s="1" t="s">
        <v>39</v>
      </c>
      <c r="C6" s="5">
        <f>C3/C2</f>
        <v>0.6011814255</v>
      </c>
    </row>
    <row r="7">
      <c r="A7" s="1" t="s">
        <v>36</v>
      </c>
      <c r="B7" s="1" t="s">
        <v>40</v>
      </c>
      <c r="C7" s="5">
        <f>C3/C4</f>
        <v>0.7983817071</v>
      </c>
    </row>
    <row r="8">
      <c r="A8" s="1" t="s">
        <v>36</v>
      </c>
      <c r="B8" s="1" t="s">
        <v>41</v>
      </c>
      <c r="C8" s="5">
        <f>C9-C6</f>
        <v>0.1518185745</v>
      </c>
    </row>
    <row r="9">
      <c r="A9" s="1" t="s">
        <v>36</v>
      </c>
      <c r="B9" s="1" t="s">
        <v>42</v>
      </c>
      <c r="C9" s="7">
        <f>C4/C2</f>
        <v>0.753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7192703.001</v>
      </c>
    </row>
    <row r="12">
      <c r="A12" s="1" t="s">
        <v>36</v>
      </c>
      <c r="B12" s="1" t="s">
        <v>45</v>
      </c>
      <c r="C12" s="12">
        <f>C2-C11</f>
        <v>-3545379.733</v>
      </c>
    </row>
    <row r="13">
      <c r="A13" s="1" t="s">
        <v>46</v>
      </c>
      <c r="B13" s="1" t="s">
        <v>47</v>
      </c>
      <c r="C13" s="7">
        <f t="array" ref="C13:C14">TRANSPOSE('Dados Relatório'!Q2:R2)</f>
        <v>0.7872340426</v>
      </c>
    </row>
    <row r="14">
      <c r="A14" s="1" t="s">
        <v>46</v>
      </c>
      <c r="B14" s="1" t="s">
        <v>48</v>
      </c>
      <c r="C14" s="7">
        <v>0.5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Site")</f>
        <v>[SKL] Site</v>
      </c>
      <c r="B2" s="12">
        <f>IFERROR(__xludf.DUMMYFUNCTION("""COMPUTED_VALUE"""),-124142.33289212036)</f>
        <v>-124142.3329</v>
      </c>
      <c r="C2" s="7">
        <f t="shared" ref="C2:C1000" si="1">IF(B2="","",B2/SUM($B$2:$B$1000))</f>
        <v>0.6179352765</v>
      </c>
      <c r="D2" s="7">
        <f>IF(B2="","",C2)</f>
        <v>0.6179352765</v>
      </c>
      <c r="E2" s="3">
        <f t="array" ref="E2">XLOOKUP(A2,'Dados Funil'!$A:$A,'Dados Funil'!$K:$K,"")</f>
        <v>-161.3285678</v>
      </c>
      <c r="F2" s="5">
        <f t="array" ref="F2">XLOOKUP(A2,'Dados Funil'!$A:$A,'Dados Funil'!$L:$L,"")</f>
        <v>-0.5674018936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)"),"[SKL] Outros")</f>
        <v>[SKL] Outros</v>
      </c>
      <c r="H2" s="12">
        <f>IFERROR(__xludf.DUMMYFUNCTION("""COMPUTED_VALUE"""),-275999.99999999994)</f>
        <v>-276000</v>
      </c>
      <c r="I2" s="7">
        <f t="shared" ref="I2:I1000" si="2">IF(H2="","",H2/SUM($H$2:$H$1000))</f>
        <v>0.3950772271</v>
      </c>
      <c r="J2" s="7">
        <f>IF(H2="","",I2)</f>
        <v>0.3950772271</v>
      </c>
      <c r="K2" s="6">
        <f t="array" ref="K2">XLOOKUP(G2,'Dados Funil'!A:A,'Dados Funil'!O:O,"")</f>
        <v>-11.11111111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)"),"[IM] Form Facebook Ads")</f>
        <v>[IM] Form Facebook Ads</v>
      </c>
      <c r="M2" s="12">
        <f>IFERROR(__xludf.DUMMYFUNCTION("""COMPUTED_VALUE"""),-180116.9999999999)</f>
        <v>-180117</v>
      </c>
      <c r="N2" s="7">
        <f t="shared" ref="N2:N1000" si="3">IF(M2="","",M2/SUM($M$2:$M$1000))</f>
        <v>0.4475964219</v>
      </c>
      <c r="O2" s="7">
        <f>IF(M2="","",N2)</f>
        <v>0.4475964219</v>
      </c>
      <c r="P2" s="12">
        <f t="array" ref="P2">XLOOKUP(L2,'Dados Funil'!A:A,'Dados Funil'!AM:AM,"")</f>
        <v>-2434.013514</v>
      </c>
      <c r="Q2" s="5">
        <f t="array" ref="Q2">XLOOKUP(L2,'Dados Funil'!A:A,'Dados Funil'!AN:AN,"")</f>
        <v>-0.4796085741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)"),"[SKL] CRM - WhatsApp")</f>
        <v>[SKL] CRM - WhatsApp</v>
      </c>
      <c r="S2" s="12">
        <f>IFERROR(__xludf.DUMMYFUNCTION("""COMPUTED_VALUE"""),57227.23103068456)</f>
        <v>57227.23103</v>
      </c>
      <c r="T2" s="7">
        <f t="shared" ref="T2:T1000" si="4">IF(S2="","",S2/SUM($S$2:$S$1000))</f>
        <v>1</v>
      </c>
      <c r="U2" s="7">
        <f t="shared" ref="U2:U13" si="5">IF(S2="","",T2)</f>
        <v>1</v>
      </c>
      <c r="V2" s="3">
        <f t="array" ref="V2">XLOOKUP(R2,'Dados Funil'!$A:$A,'Dados Funil'!$K:$K,"")</f>
        <v>92.16522423</v>
      </c>
      <c r="W2" s="5">
        <f t="array" ref="W2">XLOOKUP(R2,'Dados Funil'!$A:$A,'Dados Funil'!$L:$L,"")</f>
        <v>0.495952514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Site")</f>
        <v>[SKL] Site</v>
      </c>
      <c r="Y2" s="12">
        <f>IFERROR(__xludf.DUMMYFUNCTION("""COMPUTED_VALUE"""),18211.500000000004)</f>
        <v>18211.5</v>
      </c>
      <c r="Z2" s="7">
        <f t="shared" ref="Z2:Z1000" si="6">IF(Y2="","",Y2/SUM($Y$2:$Y$1000))</f>
        <v>0.513991787</v>
      </c>
      <c r="AA2" s="7">
        <f>IF(Y2="","",Z2)</f>
        <v>0.513991787</v>
      </c>
      <c r="AB2" s="6">
        <f t="array" ref="AB2">XLOOKUP(X2,'Dados Funil'!A:A,'Dados Funil'!O:O,"")</f>
        <v>2.886178862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)"),"[SKL] CRM - Email")</f>
        <v>[SKL] CRM - Email</v>
      </c>
      <c r="AD2" s="12">
        <f>IFERROR(__xludf.DUMMYFUNCTION("""COMPUTED_VALUE"""),108568.79999999999)</f>
        <v>108568.8</v>
      </c>
      <c r="AE2" s="7">
        <f t="shared" ref="AE2:AE1000" si="7">IF(AD2="","",AD2/SUM($AD$2:$AD$1000))</f>
        <v>0.4781370666</v>
      </c>
      <c r="AF2" s="7">
        <f>IF(AD2="","",AE2)</f>
        <v>0.4781370666</v>
      </c>
      <c r="AG2" s="12">
        <f t="array" ref="AG2">XLOOKUP(AC2,'Dados Funil'!A:A,'Dados Funil'!AM:AM,"")</f>
        <v>6386.4</v>
      </c>
      <c r="AH2" s="5">
        <f t="array" ref="AH2">XLOOKUP(AC2,'Dados Funil'!A:A,'Dados Funil'!AN:AN,"")</f>
        <v>2.220893031</v>
      </c>
      <c r="AI2" s="9" t="str">
        <f>IFERROR(__xludf.DUMMYFUNCTION("QUERY('Dados Funil'!A2:AP100,""SELECT Col1, Col9, Col13, Col37 WHERE Col9 &gt; 0"")"),"[SKL] Outros")</f>
        <v>[SKL] Outros</v>
      </c>
      <c r="AJ2" s="11">
        <f>IFERROR(__xludf.DUMMYFUNCTION("""COMPUTED_VALUE"""),372.1940334411741)</f>
        <v>372.1940334</v>
      </c>
      <c r="AK2" s="10">
        <f>IFERROR(__xludf.DUMMYFUNCTION("""COMPUTED_VALUE"""),0.25)</f>
        <v>0.25</v>
      </c>
      <c r="AL2" s="9">
        <f>IFERROR(__xludf.DUMMYFUNCTION("""COMPUTED_VALUE"""),6899.999999999999)</f>
        <v>6900</v>
      </c>
      <c r="AM2" s="9">
        <f t="shared" ref="AM2:AM11" si="8">AJ2*AK2*AL2</f>
        <v>642034.7077</v>
      </c>
      <c r="AN2" s="9" t="str">
        <f>IFERROR(__xludf.DUMMYFUNCTION("QUERY('Dados Funil'!A2:AZ100,""SELECT Col1, Col10, Col14, Col38 WHERE Col9 &gt; 0"")"),"[SKL] Outros")</f>
        <v>[SKL] Outros</v>
      </c>
      <c r="AO2" s="11">
        <f>IFERROR(__xludf.DUMMYFUNCTION("""COMPUTED_VALUE"""),360.0)</f>
        <v>360</v>
      </c>
      <c r="AP2" s="10">
        <f>IFERROR(__xludf.DUMMYFUNCTION("""COMPUTED_VALUE"""),0.1388888888888889)</f>
        <v>0.1388888889</v>
      </c>
      <c r="AQ2" s="14">
        <f>IFERROR(__xludf.DUMMYFUNCTION("""COMPUTED_VALUE"""),4865.28)</f>
        <v>4865.28</v>
      </c>
      <c r="AR2" s="9">
        <f t="shared" ref="AR2:AR14" si="9">AO2*AP2*AQ2</f>
        <v>243264</v>
      </c>
    </row>
    <row r="3">
      <c r="A3" s="4" t="str">
        <f>IFERROR(__xludf.DUMMYFUNCTION("""COMPUTED_VALUE"""),"[IM] Form Facebook Ads")</f>
        <v>[IM] Form Facebook Ads</v>
      </c>
      <c r="B3" s="12">
        <f>IFERROR(__xludf.DUMMYFUNCTION("""COMPUTED_VALUE"""),-46027.890357053206)</f>
        <v>-46027.89036</v>
      </c>
      <c r="C3" s="7">
        <f t="shared" si="1"/>
        <v>0.2291100585</v>
      </c>
      <c r="D3" s="7">
        <f t="shared" ref="D3:D1000" si="10">IF(B3="","",C3+D2)</f>
        <v>0.847045335</v>
      </c>
      <c r="E3" s="3">
        <f t="array" ref="E3">XLOOKUP(A3,'Dados Funil'!$A:$A,'Dados Funil'!$K:$K,"")</f>
        <v>-28.34229702</v>
      </c>
      <c r="F3" s="5">
        <f t="array" ref="F3">XLOOKUP(A3,'Dados Funil'!$A:$A,'Dados Funil'!$L:$L,"")</f>
        <v>-0.08113044787</v>
      </c>
      <c r="G3" s="4" t="str">
        <f>IFERROR(__xludf.DUMMYFUNCTION("""COMPUTED_VALUE"""),"[IM] Form Facebook Ads")</f>
        <v>[IM] Form Facebook Ads</v>
      </c>
      <c r="H3" s="12">
        <f>IFERROR(__xludf.DUMMYFUNCTION("""COMPUTED_VALUE"""),-145754.0)</f>
        <v>-145754</v>
      </c>
      <c r="I3" s="7">
        <f t="shared" si="2"/>
        <v>0.2086379933</v>
      </c>
      <c r="J3" s="7">
        <f t="shared" ref="J3:J1000" si="11">IF(H3="","",I3+J2)</f>
        <v>0.6037152204</v>
      </c>
      <c r="K3" s="6">
        <f t="array" ref="K3">XLOOKUP(G3,'Dados Funil'!A:A,'Dados Funil'!O:O,"")</f>
        <v>-8.947040498</v>
      </c>
      <c r="L3" s="4" t="str">
        <f>IFERROR(__xludf.DUMMYFUNCTION("""COMPUTED_VALUE"""),"[SKL] Outros")</f>
        <v>[SKL] Outros</v>
      </c>
      <c r="M3" s="12">
        <f>IFERROR(__xludf.DUMMYFUNCTION("""COMPUTED_VALUE"""),-101735.99999999997)</f>
        <v>-101736</v>
      </c>
      <c r="N3" s="7">
        <f t="shared" si="3"/>
        <v>0.2528171665</v>
      </c>
      <c r="O3" s="7">
        <f t="shared" ref="O3:O1000" si="12">IF(N3="","",N3+O2)</f>
        <v>0.7004135883</v>
      </c>
      <c r="P3" s="12">
        <f t="array" ref="P3">XLOOKUP(L3,'Dados Funil'!A:A,'Dados Funil'!AM:AM,"")</f>
        <v>-2034.72</v>
      </c>
      <c r="Q3" s="5">
        <f t="array" ref="Q3">XLOOKUP(L3,'Dados Funil'!A:A,'Dados Funil'!AN:AN,"")</f>
        <v>-0.2948869565</v>
      </c>
      <c r="R3" s="4"/>
      <c r="S3" s="4"/>
      <c r="T3" s="7" t="str">
        <f t="shared" si="4"/>
        <v/>
      </c>
      <c r="U3" s="4" t="str">
        <f t="shared" si="5"/>
        <v/>
      </c>
      <c r="V3" s="4" t="str">
        <f t="array" ref="V3">XLOOKUP(R3,'Dados Funil'!$A:$A,'Dados Funil'!$K:$K,"")</f>
        <v/>
      </c>
      <c r="W3" s="4" t="str">
        <f t="array" ref="W3">XLOOKUP(R3,'Dados Funil'!$A:$A,'Dados Funil'!$L:$L,"")</f>
        <v/>
      </c>
      <c r="X3" s="4" t="str">
        <f>IFERROR(__xludf.DUMMYFUNCTION("""COMPUTED_VALUE"""),"[SKL] Chat")</f>
        <v>[SKL] Chat</v>
      </c>
      <c r="Y3" s="12">
        <f>IFERROR(__xludf.DUMMYFUNCTION("""COMPUTED_VALUE"""),17220.000000000007)</f>
        <v>17220</v>
      </c>
      <c r="Z3" s="7">
        <f t="shared" si="6"/>
        <v>0.486008213</v>
      </c>
      <c r="AA3" s="7">
        <f t="shared" ref="AA3:AA1000" si="13">IF(Y3="","",Z3+AA2)</f>
        <v>1</v>
      </c>
      <c r="AB3" s="6">
        <f t="array" ref="AB3">XLOOKUP(X3,'Dados Funil'!A:A,'Dados Funil'!O:O,"")</f>
        <v>29.28571429</v>
      </c>
      <c r="AC3" s="4" t="str">
        <f>IFERROR(__xludf.DUMMYFUNCTION("""COMPUTED_VALUE"""),"Form G4 Incompleto Outros")</f>
        <v>Form G4 Incompleto Outros</v>
      </c>
      <c r="AD3" s="12">
        <f>IFERROR(__xludf.DUMMYFUNCTION("""COMPUTED_VALUE"""),46400.00000000001)</f>
        <v>46400</v>
      </c>
      <c r="AE3" s="7">
        <f t="shared" si="7"/>
        <v>0.2043456305</v>
      </c>
      <c r="AF3" s="7">
        <f t="shared" ref="AF3:AF11" si="14">IF(AE3="","",AE3+AF2)</f>
        <v>0.6824826971</v>
      </c>
      <c r="AG3" s="12">
        <f t="array" ref="AG3">XLOOKUP(AC3,'Dados Funil'!A:A,'Dados Funil'!AM:AM,"")</f>
        <v>6628.571429</v>
      </c>
      <c r="AH3" s="5">
        <f t="array" ref="AH3">XLOOKUP(AC3,'Dados Funil'!A:A,'Dados Funil'!AN:AN,"")</f>
        <v>3.682539683</v>
      </c>
      <c r="AI3" s="9" t="str">
        <f>IFERROR(__xludf.DUMMYFUNCTION("""COMPUTED_VALUE"""),"[IM] Form Facebook Ads")</f>
        <v>[IM] Form Facebook Ads</v>
      </c>
      <c r="AJ3" s="11">
        <f>IFERROR(__xludf.DUMMYFUNCTION("""COMPUTED_VALUE"""),349.3422970178899)</f>
        <v>349.342297</v>
      </c>
      <c r="AK3" s="10">
        <f>IFERROR(__xludf.DUMMYFUNCTION("""COMPUTED_VALUE"""),0.32)</f>
        <v>0.32</v>
      </c>
      <c r="AL3" s="9">
        <f>IFERROR(__xludf.DUMMYFUNCTION("""COMPUTED_VALUE"""),5074.999999999999)</f>
        <v>5075</v>
      </c>
      <c r="AM3" s="9">
        <f t="shared" si="8"/>
        <v>567331.8904</v>
      </c>
      <c r="AN3" s="9" t="str">
        <f>IFERROR(__xludf.DUMMYFUNCTION("""COMPUTED_VALUE"""),"[IM] Form Facebook Ads")</f>
        <v>[IM] Form Facebook Ads</v>
      </c>
      <c r="AO3" s="11">
        <f>IFERROR(__xludf.DUMMYFUNCTION("""COMPUTED_VALUE"""),321.0)</f>
        <v>321</v>
      </c>
      <c r="AP3" s="10">
        <f>IFERROR(__xludf.DUMMYFUNCTION("""COMPUTED_VALUE"""),0.23052959501557632)</f>
        <v>0.230529595</v>
      </c>
      <c r="AQ3" s="14">
        <f>IFERROR(__xludf.DUMMYFUNCTION("""COMPUTED_VALUE"""),2640.9864864864867)</f>
        <v>2640.986486</v>
      </c>
      <c r="AR3" s="9">
        <f t="shared" si="9"/>
        <v>195433</v>
      </c>
    </row>
    <row r="4">
      <c r="A4" s="4" t="str">
        <f>IFERROR(__xludf.DUMMYFUNCTION("""COMPUTED_VALUE"""),"[SKL] Outros")</f>
        <v>[SKL] Outros</v>
      </c>
      <c r="B4" s="12">
        <f>IFERROR(__xludf.DUMMYFUNCTION("""COMPUTED_VALUE"""),-21034.70768602532)</f>
        <v>-21034.70769</v>
      </c>
      <c r="C4" s="7">
        <f t="shared" si="1"/>
        <v>0.1047031066</v>
      </c>
      <c r="D4" s="7">
        <f t="shared" si="10"/>
        <v>0.9517484416</v>
      </c>
      <c r="E4" s="3">
        <f t="array" ref="E4">XLOOKUP(A4,'Dados Funil'!$A:$A,'Dados Funil'!$K:$K,"")</f>
        <v>-12.19403344</v>
      </c>
      <c r="F4" s="5">
        <f t="array" ref="F4">XLOOKUP(A4,'Dados Funil'!$A:$A,'Dados Funil'!$L:$L,"")</f>
        <v>-0.03276257099</v>
      </c>
      <c r="G4" s="4" t="str">
        <f>IFERROR(__xludf.DUMMYFUNCTION("""COMPUTED_VALUE"""),"[SKL] CRM - WhatsApp")</f>
        <v>[SKL] CRM - WhatsApp</v>
      </c>
      <c r="H4" s="12">
        <f>IFERROR(__xludf.DUMMYFUNCTION("""COMPUTED_VALUE"""),-83087.76)</f>
        <v>-83087.76</v>
      </c>
      <c r="I4" s="7">
        <f t="shared" si="2"/>
        <v>0.1189350791</v>
      </c>
      <c r="J4" s="7">
        <f t="shared" si="11"/>
        <v>0.7226502995</v>
      </c>
      <c r="K4" s="6">
        <f t="array" ref="K4">XLOOKUP(G4,'Dados Funil'!A:A,'Dados Funil'!O:O,"")</f>
        <v>-10.34892086</v>
      </c>
      <c r="L4" s="4" t="str">
        <f>IFERROR(__xludf.DUMMYFUNCTION("""COMPUTED_VALUE"""),"[SKL] Social")</f>
        <v>[SKL] Social</v>
      </c>
      <c r="M4" s="12">
        <f>IFERROR(__xludf.DUMMYFUNCTION("""COMPUTED_VALUE"""),-54355.0)</f>
        <v>-54355</v>
      </c>
      <c r="N4" s="7">
        <f t="shared" si="3"/>
        <v>0.1350738881</v>
      </c>
      <c r="O4" s="7">
        <f t="shared" si="12"/>
        <v>0.8354874765</v>
      </c>
      <c r="P4" s="12">
        <f t="array" ref="P4">XLOOKUP(L4,'Dados Funil'!A:A,'Dados Funil'!AM:AM,"")</f>
        <v>-1874.310345</v>
      </c>
      <c r="Q4" s="5">
        <f t="array" ref="Q4">XLOOKUP(L4,'Dados Funil'!A:A,'Dados Funil'!AN:AN,"")</f>
        <v>-0.5578304598</v>
      </c>
      <c r="R4" s="4"/>
      <c r="S4" s="4"/>
      <c r="T4" s="7" t="str">
        <f t="shared" si="4"/>
        <v/>
      </c>
      <c r="U4" s="4" t="str">
        <f t="shared" si="5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/>
      <c r="Y4" s="4"/>
      <c r="Z4" s="7" t="str">
        <f t="shared" si="6"/>
        <v/>
      </c>
      <c r="AA4" s="4" t="str">
        <f t="shared" si="13"/>
        <v/>
      </c>
      <c r="AB4" s="4" t="str">
        <f t="array" ref="AB4">XLOOKUP(X4,'Dados Funil'!A:A,'Dados Funil'!O:O,"")</f>
        <v/>
      </c>
      <c r="AC4" s="4" t="str">
        <f>IFERROR(__xludf.DUMMYFUNCTION("""COMPUTED_VALUE"""),"Form G4 Incompleto Instagram")</f>
        <v>Form G4 Incompleto Instagram</v>
      </c>
      <c r="AD4" s="12">
        <f>IFERROR(__xludf.DUMMYFUNCTION("""COMPUTED_VALUE"""),28555.000000000007)</f>
        <v>28555</v>
      </c>
      <c r="AE4" s="7">
        <f t="shared" si="7"/>
        <v>0.1257562388</v>
      </c>
      <c r="AF4" s="7">
        <f t="shared" si="14"/>
        <v>0.8082389359</v>
      </c>
      <c r="AG4" s="12">
        <f t="array" ref="AG4">XLOOKUP(AC4,'Dados Funil'!A:A,'Dados Funil'!AM:AM,"")</f>
        <v>2039.642857</v>
      </c>
      <c r="AH4" s="5">
        <f t="array" ref="AH4">XLOOKUP(AC4,'Dados Funil'!A:A,'Dados Funil'!AN:AN,"")</f>
        <v>0.99982493</v>
      </c>
      <c r="AI4" s="9" t="str">
        <f>IFERROR(__xludf.DUMMYFUNCTION("""COMPUTED_VALUE"""),"[SKL] Site")</f>
        <v>[SKL] Site</v>
      </c>
      <c r="AJ4" s="11">
        <f>IFERROR(__xludf.DUMMYFUNCTION("""COMPUTED_VALUE"""),284.3285677610401)</f>
        <v>284.3285678</v>
      </c>
      <c r="AK4" s="10">
        <f>IFERROR(__xludf.DUMMYFUNCTION("""COMPUTED_VALUE"""),0.15)</f>
        <v>0.15</v>
      </c>
      <c r="AL4" s="9">
        <f>IFERROR(__xludf.DUMMYFUNCTION("""COMPUTED_VALUE"""),5130.0)</f>
        <v>5130</v>
      </c>
      <c r="AM4" s="9">
        <f t="shared" si="8"/>
        <v>218790.8329</v>
      </c>
      <c r="AN4" s="9" t="str">
        <f>IFERROR(__xludf.DUMMYFUNCTION("""COMPUTED_VALUE"""),"[SKL] Site")</f>
        <v>[SKL] Site</v>
      </c>
      <c r="AO4" s="11">
        <f>IFERROR(__xludf.DUMMYFUNCTION("""COMPUTED_VALUE"""),123.0)</f>
        <v>123</v>
      </c>
      <c r="AP4" s="10">
        <f>IFERROR(__xludf.DUMMYFUNCTION("""COMPUTED_VALUE"""),0.17886178861788618)</f>
        <v>0.1788617886</v>
      </c>
      <c r="AQ4" s="14">
        <f>IFERROR(__xludf.DUMMYFUNCTION("""COMPUTED_VALUE"""),5286.2409113103695)</f>
        <v>5286.240911</v>
      </c>
      <c r="AR4" s="9">
        <f t="shared" si="9"/>
        <v>116297.3</v>
      </c>
    </row>
    <row r="5">
      <c r="A5" s="4" t="str">
        <f>IFERROR(__xludf.DUMMYFUNCTION("""COMPUTED_VALUE"""),"[SKL] CRM - Email")</f>
        <v>[SKL] CRM - Email</v>
      </c>
      <c r="B5" s="12">
        <f>IFERROR(__xludf.DUMMYFUNCTION("""COMPUTED_VALUE"""),-9693.670604416877)</f>
        <v>-9693.670604</v>
      </c>
      <c r="C5" s="7">
        <f t="shared" si="1"/>
        <v>0.0482515584</v>
      </c>
      <c r="D5" s="7">
        <f t="shared" si="10"/>
        <v>1</v>
      </c>
      <c r="E5" s="3">
        <f t="array" ref="E5">XLOOKUP(A5,'Dados Funil'!$A:$A,'Dados Funil'!$K:$K,"")</f>
        <v>-15.32276364</v>
      </c>
      <c r="F5" s="5">
        <f t="array" ref="F5">XLOOKUP(A5,'Dados Funil'!$A:$A,'Dados Funil'!$L:$L,"")</f>
        <v>-0.09157608506</v>
      </c>
      <c r="G5" s="4" t="str">
        <f>IFERROR(__xludf.DUMMYFUNCTION("""COMPUTED_VALUE"""),"[SKL] Midia Paga - Quente")</f>
        <v>[SKL] Midia Paga - Quente</v>
      </c>
      <c r="H5" s="12">
        <f>IFERROR(__xludf.DUMMYFUNCTION("""COMPUTED_VALUE"""),-56303.924545440015)</f>
        <v>-56303.92455</v>
      </c>
      <c r="I5" s="7">
        <f t="shared" si="2"/>
        <v>0.08059564632</v>
      </c>
      <c r="J5" s="7">
        <f t="shared" si="11"/>
        <v>0.8032459459</v>
      </c>
      <c r="K5" s="6">
        <f t="array" ref="K5">XLOOKUP(G5,'Dados Funil'!A:A,'Dados Funil'!O:O,"")</f>
        <v>-6.026243194</v>
      </c>
      <c r="L5" s="4" t="str">
        <f>IFERROR(__xludf.DUMMYFUNCTION("""COMPUTED_VALUE"""),"[SKL] Midia Paga - Quente")</f>
        <v>[SKL] Midia Paga - Quente</v>
      </c>
      <c r="M5" s="12">
        <f>IFERROR(__xludf.DUMMYFUNCTION("""COMPUTED_VALUE"""),-31728.983200000006)</f>
        <v>-31728.9832</v>
      </c>
      <c r="N5" s="7">
        <f t="shared" si="3"/>
        <v>0.07884752327</v>
      </c>
      <c r="O5" s="7">
        <f t="shared" si="12"/>
        <v>0.9143349998</v>
      </c>
      <c r="P5" s="12">
        <f t="array" ref="P5">XLOOKUP(L5,'Dados Funil'!A:A,'Dados Funil'!AM:AM,"")</f>
        <v>-503.634654</v>
      </c>
      <c r="Q5" s="5">
        <f t="array" ref="Q5">XLOOKUP(L5,'Dados Funil'!A:A,'Dados Funil'!AN:AN,"")</f>
        <v>-0.2970128169</v>
      </c>
      <c r="R5" s="4"/>
      <c r="S5" s="4"/>
      <c r="T5" s="7" t="str">
        <f t="shared" si="4"/>
        <v/>
      </c>
      <c r="U5" s="4" t="str">
        <f t="shared" si="5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/>
      <c r="Y5" s="4"/>
      <c r="Z5" s="7" t="str">
        <f t="shared" si="6"/>
        <v/>
      </c>
      <c r="AA5" s="4" t="str">
        <f t="shared" si="13"/>
        <v/>
      </c>
      <c r="AB5" s="4" t="str">
        <f t="array" ref="AB5">XLOOKUP(X5,'Dados Funil'!A:A,'Dados Funil'!O:O,"")</f>
        <v/>
      </c>
      <c r="AC5" s="4" t="str">
        <f>IFERROR(__xludf.DUMMYFUNCTION("""COMPUTED_VALUE"""),"[SKL] Chat")</f>
        <v>[SKL] Chat</v>
      </c>
      <c r="AD5" s="12">
        <f>IFERROR(__xludf.DUMMYFUNCTION("""COMPUTED_VALUE"""),22100.0)</f>
        <v>22100</v>
      </c>
      <c r="AE5" s="7">
        <f t="shared" si="7"/>
        <v>0.09732841454</v>
      </c>
      <c r="AF5" s="7">
        <f t="shared" si="14"/>
        <v>0.9055673505</v>
      </c>
      <c r="AG5" s="12">
        <f t="array" ref="AG5">XLOOKUP(AC5,'Dados Funil'!A:A,'Dados Funil'!AM:AM,"")</f>
        <v>2455.555556</v>
      </c>
      <c r="AH5" s="5">
        <f t="array" ref="AH5">XLOOKUP(AC5,'Dados Funil'!A:A,'Dados Funil'!AN:AN,"")</f>
        <v>0.5846560847</v>
      </c>
      <c r="AI5" s="9" t="str">
        <f>IFERROR(__xludf.DUMMYFUNCTION("""COMPUTED_VALUE"""),"[SKL] CRM - WhatsApp")</f>
        <v>[SKL] CRM - WhatsApp</v>
      </c>
      <c r="AJ5" s="11">
        <f>IFERROR(__xludf.DUMMYFUNCTION("""COMPUTED_VALUE"""),185.8347757671124)</f>
        <v>185.8347758</v>
      </c>
      <c r="AK5" s="10">
        <f>IFERROR(__xludf.DUMMYFUNCTION("""COMPUTED_VALUE"""),0.215)</f>
        <v>0.215</v>
      </c>
      <c r="AL5" s="9">
        <f>IFERROR(__xludf.DUMMYFUNCTION("""COMPUTED_VALUE"""),2888.0)</f>
        <v>2888</v>
      </c>
      <c r="AM5" s="9">
        <f t="shared" si="8"/>
        <v>115388.529</v>
      </c>
      <c r="AN5" s="9" t="str">
        <f>IFERROR(__xludf.DUMMYFUNCTION("""COMPUTED_VALUE"""),"[SKL] CRM - WhatsApp")</f>
        <v>[SKL] CRM - WhatsApp</v>
      </c>
      <c r="AO5" s="11">
        <f>IFERROR(__xludf.DUMMYFUNCTION("""COMPUTED_VALUE"""),278.0)</f>
        <v>278</v>
      </c>
      <c r="AP5" s="10">
        <f>IFERROR(__xludf.DUMMYFUNCTION("""COMPUTED_VALUE"""),0.11151079136690648)</f>
        <v>0.1115107914</v>
      </c>
      <c r="AQ5" s="14">
        <f>IFERROR(__xludf.DUMMYFUNCTION("""COMPUTED_VALUE"""),2035.9870999243951)</f>
        <v>2035.9871</v>
      </c>
      <c r="AR5" s="9">
        <f t="shared" si="9"/>
        <v>63115.6001</v>
      </c>
    </row>
    <row r="6">
      <c r="A6" s="4"/>
      <c r="B6" s="4"/>
      <c r="C6" s="7" t="str">
        <f t="shared" si="1"/>
        <v/>
      </c>
      <c r="D6" s="4" t="str">
        <f t="shared" si="10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 t="str">
        <f>IFERROR(__xludf.DUMMYFUNCTION("""COMPUTED_VALUE"""),"[SKL] CRM - Email")</f>
        <v>[SKL] CRM - Email</v>
      </c>
      <c r="H6" s="12">
        <f>IFERROR(__xludf.DUMMYFUNCTION("""COMPUTED_VALUE"""),-47274.864)</f>
        <v>-47274.864</v>
      </c>
      <c r="I6" s="7">
        <f t="shared" si="2"/>
        <v>0.06767109486</v>
      </c>
      <c r="J6" s="7">
        <f t="shared" si="11"/>
        <v>0.8709170407</v>
      </c>
      <c r="K6" s="6">
        <f t="array" ref="K6">XLOOKUP(G6,'Dados Funil'!A:A,'Dados Funil'!O:O,"")</f>
        <v>-10.81578947</v>
      </c>
      <c r="L6" s="4" t="str">
        <f>IFERROR(__xludf.DUMMYFUNCTION("""COMPUTED_VALUE"""),"[SKL] CRM - WhatsApp")</f>
        <v>[SKL] CRM - WhatsApp</v>
      </c>
      <c r="M6" s="12">
        <f>IFERROR(__xludf.DUMMYFUNCTION("""COMPUTED_VALUE"""),-26412.39990234375)</f>
        <v>-26412.3999</v>
      </c>
      <c r="N6" s="7">
        <f t="shared" si="3"/>
        <v>0.06563564621</v>
      </c>
      <c r="O6" s="7">
        <f t="shared" si="12"/>
        <v>0.979970646</v>
      </c>
      <c r="P6" s="12">
        <f t="array" ref="P6">XLOOKUP(L6,'Dados Funil'!A:A,'Dados Funil'!AM:AM,"")</f>
        <v>-852.0129001</v>
      </c>
      <c r="Q6" s="5">
        <f t="array" ref="Q6">XLOOKUP(L6,'Dados Funil'!A:A,'Dados Funil'!AN:AN,"")</f>
        <v>-0.2950183172</v>
      </c>
      <c r="R6" s="4"/>
      <c r="S6" s="4"/>
      <c r="T6" s="7" t="str">
        <f t="shared" si="4"/>
        <v/>
      </c>
      <c r="U6" s="4" t="str">
        <f t="shared" si="5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6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 t="str">
        <f>IFERROR(__xludf.DUMMYFUNCTION("""COMPUTED_VALUE"""),"Form G4 - K Instagram")</f>
        <v>Form G4 - K Instagram</v>
      </c>
      <c r="AD6" s="12">
        <f>IFERROR(__xludf.DUMMYFUNCTION("""COMPUTED_VALUE"""),10523.0)</f>
        <v>10523</v>
      </c>
      <c r="AE6" s="7">
        <f t="shared" si="7"/>
        <v>0.04634329892</v>
      </c>
      <c r="AF6" s="7">
        <f t="shared" si="14"/>
        <v>0.9519106494</v>
      </c>
      <c r="AG6" s="12">
        <f t="array" ref="AG6">XLOOKUP(AC6,'Dados Funil'!A:A,'Dados Funil'!AM:AM,"")</f>
        <v>1753.833333</v>
      </c>
      <c r="AH6" s="5">
        <f t="array" ref="AH6">XLOOKUP(AC6,'Dados Funil'!A:A,'Dados Funil'!AN:AN,"")</f>
        <v>1.121376812</v>
      </c>
      <c r="AI6" s="9" t="str">
        <f>IFERROR(__xludf.DUMMYFUNCTION("""COMPUTED_VALUE"""),"[SKL] CRM - Email")</f>
        <v>[SKL] CRM - Email</v>
      </c>
      <c r="AJ6" s="11">
        <f>IFERROR(__xludf.DUMMYFUNCTION("""COMPUTED_VALUE"""),167.32276363575804)</f>
        <v>167.3227636</v>
      </c>
      <c r="AK6" s="10">
        <f>IFERROR(__xludf.DUMMYFUNCTION("""COMPUTED_VALUE"""),0.22)</f>
        <v>0.22</v>
      </c>
      <c r="AL6" s="9">
        <f>IFERROR(__xludf.DUMMYFUNCTION("""COMPUTED_VALUE"""),2875.6)</f>
        <v>2875.6</v>
      </c>
      <c r="AM6" s="9">
        <f t="shared" si="8"/>
        <v>105853.7346</v>
      </c>
      <c r="AN6" s="9" t="str">
        <f>IFERROR(__xludf.DUMMYFUNCTION("""COMPUTED_VALUE"""),"[SKL] CRM - Email")</f>
        <v>[SKL] CRM - Email</v>
      </c>
      <c r="AO6" s="11">
        <f>IFERROR(__xludf.DUMMYFUNCTION("""COMPUTED_VALUE"""),152.0)</f>
        <v>152</v>
      </c>
      <c r="AP6" s="10">
        <f>IFERROR(__xludf.DUMMYFUNCTION("""COMPUTED_VALUE"""),0.1118421052631579)</f>
        <v>0.1118421053</v>
      </c>
      <c r="AQ6" s="14">
        <f>IFERROR(__xludf.DUMMYFUNCTION("""COMPUTED_VALUE"""),9262.0)</f>
        <v>9262</v>
      </c>
      <c r="AR6" s="9">
        <f t="shared" si="9"/>
        <v>157454</v>
      </c>
    </row>
    <row r="7">
      <c r="A7" s="4"/>
      <c r="B7" s="4"/>
      <c r="C7" s="7" t="str">
        <f t="shared" si="1"/>
        <v/>
      </c>
      <c r="D7" s="4" t="str">
        <f t="shared" si="10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 t="str">
        <f>IFERROR(__xludf.DUMMYFUNCTION("""COMPUTED_VALUE"""),"Form G4 - K Instagram")</f>
        <v>Form G4 - K Instagram</v>
      </c>
      <c r="H7" s="12">
        <f>IFERROR(__xludf.DUMMYFUNCTION("""COMPUTED_VALUE"""),-29043.479999999996)</f>
        <v>-29043.48</v>
      </c>
      <c r="I7" s="7">
        <f t="shared" si="2"/>
        <v>0.04157397661</v>
      </c>
      <c r="J7" s="7">
        <f t="shared" si="11"/>
        <v>0.9124910173</v>
      </c>
      <c r="K7" s="6">
        <f t="array" ref="K7">XLOOKUP(G7,'Dados Funil'!A:A,'Dados Funil'!O:O,"")</f>
        <v>-15.87179487</v>
      </c>
      <c r="L7" s="4" t="str">
        <f>IFERROR(__xludf.DUMMYFUNCTION("""COMPUTED_VALUE"""),"Form G4 - K Outros")</f>
        <v>Form G4 - K Outros</v>
      </c>
      <c r="M7" s="12">
        <f>IFERROR(__xludf.DUMMYFUNCTION("""COMPUTED_VALUE"""),-8059.999999999998)</f>
        <v>-8060</v>
      </c>
      <c r="N7" s="7">
        <f t="shared" si="3"/>
        <v>0.02002935403</v>
      </c>
      <c r="O7" s="7">
        <f t="shared" si="12"/>
        <v>1</v>
      </c>
      <c r="P7" s="12">
        <f t="array" ref="P7">XLOOKUP(L7,'Dados Funil'!A:A,'Dados Funil'!AM:AM,"")</f>
        <v>-2015</v>
      </c>
      <c r="Q7" s="5">
        <f t="array" ref="Q7">XLOOKUP(L7,'Dados Funil'!A:A,'Dados Funil'!AN:AN,"")</f>
        <v>-1</v>
      </c>
      <c r="R7" s="4"/>
      <c r="S7" s="4"/>
      <c r="T7" s="7" t="str">
        <f t="shared" si="4"/>
        <v/>
      </c>
      <c r="U7" s="4" t="str">
        <f t="shared" si="5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6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 t="str">
        <f>IFERROR(__xludf.DUMMYFUNCTION("""COMPUTED_VALUE"""),"[SKL] Midia Paga - Frio")</f>
        <v>[SKL] Midia Paga - Frio</v>
      </c>
      <c r="AD7" s="12">
        <f>IFERROR(__xludf.DUMMYFUNCTION("""COMPUTED_VALUE"""),7482.169395312501)</f>
        <v>7482.169395</v>
      </c>
      <c r="AE7" s="7">
        <f t="shared" si="7"/>
        <v>0.03295147894</v>
      </c>
      <c r="AF7" s="7">
        <f t="shared" si="14"/>
        <v>0.9848621283</v>
      </c>
      <c r="AG7" s="12">
        <f t="array" ref="AG7">XLOOKUP(AC7,'Dados Funil'!A:A,'Dados Funil'!AM:AM,"")</f>
        <v>196.8991946</v>
      </c>
      <c r="AH7" s="5">
        <f t="array" ref="AH7">XLOOKUP(AC7,'Dados Funil'!A:A,'Dados Funil'!AN:AN,"")</f>
        <v>0.1951058596</v>
      </c>
      <c r="AI7" s="9" t="str">
        <f>IFERROR(__xludf.DUMMYFUNCTION("""COMPUTED_VALUE"""),"[SKL] Social")</f>
        <v>[SKL] Social</v>
      </c>
      <c r="AJ7" s="11">
        <f>IFERROR(__xludf.DUMMYFUNCTION("""COMPUTED_VALUE"""),171.7330645161289)</f>
        <v>171.7330645</v>
      </c>
      <c r="AK7" s="10">
        <f>IFERROR(__xludf.DUMMYFUNCTION("""COMPUTED_VALUE"""),0.18)</f>
        <v>0.18</v>
      </c>
      <c r="AL7" s="9">
        <f>IFERROR(__xludf.DUMMYFUNCTION("""COMPUTED_VALUE"""),3360.0)</f>
        <v>3360</v>
      </c>
      <c r="AM7" s="9">
        <f t="shared" si="8"/>
        <v>103864.1574</v>
      </c>
      <c r="AN7" s="9" t="str">
        <f>IFERROR(__xludf.DUMMYFUNCTION("""COMPUTED_VALUE"""),"[SKL] Social")</f>
        <v>[SKL] Social</v>
      </c>
      <c r="AO7" s="11">
        <f>IFERROR(__xludf.DUMMYFUNCTION("""COMPUTED_VALUE"""),179.0)</f>
        <v>179</v>
      </c>
      <c r="AP7" s="10">
        <f>IFERROR(__xludf.DUMMYFUNCTION("""COMPUTED_VALUE"""),0.16201117318435754)</f>
        <v>0.1620111732</v>
      </c>
      <c r="AQ7" s="14">
        <f>IFERROR(__xludf.DUMMYFUNCTION("""COMPUTED_VALUE"""),1485.6896551724137)</f>
        <v>1485.689655</v>
      </c>
      <c r="AR7" s="9">
        <f t="shared" si="9"/>
        <v>43085</v>
      </c>
    </row>
    <row r="8">
      <c r="A8" s="4"/>
      <c r="B8" s="4"/>
      <c r="C8" s="7" t="str">
        <f t="shared" si="1"/>
        <v/>
      </c>
      <c r="D8" s="4" t="str">
        <f t="shared" si="10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 t="str">
        <f>IFERROR(__xludf.DUMMYFUNCTION("""COMPUTED_VALUE"""),"[SKL] Midia Paga - Frio")</f>
        <v>[SKL] Midia Paga - Frio</v>
      </c>
      <c r="H8" s="12">
        <f>IFERROR(__xludf.DUMMYFUNCTION("""COMPUTED_VALUE"""),-20966.9646816)</f>
        <v>-20966.96468</v>
      </c>
      <c r="I8" s="7">
        <f t="shared" si="2"/>
        <v>0.03001293575</v>
      </c>
      <c r="J8" s="7">
        <f t="shared" si="11"/>
        <v>0.9425039531</v>
      </c>
      <c r="K8" s="6">
        <f t="array" ref="K8">XLOOKUP(G8,'Dados Funil'!A:A,'Dados Funil'!O:O,"")</f>
        <v>-6.701935484</v>
      </c>
      <c r="L8" s="4"/>
      <c r="M8" s="4"/>
      <c r="N8" s="7" t="str">
        <f t="shared" si="3"/>
        <v/>
      </c>
      <c r="O8" s="4" t="str">
        <f t="shared" si="12"/>
        <v/>
      </c>
      <c r="P8" s="4" t="str">
        <f t="array" ref="P8">XLOOKUP(L8,'Dados Funil'!A:A,'Dados Funil'!AM:AM,"")</f>
        <v/>
      </c>
      <c r="Q8" s="4" t="str">
        <f t="array" ref="Q8">XLOOKUP(L8,'Dados Funil'!A:A,'Dados Funil'!AN:AN,"")</f>
        <v/>
      </c>
      <c r="R8" s="4"/>
      <c r="S8" s="4"/>
      <c r="T8" s="7" t="str">
        <f t="shared" si="4"/>
        <v/>
      </c>
      <c r="U8" s="4" t="str">
        <f t="shared" si="5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6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 t="str">
        <f>IFERROR(__xludf.DUMMYFUNCTION("""COMPUTED_VALUE"""),"[SKL] Site")</f>
        <v>[SKL] Site</v>
      </c>
      <c r="AD8" s="12">
        <f>IFERROR(__xludf.DUMMYFUNCTION("""COMPUTED_VALUE"""),3437.3000488281286)</f>
        <v>3437.300049</v>
      </c>
      <c r="AE8" s="7">
        <f t="shared" si="7"/>
        <v>0.01513787168</v>
      </c>
      <c r="AF8" s="7">
        <f t="shared" si="14"/>
        <v>1</v>
      </c>
      <c r="AG8" s="12">
        <f t="array" ref="AG8">XLOOKUP(AC8,'Dados Funil'!A:A,'Dados Funil'!AM:AM,"")</f>
        <v>156.2409113</v>
      </c>
      <c r="AH8" s="5">
        <f t="array" ref="AH8">XLOOKUP(AC8,'Dados Funil'!A:A,'Dados Funil'!AN:AN,"")</f>
        <v>0.03045631799</v>
      </c>
      <c r="AI8" s="9" t="str">
        <f>IFERROR(__xludf.DUMMYFUNCTION("""COMPUTED_VALUE"""),"[SKL] Midia Paga - Quente")</f>
        <v>[SKL] Midia Paga - Quente</v>
      </c>
      <c r="AJ8" s="11">
        <f>IFERROR(__xludf.DUMMYFUNCTION("""COMPUTED_VALUE"""),324.4049999999998)</f>
        <v>324.405</v>
      </c>
      <c r="AK8" s="10">
        <f>IFERROR(__xludf.DUMMYFUNCTION("""COMPUTED_VALUE"""),0.1746)</f>
        <v>0.1746</v>
      </c>
      <c r="AL8" s="9">
        <f>IFERROR(__xludf.DUMMYFUNCTION("""COMPUTED_VALUE"""),1695.6664)</f>
        <v>1695.6664</v>
      </c>
      <c r="AM8" s="9">
        <f t="shared" si="8"/>
        <v>96044.43217</v>
      </c>
      <c r="AN8" s="9" t="str">
        <f>IFERROR(__xludf.DUMMYFUNCTION("""COMPUTED_VALUE"""),"[SKL] Midia Paga - Quente")</f>
        <v>[SKL] Midia Paga - Quente</v>
      </c>
      <c r="AO8" s="11">
        <f>IFERROR(__xludf.DUMMYFUNCTION("""COMPUTED_VALUE"""),551.0)</f>
        <v>551</v>
      </c>
      <c r="AP8" s="10">
        <f>IFERROR(__xludf.DUMMYFUNCTION("""COMPUTED_VALUE"""),0.11433756805807622)</f>
        <v>0.1143375681</v>
      </c>
      <c r="AQ8" s="14">
        <f>IFERROR(__xludf.DUMMYFUNCTION("""COMPUTED_VALUE"""),1192.031746031746)</f>
        <v>1192.031746</v>
      </c>
      <c r="AR8" s="9">
        <f t="shared" si="9"/>
        <v>75098</v>
      </c>
    </row>
    <row r="9">
      <c r="A9" s="4"/>
      <c r="B9" s="4"/>
      <c r="C9" s="7" t="str">
        <f t="shared" si="1"/>
        <v/>
      </c>
      <c r="D9" s="4" t="str">
        <f t="shared" si="10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 t="str">
        <f>IFERROR(__xludf.DUMMYFUNCTION("""COMPUTED_VALUE"""),"Form G4 Incompleto Instagram")</f>
        <v>Form G4 Incompleto Instagram</v>
      </c>
      <c r="H9" s="12">
        <f>IFERROR(__xludf.DUMMYFUNCTION("""COMPUTED_VALUE"""),-12137.999999999996)</f>
        <v>-12138</v>
      </c>
      <c r="I9" s="7">
        <f t="shared" si="2"/>
        <v>0.01737480936</v>
      </c>
      <c r="J9" s="7">
        <f t="shared" si="11"/>
        <v>0.9598787624</v>
      </c>
      <c r="K9" s="6">
        <f t="array" ref="K9">XLOOKUP(G9,'Dados Funil'!A:A,'Dados Funil'!O:O,"")</f>
        <v>-5.219298246</v>
      </c>
      <c r="L9" s="4"/>
      <c r="M9" s="4"/>
      <c r="N9" s="7" t="str">
        <f t="shared" si="3"/>
        <v/>
      </c>
      <c r="O9" s="4" t="str">
        <f t="shared" si="12"/>
        <v/>
      </c>
      <c r="P9" s="4" t="str">
        <f t="array" ref="P9">XLOOKUP(L9,'Dados Funil'!A:A,'Dados Funil'!AM:AM,"")</f>
        <v/>
      </c>
      <c r="Q9" s="4" t="str">
        <f t="array" ref="Q9">XLOOKUP(L9,'Dados Funil'!A:A,'Dados Funil'!AN:AN,"")</f>
        <v/>
      </c>
      <c r="R9" s="4"/>
      <c r="S9" s="4"/>
      <c r="T9" s="7" t="str">
        <f t="shared" si="4"/>
        <v/>
      </c>
      <c r="U9" s="4" t="str">
        <f t="shared" si="5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6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7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Midia Paga - Frio")</f>
        <v>[SKL] Midia Paga - Frio</v>
      </c>
      <c r="AJ9" s="11">
        <f>IFERROR(__xludf.DUMMYFUNCTION("""COMPUTED_VALUE"""),348.49596774193526)</f>
        <v>348.4959677</v>
      </c>
      <c r="AK9" s="10">
        <f>IFERROR(__xludf.DUMMYFUNCTION("""COMPUTED_VALUE"""),0.1896)</f>
        <v>0.1896</v>
      </c>
      <c r="AL9" s="9">
        <f>IFERROR(__xludf.DUMMYFUNCTION("""COMPUTED_VALUE"""),1009.1916)</f>
        <v>1009.1916</v>
      </c>
      <c r="AM9" s="9">
        <f t="shared" si="8"/>
        <v>66682.16894</v>
      </c>
      <c r="AN9" s="9" t="str">
        <f>IFERROR(__xludf.DUMMYFUNCTION("""COMPUTED_VALUE"""),"[SKL] Midia Paga - Frio")</f>
        <v>[SKL] Midia Paga - Frio</v>
      </c>
      <c r="AO9" s="11">
        <f>IFERROR(__xludf.DUMMYFUNCTION("""COMPUTED_VALUE"""),310.0)</f>
        <v>310</v>
      </c>
      <c r="AP9" s="10">
        <f>IFERROR(__xludf.DUMMYFUNCTION("""COMPUTED_VALUE"""),0.12258064516129032)</f>
        <v>0.1225806452</v>
      </c>
      <c r="AQ9" s="14">
        <f>IFERROR(__xludf.DUMMYFUNCTION("""COMPUTED_VALUE"""),1206.0907946134869)</f>
        <v>1206.090795</v>
      </c>
      <c r="AR9" s="9">
        <f t="shared" si="9"/>
        <v>45831.4502</v>
      </c>
    </row>
    <row r="10">
      <c r="A10" s="4"/>
      <c r="B10" s="4"/>
      <c r="C10" s="7" t="str">
        <f t="shared" si="1"/>
        <v/>
      </c>
      <c r="D10" s="4" t="str">
        <f t="shared" si="10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 t="str">
        <f>IFERROR(__xludf.DUMMYFUNCTION("""COMPUTED_VALUE"""),"[SKL] Social")</f>
        <v>[SKL] Social</v>
      </c>
      <c r="H10" s="12">
        <f>IFERROR(__xludf.DUMMYFUNCTION("""COMPUTED_VALUE"""),-10819.199999999999)</f>
        <v>-10819.2</v>
      </c>
      <c r="I10" s="7">
        <f t="shared" si="2"/>
        <v>0.0154870273</v>
      </c>
      <c r="J10" s="7">
        <f t="shared" si="11"/>
        <v>0.9753657897</v>
      </c>
      <c r="K10" s="6">
        <f t="array" ref="K10">XLOOKUP(G10,'Dados Funil'!A:A,'Dados Funil'!O:O,"")</f>
        <v>-1.798882682</v>
      </c>
      <c r="L10" s="4"/>
      <c r="M10" s="4"/>
      <c r="N10" s="7" t="str">
        <f t="shared" si="3"/>
        <v/>
      </c>
      <c r="O10" s="4" t="str">
        <f t="shared" si="12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5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6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7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Incompleto Outros")</f>
        <v>Form G4 Incompleto Outros</v>
      </c>
      <c r="AJ10" s="11">
        <f>IFERROR(__xludf.DUMMYFUNCTION("""COMPUTED_VALUE"""),209.27217774346752)</f>
        <v>209.2721777</v>
      </c>
      <c r="AK10" s="10">
        <f>IFERROR(__xludf.DUMMYFUNCTION("""COMPUTED_VALUE"""),0.16)</f>
        <v>0.16</v>
      </c>
      <c r="AL10" s="9">
        <f>IFERROR(__xludf.DUMMYFUNCTION("""COMPUTED_VALUE"""),1799.9999999999998)</f>
        <v>1800</v>
      </c>
      <c r="AM10" s="9">
        <f t="shared" si="8"/>
        <v>60270.38719</v>
      </c>
      <c r="AN10" s="9" t="str">
        <f>IFERROR(__xludf.DUMMYFUNCTION("""COMPUTED_VALUE"""),"Form G4 Incompleto Outros")</f>
        <v>Form G4 Incompleto Outros</v>
      </c>
      <c r="AO10" s="11">
        <f>IFERROR(__xludf.DUMMYFUNCTION("""COMPUTED_VALUE"""),73.0)</f>
        <v>73</v>
      </c>
      <c r="AP10" s="10">
        <f>IFERROR(__xludf.DUMMYFUNCTION("""COMPUTED_VALUE"""),0.0958904109589041)</f>
        <v>0.09589041096</v>
      </c>
      <c r="AQ10" s="14">
        <f>IFERROR(__xludf.DUMMYFUNCTION("""COMPUTED_VALUE"""),8428.57142857143)</f>
        <v>8428.571429</v>
      </c>
      <c r="AR10" s="9">
        <f t="shared" si="9"/>
        <v>59000</v>
      </c>
    </row>
    <row r="11">
      <c r="A11" s="4"/>
      <c r="B11" s="4"/>
      <c r="C11" s="7" t="str">
        <f t="shared" si="1"/>
        <v/>
      </c>
      <c r="D11" s="4" t="str">
        <f t="shared" si="10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 t="str">
        <f>IFERROR(__xludf.DUMMYFUNCTION("""COMPUTED_VALUE"""),"Form G4 - K Outros")</f>
        <v>Form G4 - K Outros</v>
      </c>
      <c r="H11" s="12">
        <f>IFERROR(__xludf.DUMMYFUNCTION("""COMPUTED_VALUE"""),-8785.399999999998)</f>
        <v>-8785.4</v>
      </c>
      <c r="I11" s="7">
        <f t="shared" si="2"/>
        <v>0.0125757662</v>
      </c>
      <c r="J11" s="7">
        <f t="shared" si="11"/>
        <v>0.9879415559</v>
      </c>
      <c r="K11" s="6">
        <f t="array" ref="K11">XLOOKUP(G11,'Dados Funil'!A:A,'Dados Funil'!O:O,"")</f>
        <v>-11.47368421</v>
      </c>
      <c r="L11" s="4"/>
      <c r="M11" s="4"/>
      <c r="N11" s="7" t="str">
        <f t="shared" si="3"/>
        <v/>
      </c>
      <c r="O11" s="4" t="str">
        <f t="shared" si="12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5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6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7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IFERROR(__xludf.DUMMYFUNCTION("""COMPUTED_VALUE"""),"Form G4 - K Instagram")</f>
        <v>Form G4 - K Instagram</v>
      </c>
      <c r="AJ11" s="11">
        <f>IFERROR(__xludf.DUMMYFUNCTION("""COMPUTED_VALUE"""),176.0930193014403)</f>
        <v>176.0930193</v>
      </c>
      <c r="AK11" s="10">
        <f>IFERROR(__xludf.DUMMYFUNCTION("""COMPUTED_VALUE"""),0.21)</f>
        <v>0.21</v>
      </c>
      <c r="AL11" s="9">
        <f>IFERROR(__xludf.DUMMYFUNCTION("""COMPUTED_VALUE"""),1564.0)</f>
        <v>1564</v>
      </c>
      <c r="AM11" s="9">
        <f t="shared" si="8"/>
        <v>57835.99126</v>
      </c>
      <c r="AN11" s="9" t="str">
        <f>IFERROR(__xludf.DUMMYFUNCTION("""COMPUTED_VALUE"""),"Form G4 - K Instagram")</f>
        <v>Form G4 - K Instagram</v>
      </c>
      <c r="AO11" s="11">
        <f>IFERROR(__xludf.DUMMYFUNCTION("""COMPUTED_VALUE"""),117.0)</f>
        <v>117</v>
      </c>
      <c r="AP11" s="10">
        <f>IFERROR(__xludf.DUMMYFUNCTION("""COMPUTED_VALUE"""),0.05128205128205128)</f>
        <v>0.05128205128</v>
      </c>
      <c r="AQ11" s="14">
        <f>IFERROR(__xludf.DUMMYFUNCTION("""COMPUTED_VALUE"""),3317.8333333333335)</f>
        <v>3317.833333</v>
      </c>
      <c r="AR11" s="9">
        <f t="shared" si="9"/>
        <v>19907</v>
      </c>
    </row>
    <row r="12">
      <c r="A12" s="4"/>
      <c r="B12" s="4"/>
      <c r="C12" s="7" t="str">
        <f t="shared" si="1"/>
        <v/>
      </c>
      <c r="D12" s="4" t="str">
        <f t="shared" si="10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 t="str">
        <f>IFERROR(__xludf.DUMMYFUNCTION("""COMPUTED_VALUE"""),"Form G4 Incompleto Outros")</f>
        <v>Form G4 Incompleto Outros</v>
      </c>
      <c r="H12" s="12">
        <f>IFERROR(__xludf.DUMMYFUNCTION("""COMPUTED_VALUE"""),-8424.0)</f>
        <v>-8424</v>
      </c>
      <c r="I12" s="7">
        <f t="shared" si="2"/>
        <v>0.01205844406</v>
      </c>
      <c r="J12" s="7">
        <f t="shared" si="11"/>
        <v>1</v>
      </c>
      <c r="K12" s="6">
        <f t="array" ref="K12">XLOOKUP(G12,'Dados Funil'!A:A,'Dados Funil'!O:O,"")</f>
        <v>-6.410958904</v>
      </c>
      <c r="L12" s="4"/>
      <c r="M12" s="4"/>
      <c r="N12" s="7" t="str">
        <f t="shared" si="3"/>
        <v/>
      </c>
      <c r="O12" s="4" t="str">
        <f t="shared" si="12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5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6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7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IFERROR(__xludf.DUMMYFUNCTION("""COMPUTED_VALUE"""),"Form G4 Incompleto Instagram")</f>
        <v>Form G4 Incompleto Instagram</v>
      </c>
      <c r="AJ12" s="11">
        <f>IFERROR(__xludf.DUMMYFUNCTION("""COMPUTED_VALUE"""),141.85436151937384)</f>
        <v>141.8543615</v>
      </c>
      <c r="AK12" s="10">
        <f>IFERROR(__xludf.DUMMYFUNCTION("""COMPUTED_VALUE"""),0.175)</f>
        <v>0.175</v>
      </c>
      <c r="AL12" s="9">
        <f>IFERROR(__xludf.DUMMYFUNCTION("""COMPUTED_VALUE"""),2039.9999999999998)</f>
        <v>2040</v>
      </c>
      <c r="AN12" s="9" t="str">
        <f>IFERROR(__xludf.DUMMYFUNCTION("""COMPUTED_VALUE"""),"Form G4 Incompleto Instagram")</f>
        <v>Form G4 Incompleto Instagram</v>
      </c>
      <c r="AO12" s="11">
        <f>IFERROR(__xludf.DUMMYFUNCTION("""COMPUTED_VALUE"""),114.0)</f>
        <v>114</v>
      </c>
      <c r="AP12" s="10">
        <f>IFERROR(__xludf.DUMMYFUNCTION("""COMPUTED_VALUE"""),0.12280701754385964)</f>
        <v>0.1228070175</v>
      </c>
      <c r="AQ12" s="14">
        <f>IFERROR(__xludf.DUMMYFUNCTION("""COMPUTED_VALUE"""),4079.6428571428573)</f>
        <v>4079.642857</v>
      </c>
      <c r="AR12" s="9">
        <f t="shared" si="9"/>
        <v>57115</v>
      </c>
    </row>
    <row r="13">
      <c r="A13" s="4"/>
      <c r="B13" s="4"/>
      <c r="C13" s="7" t="str">
        <f t="shared" si="1"/>
        <v/>
      </c>
      <c r="D13" s="4" t="str">
        <f t="shared" si="10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1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2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5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6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7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G4 - K Outros")</f>
        <v>Form G4 - K Outros</v>
      </c>
      <c r="AJ13" s="11">
        <f>IFERROR(__xludf.DUMMYFUNCTION("""COMPUTED_VALUE"""),70.81288802370726)</f>
        <v>70.81288802</v>
      </c>
      <c r="AK13" s="10">
        <f>IFERROR(__xludf.DUMMYFUNCTION("""COMPUTED_VALUE"""),0.22)</f>
        <v>0.22</v>
      </c>
      <c r="AL13" s="9">
        <f>IFERROR(__xludf.DUMMYFUNCTION("""COMPUTED_VALUE"""),2014.9999999999995)</f>
        <v>2015</v>
      </c>
      <c r="AN13" s="9" t="str">
        <f>IFERROR(__xludf.DUMMYFUNCTION("""COMPUTED_VALUE"""),"Form G4 - K Outros")</f>
        <v>Form G4 - K Outros</v>
      </c>
      <c r="AO13" s="11">
        <f>IFERROR(__xludf.DUMMYFUNCTION("""COMPUTED_VALUE"""),38.0)</f>
        <v>38</v>
      </c>
      <c r="AP13" s="10">
        <f>IFERROR(__xludf.DUMMYFUNCTION("""COMPUTED_VALUE"""),0.10526315789473684)</f>
        <v>0.1052631579</v>
      </c>
      <c r="AQ13" s="14">
        <f>IFERROR(__xludf.DUMMYFUNCTION("""COMPUTED_VALUE"""),0.0)</f>
        <v>0</v>
      </c>
      <c r="AR13" s="9">
        <f t="shared" si="9"/>
        <v>0</v>
      </c>
    </row>
    <row r="14">
      <c r="A14" s="4"/>
      <c r="B14" s="4"/>
      <c r="C14" s="7" t="str">
        <f t="shared" si="1"/>
        <v/>
      </c>
      <c r="D14" s="4" t="str">
        <f t="shared" si="10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1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2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6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7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IFERROR(__xludf.DUMMYFUNCTION("""COMPUTED_VALUE"""),"[SKL] Chat")</f>
        <v>[SKL] Chat</v>
      </c>
      <c r="AJ14" s="11">
        <f>IFERROR(__xludf.DUMMYFUNCTION("""COMPUTED_VALUE"""),13.878786133221608)</f>
        <v>13.87878613</v>
      </c>
      <c r="AK14" s="10">
        <f>IFERROR(__xludf.DUMMYFUNCTION("""COMPUTED_VALUE"""),0.35)</f>
        <v>0.35</v>
      </c>
      <c r="AL14" s="9">
        <f>IFERROR(__xludf.DUMMYFUNCTION("""COMPUTED_VALUE"""),4200.0)</f>
        <v>4200</v>
      </c>
      <c r="AN14" s="9" t="str">
        <f>IFERROR(__xludf.DUMMYFUNCTION("""COMPUTED_VALUE"""),"[SKL] Chat")</f>
        <v>[SKL] Chat</v>
      </c>
      <c r="AO14" s="11">
        <f>IFERROR(__xludf.DUMMYFUNCTION("""COMPUTED_VALUE"""),14.0)</f>
        <v>14</v>
      </c>
      <c r="AP14" s="10">
        <f>IFERROR(__xludf.DUMMYFUNCTION("""COMPUTED_VALUE"""),0.6428571428571429)</f>
        <v>0.6428571429</v>
      </c>
      <c r="AQ14" s="14">
        <f>IFERROR(__xludf.DUMMYFUNCTION("""COMPUTED_VALUE"""),6655.555555555556)</f>
        <v>6655.555556</v>
      </c>
      <c r="AR14" s="9">
        <f t="shared" si="9"/>
        <v>59900</v>
      </c>
    </row>
    <row r="15">
      <c r="A15" s="4"/>
      <c r="B15" s="4"/>
      <c r="C15" s="7" t="str">
        <f t="shared" si="1"/>
        <v/>
      </c>
      <c r="D15" s="4" t="str">
        <f t="shared" si="10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1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2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6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7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</row>
    <row r="16">
      <c r="A16" s="4"/>
      <c r="B16" s="4"/>
      <c r="C16" s="7" t="str">
        <f t="shared" si="1"/>
        <v/>
      </c>
      <c r="D16" s="4" t="str">
        <f t="shared" si="10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1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2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6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7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10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1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2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6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7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10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1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2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6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7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10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1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2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6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7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10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1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2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6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7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10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1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2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6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7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10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1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2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6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7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10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1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2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6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7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10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1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2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6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7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10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1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2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6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7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10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1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2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6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7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10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1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2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6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7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10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1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2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6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7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10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1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2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6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7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10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1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2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6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7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10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1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2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6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7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10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1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2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6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7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10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1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2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6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7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10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1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2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6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7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10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1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2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6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7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10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1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2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6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7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10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1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2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6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7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10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1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2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6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7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10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1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2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6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7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10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1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2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6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7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10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1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2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6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7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10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1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2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6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7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10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1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2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6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7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10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1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2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6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7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10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1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2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6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7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10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1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2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6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7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10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1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2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6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7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10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1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2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6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7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10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1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2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6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7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10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1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2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6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7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10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1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2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6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7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10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1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2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6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7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10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1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2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6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7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10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1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2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6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7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10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1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2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6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7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10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1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2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6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7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10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1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2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6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7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10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1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2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6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7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10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1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2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6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7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10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1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2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6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7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10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1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2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6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7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10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1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2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6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7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10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1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2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6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7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10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1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2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6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7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10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1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2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6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7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10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1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2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6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7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10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1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2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6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7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10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1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2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6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7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10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1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2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6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7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10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1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2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6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7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10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1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2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6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7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10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1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2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6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7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10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1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2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6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7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10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1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2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6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7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10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1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2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6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7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10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1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2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6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7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10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1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2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6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7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10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1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2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6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7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10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1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2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6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7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10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1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2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6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7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10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1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2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6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7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10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1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2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6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7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10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1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2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6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7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10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1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2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6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7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10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1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2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6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7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10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1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2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6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7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10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1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2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6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7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10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1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2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6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7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10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1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2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6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7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10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1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2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6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7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10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1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2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6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7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10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1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2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6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7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10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1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2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6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7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10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1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2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6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7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10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1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2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6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7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10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1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2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6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7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10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1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2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6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7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10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1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2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6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7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10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1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2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6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7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10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1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2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6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7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10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1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2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6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7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10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1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2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6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7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10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1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2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6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7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10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1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2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6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7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10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1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2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6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7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10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1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2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6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7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10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1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2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6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7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10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1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2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6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7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10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1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2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6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7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10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1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2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6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7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10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1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2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6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7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10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1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2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6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7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10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1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2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6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7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10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1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2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6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7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10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1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2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6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7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10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1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2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6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7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10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1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2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6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7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10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1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2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6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7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10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1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2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6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7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10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1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2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6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7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10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1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2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6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7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10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1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2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6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7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10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1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2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6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7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10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1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2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6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7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10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1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2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6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7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10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1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2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6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7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10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1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2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6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7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10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1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2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6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7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10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1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2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6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7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10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1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2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6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7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10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1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2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6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7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10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1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2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6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7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10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1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2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6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7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10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1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2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6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7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10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1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2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6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7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10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1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2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6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7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10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1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2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6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7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10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1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2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6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7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10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1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2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6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7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10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1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2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6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7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10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1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2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6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7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10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1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2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6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7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10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1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2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6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7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10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1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2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6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7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10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1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2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6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7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10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1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2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6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7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10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1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2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6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7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10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1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2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6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7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10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1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2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6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7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10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1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2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6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7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10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1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2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6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7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10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1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2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6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7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10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1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2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6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7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10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1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2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6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7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10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1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2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6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7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10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1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2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6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7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10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1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2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6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7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10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1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2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6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7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10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1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2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6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7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10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1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2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6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7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10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1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2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6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7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10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1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2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6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7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10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1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2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6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7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10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1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2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6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7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10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1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2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6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7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10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1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2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6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7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10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1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2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6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7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10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1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2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6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7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10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1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2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6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7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10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1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2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6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7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10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1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2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6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7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10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1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2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6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7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10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1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2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6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7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10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1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2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6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7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10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1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2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6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7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10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1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2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6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7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10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1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2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6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7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10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1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2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6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7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10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1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2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6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7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10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1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2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6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7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10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1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2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6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7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10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1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2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6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7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10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1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2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6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7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10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1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2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6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7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10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1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2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6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7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10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1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2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6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7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10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1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2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6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7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10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1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2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6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7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10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1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2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6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7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10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1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2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6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7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10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1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2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6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7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10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1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2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6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7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10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1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2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6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7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10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1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2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6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7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10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1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2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6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7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10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1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2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6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7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10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1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2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6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7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10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1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2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6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7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10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1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2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6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7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10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1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2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6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7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10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1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2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6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7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10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1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2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6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7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10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1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2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6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7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10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1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2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6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7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10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1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2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6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7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10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1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2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6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7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10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1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2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6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7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10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1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2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6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7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10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1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2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6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7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10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1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2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6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7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10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1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2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6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7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10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1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2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6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7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10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1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2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6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7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10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1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2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6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7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10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1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2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6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7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10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1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2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6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7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10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1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2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6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7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10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1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2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6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7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10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1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2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6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7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10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1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2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6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7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10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1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2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6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7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10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1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2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6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7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10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1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2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6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7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10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1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2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6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7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10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1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2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6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7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10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1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2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6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7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10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1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2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6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7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10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1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2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6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7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10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1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2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6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7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10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1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2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6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7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10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1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2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6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7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10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1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2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6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7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10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1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2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6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7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10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1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2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6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7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10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1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2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6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7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10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1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2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6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7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10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1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2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6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7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10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1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2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6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7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10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1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2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6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7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10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1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2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6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7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10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1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2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6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7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10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1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2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6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7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10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1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2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6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7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10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1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2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6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7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10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1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2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6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7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10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1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2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6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7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10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1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2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6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7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10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1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2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6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7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10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1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2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6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7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10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1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2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6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7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10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1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2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6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7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10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1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2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6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7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10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1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2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6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7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10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1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2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6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7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10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1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2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6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7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10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1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2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6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7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10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1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2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6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7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10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1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2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6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7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10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1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2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6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7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10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1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2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6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7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10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1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2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6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7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10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1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2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6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7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10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1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2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6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7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10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1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2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6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7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10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1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2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6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7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10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1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2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6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7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10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1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2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6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7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10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1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2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6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7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10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1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2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6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7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10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1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2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6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7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10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1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2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6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7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10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1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2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6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7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10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1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2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6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7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10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1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2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6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7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10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1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2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6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7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10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1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2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6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7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10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1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2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6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7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10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1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2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6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7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10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1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2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6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7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10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1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2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6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7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10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1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2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6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7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10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1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2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6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7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10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1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2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6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7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10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1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2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6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7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10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1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2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6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7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10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1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2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6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7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10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1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2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6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7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10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1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2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6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7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10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1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2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6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7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10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1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2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6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7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10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1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2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6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7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10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1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2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6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7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10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1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2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6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7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10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1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2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6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7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10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1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2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6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7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10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1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2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6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7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10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1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2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6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7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10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1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2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6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7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10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1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2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6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7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10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1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2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6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7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10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1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2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6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7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10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1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2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6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7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10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1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2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6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7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10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1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2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6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7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10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1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2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6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7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10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1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2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6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7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10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1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2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6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7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10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1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2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6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7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10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1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2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6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7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10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1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2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6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7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10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1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2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6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7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10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1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2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6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7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10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1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2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6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7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10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1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2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6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7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10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1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2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6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7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10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1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2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6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7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10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1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2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6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7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10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1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2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6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7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10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1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2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6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7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10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1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2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6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7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10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1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2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6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7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10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1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2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6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7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10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1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2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6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7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10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1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2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6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7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10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1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2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6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7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10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1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2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6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7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10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1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2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6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7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10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1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2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6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7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10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1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2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6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7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10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1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2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6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7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10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1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2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6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7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10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1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2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6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7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10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1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2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6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7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10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1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2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6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7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10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1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2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6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7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10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1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2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6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7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10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1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2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6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7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10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1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2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6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7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10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1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2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6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7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10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1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2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6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7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10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1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2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6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7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10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1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2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6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7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10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1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2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6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7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10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1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2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6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7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10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1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2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6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7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10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1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2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6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7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10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1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2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6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7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10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1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2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6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7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10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1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2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6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7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10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1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2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6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7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10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1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2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6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7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10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1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2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6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7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10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1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2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6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7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10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1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2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6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7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10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1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2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6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7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10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1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2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6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7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10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1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2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6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7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10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1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2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6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7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10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1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2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6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7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10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1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2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6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7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10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1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2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6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7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10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1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2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6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7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10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1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2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6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7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10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1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2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6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7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10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1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2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6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7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10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1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2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6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7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10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1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2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6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7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10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1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2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6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7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10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1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2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6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7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10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1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2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6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7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10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1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2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6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7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10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1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2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6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7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10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1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2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6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7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10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1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2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6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7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10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1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2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6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7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10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1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2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6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7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10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1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2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6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7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10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1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2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6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7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10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1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2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6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7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10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1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2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6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7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10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1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2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6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7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10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1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2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6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7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10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1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2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6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7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10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1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2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6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7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10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1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2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6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7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10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1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2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6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7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10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1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2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6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7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10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1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2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6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7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10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1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2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6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7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10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1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2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6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7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10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1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2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6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7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10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1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2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6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7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10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1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2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6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7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10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1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2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6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7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10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1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2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6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7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10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1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2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6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7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10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1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2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6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7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10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1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2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6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7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10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1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2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6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7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10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1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2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6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7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10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1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2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6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7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10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1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2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6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7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10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1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2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6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7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10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1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2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6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7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10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1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2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6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7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10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1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2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6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7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10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1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2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6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7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10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1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2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6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7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10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1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2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6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7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10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1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2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6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7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10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1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2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6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7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10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1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2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6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7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10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1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2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6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7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10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1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2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6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7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10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1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2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6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7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10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1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2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6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7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10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1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2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6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7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10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1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2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6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7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10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1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2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6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7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10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1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2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6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7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10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1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2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6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7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10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1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2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6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7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10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1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2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6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7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10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1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2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6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7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10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1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2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6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7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10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1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2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6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7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10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1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2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6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7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10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1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2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6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7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10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1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2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6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7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10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1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2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6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7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10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1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2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6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7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10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1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2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6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7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10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1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2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6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7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10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1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2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6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7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10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1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2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6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7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10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1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2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6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7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10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1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2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6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7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10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1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2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6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7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10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1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2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6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7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10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1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2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6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7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10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1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2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6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7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10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1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2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6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7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10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1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2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6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7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10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1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2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6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7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10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1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2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6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7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10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1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2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6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7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10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1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2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6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7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10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1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2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6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7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10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1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2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6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7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10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1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2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6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7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10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1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2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6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7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10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1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2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6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7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10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1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2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6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7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10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1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2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6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7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10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1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2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6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7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10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1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2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6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7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10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1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2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6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7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10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1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2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6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7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10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1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2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6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7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10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1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2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6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7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10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1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2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6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7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10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1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2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6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7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10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1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2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6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7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10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1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2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6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7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10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1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2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6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7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10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1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2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6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7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10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1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2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6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7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10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1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2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6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7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10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1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2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6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7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10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1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2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6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7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10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1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2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6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7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10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1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2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6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7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10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1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2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6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7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10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1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2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6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7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10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1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2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6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7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10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1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2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6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7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10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1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2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6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7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10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1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2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6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7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10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1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2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6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7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10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1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2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6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7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10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1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2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6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7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10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1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2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6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7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10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1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2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6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7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10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1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2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6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7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10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1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2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6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7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10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1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2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6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7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10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1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2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6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7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10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1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2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6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7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10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1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2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6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7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10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1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2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6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7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10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1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2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6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7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10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1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2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6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7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10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1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2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6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7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10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1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2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6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7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10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1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2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6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7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10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1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2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6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7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10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1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2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6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7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10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1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2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6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7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10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1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2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6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7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10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1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2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6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7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10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1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2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6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7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10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1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2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6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7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10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1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2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6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7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10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1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2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6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7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10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1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2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6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7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10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1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2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6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7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10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1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2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6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7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10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1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2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6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7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10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1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2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6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7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10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1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2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6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7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10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1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2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6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7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10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1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2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6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7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10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1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2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6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7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10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1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2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6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7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10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1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2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6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7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10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1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2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6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7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10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1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2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6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7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10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1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2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6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7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10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1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2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6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7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10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1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2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6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7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10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1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2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6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7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10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1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2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6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7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10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1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2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6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7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10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1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2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6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7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10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1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2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6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7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10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1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2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6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7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10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1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2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6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7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10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1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2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6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7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10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1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2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6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7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10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1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2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6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7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10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1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2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6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7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10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1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2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6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7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10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1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2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6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7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10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1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2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6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7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10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1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2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6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7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10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1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2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6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7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10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1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2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6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7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10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1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2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6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7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10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1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2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6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7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10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1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2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6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7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10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1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2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6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7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10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1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2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6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7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10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1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2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6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7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10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1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2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6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7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10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1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2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6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7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10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1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2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6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7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10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1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2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6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7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10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1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2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6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7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10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1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2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6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7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10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1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2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6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7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10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1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2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6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7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10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1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2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6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7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10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1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2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6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7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10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1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2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6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7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10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1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2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6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7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10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1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2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6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7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10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1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2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6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7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10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1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2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6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7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10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1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2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6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7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10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1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2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6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7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10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1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2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6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7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10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1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2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6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7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10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1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2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6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7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10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1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2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6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7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10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1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2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6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7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10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1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2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6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7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10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1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2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6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7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10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1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2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6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7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10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1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2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6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7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10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1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2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6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7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10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1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2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6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7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10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1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2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6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7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10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1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2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6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7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10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1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2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6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7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10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1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2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6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7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10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1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2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6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7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10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1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2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6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7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10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1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2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6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7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10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1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2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6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7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10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1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2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6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7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10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1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2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6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7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10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1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2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6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7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10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1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2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6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7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10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1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2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6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7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10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1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2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6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7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10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1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2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6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7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10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1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2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6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7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10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1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2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6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7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10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1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2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6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7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10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1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2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6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7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10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1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2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6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7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10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1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2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6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7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10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1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2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6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7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10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1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2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6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7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10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1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2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6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7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10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1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2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6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7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10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1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2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6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7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10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1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2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6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7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10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1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2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6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7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10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1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2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6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7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10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1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2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6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7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10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1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2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6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7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10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1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2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6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7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10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1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2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6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7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10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1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2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6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7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10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1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2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6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7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10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1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2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6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7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10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1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2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6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7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10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1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2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6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7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10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1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2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6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7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10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1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2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6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7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10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1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2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6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7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10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1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2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6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7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10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1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2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6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7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10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1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2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6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7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10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1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2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6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7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10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1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2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6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7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10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1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2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6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7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10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1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2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6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7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10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1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2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6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7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10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1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2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6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7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10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1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2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6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7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10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1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2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6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7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10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1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2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6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7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10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1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2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6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7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10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1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2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6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7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10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1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2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6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7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10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1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2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6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7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10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1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2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6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7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10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1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2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6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7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10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1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2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6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7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10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1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2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6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7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10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1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2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6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7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10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1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2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6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7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10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1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2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6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7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10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1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2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6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7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10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1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2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6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7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10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1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2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6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7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10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1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2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6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7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10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1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2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6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7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10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1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2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6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7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10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1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2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6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7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10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1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2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6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7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10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1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2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6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7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10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1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2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6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7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10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1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2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6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7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10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1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2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6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7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10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1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2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6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7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10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1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2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6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7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10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1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2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6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7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10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1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2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6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7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10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1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2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6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7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10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1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2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6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7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10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1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2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6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7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10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1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2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6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7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10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1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2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6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7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10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1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2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6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7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10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1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2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6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7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10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1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2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6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7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10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1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2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6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7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10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1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2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6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7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10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1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2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6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7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10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1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2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6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7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10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1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2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6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7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10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1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2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6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7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10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1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2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6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7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10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1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2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6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7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10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1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2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6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7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10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1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2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6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7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10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1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2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6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7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10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1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2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6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7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10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1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2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6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7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10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1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2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6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7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10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1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2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6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7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10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1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2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6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7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10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1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2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6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7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10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1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2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6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7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10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1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2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6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7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10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1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2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6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7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10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1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2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6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7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10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1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2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6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7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10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1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2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6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7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10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1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2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6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7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10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1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2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6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7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10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1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2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6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7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10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1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2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6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7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10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1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2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6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7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10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1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2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6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7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10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1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2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6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7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10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1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2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6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7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10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1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2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6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7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10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1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2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6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7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10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1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2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6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7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10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1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2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6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7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10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1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2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6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7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10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1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2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6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7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10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1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2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6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7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10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1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2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6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7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10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1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2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6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7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10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1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2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6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7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10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1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2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6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7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10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1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2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6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7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10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1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2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6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7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10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1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2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6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7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10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1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2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6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7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10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1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2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6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7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10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1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2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6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7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10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1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2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6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7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10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1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2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6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7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10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1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2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6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7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10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1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2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6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7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10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1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2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6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7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10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1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2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6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7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10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1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2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6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7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10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1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2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6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7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10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1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2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6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7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10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1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2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6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7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10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1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2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6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7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10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1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2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6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7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10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1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2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6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7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10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1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2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6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7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10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1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2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6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7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10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1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2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6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7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10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1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2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6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7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10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1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2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6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7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10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1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2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6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7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10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1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2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6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7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10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1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2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6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7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10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1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2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6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7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10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1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2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6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7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10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1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2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6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7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10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1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2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6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7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10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1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2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6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7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10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1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2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6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7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10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1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2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6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7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10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1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2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6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7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10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1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2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6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7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10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1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2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6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7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10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1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2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6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7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10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1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2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6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7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10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1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2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6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7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10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1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2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6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7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10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1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2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6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7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10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1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2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6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7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10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1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2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6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7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10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1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2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6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7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10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1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2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6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7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10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1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2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6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7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10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1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2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6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7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10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1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2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6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7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10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1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2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6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7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10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1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2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6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7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10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1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2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6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7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10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1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2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6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7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10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1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2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6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7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10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1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2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6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7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10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1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2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6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7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10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1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2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6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7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10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1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2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6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7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10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1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2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6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7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10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1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2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6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7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10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1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2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6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7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10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1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2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6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7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10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1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2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6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7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10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1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2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6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7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10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1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2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6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7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10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1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2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6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7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10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1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2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6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7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10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1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2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6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7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10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1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2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6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7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10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1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2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6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7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10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1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2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6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7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10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1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2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6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7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10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1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2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6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7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10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1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2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6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7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10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1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2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6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7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10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1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2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6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7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10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1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2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6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7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10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1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2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6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7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10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1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2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6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7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10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1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2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6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7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10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1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2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6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7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10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1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2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6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7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10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1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2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6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7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10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1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2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6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7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10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1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2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6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7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10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1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2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6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7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10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1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2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6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7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10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1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2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6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7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10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1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2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6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7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10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1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2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6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7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10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1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2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6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7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10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1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2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6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7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10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1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2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6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7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10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1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2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6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7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10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1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2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6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7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10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1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2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6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7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10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1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2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6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7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10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1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2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6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7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10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1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2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6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7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10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1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2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6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7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10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1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2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6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7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10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1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2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6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7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10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1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2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6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7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10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1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2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6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7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10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1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2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6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7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10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1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2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6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7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10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1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2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6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7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10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1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2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6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7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10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1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2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6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7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10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1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2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6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7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10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1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2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6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7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10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1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2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6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7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10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1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2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6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7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10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1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2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6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7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10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1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2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6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7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10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1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2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6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7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10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1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2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6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7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10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1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2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6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7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10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1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2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6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7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10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1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2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6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7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10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1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2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6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7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10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1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2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6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7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10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1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2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6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7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10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1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2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6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7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10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1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2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6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7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10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1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2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6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7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10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1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2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6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7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10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1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2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6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7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10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1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2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6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7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10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1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2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6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7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10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1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2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6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7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10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1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2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6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7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10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1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2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6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7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10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1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2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6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7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10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1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2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6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7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10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1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2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6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7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10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1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2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6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7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10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1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2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6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7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10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1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2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6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7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10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1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2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6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7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10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1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2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6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7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10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1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2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6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7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10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1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2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6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7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10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1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2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6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7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10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1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2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6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7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10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1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2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6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7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10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1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2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6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7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10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1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2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6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7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10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1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2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6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7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10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1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2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6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7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10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1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2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6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7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10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1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2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6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7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10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1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2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6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7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10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1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2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6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7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10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1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2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6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7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10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1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2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6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7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10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1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2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6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7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10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1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2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6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7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10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1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2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6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7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10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1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2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6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7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10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1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2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6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7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10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1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2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6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7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10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1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2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6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7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10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1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2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6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7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10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1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2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6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7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10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1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2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6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7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10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1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2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6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7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10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1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2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6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7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10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1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2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6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7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10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1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2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6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7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10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1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2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6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7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10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1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2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6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7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10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1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2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6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7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10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1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2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6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7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10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1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2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6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7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10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1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2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6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7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10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1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2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6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7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10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1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2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6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7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10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1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2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6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7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10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1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2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6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7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10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1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2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6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7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10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1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2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6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7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10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1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2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6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7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10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1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2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6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7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10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1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2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6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7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10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1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2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6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7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10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1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2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6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7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10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1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2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6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7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10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1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2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6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7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10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1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2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6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7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10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1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2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6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7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10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1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2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6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7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10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1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2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6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7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10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1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2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6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7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10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1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2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6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7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10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1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2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6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7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10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1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2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6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7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10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1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2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6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7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10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1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2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6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7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10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1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2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6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7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10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1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2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6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7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10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1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2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6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7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10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1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2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6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7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10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1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2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6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7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10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1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2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6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7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10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1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2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6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7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10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1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2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6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7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10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1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2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6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7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10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1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2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6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7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10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1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2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6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7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10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1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2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6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7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10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1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2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6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7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10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1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2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6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7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10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1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2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6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7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10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1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2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6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7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10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1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2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6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7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10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1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2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6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7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10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1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2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6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7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10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1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2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6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7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10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1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2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6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7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10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1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2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6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7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10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1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2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6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7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10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1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2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6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7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10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1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2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6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7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10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1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2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6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7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10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1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2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6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7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10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1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2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6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7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10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1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2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6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7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10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1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2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6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7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10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1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2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6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7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10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1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2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6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7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10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1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2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6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7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10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1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2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6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7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10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1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2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6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7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10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1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2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6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7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10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1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2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6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7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10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1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2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6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7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10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1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2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6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7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10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1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2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6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7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10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1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2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6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7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10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1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2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6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7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10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1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2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6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7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10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1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2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6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7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10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1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2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6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7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10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1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2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6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7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10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1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2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6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7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10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1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2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6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7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10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1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2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6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7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10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1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2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6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7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10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1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2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6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7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10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1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2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6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7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10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1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2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6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7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10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1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2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6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7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10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1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2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6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7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10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1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2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6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7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10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1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2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6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7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10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1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2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6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7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10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1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2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6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7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10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1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2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6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7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10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1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2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6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7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10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1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2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6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7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10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1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2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6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7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10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1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2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6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7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10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1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2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6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7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10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1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2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6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7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10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1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2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6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7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10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1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2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6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7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10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1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2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6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7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10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1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2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6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7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10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1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2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6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7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10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1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2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6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7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10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1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2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6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7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10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1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2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6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7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10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1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2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6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7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10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1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2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6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7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10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1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2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6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7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10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1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2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6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7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10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1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2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6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7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10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1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2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6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7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10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1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2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6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7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10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1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2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6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7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10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1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2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6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7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10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1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2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6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7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10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1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2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6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7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10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1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2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6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7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10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1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2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6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7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10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1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2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6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7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10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1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2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6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7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10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1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2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6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7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10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1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2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6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7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10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1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2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6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7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10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1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2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6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7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10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1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2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6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7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10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1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2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6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7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10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1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2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6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7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10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1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2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6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7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10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1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2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6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7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10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1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2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6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7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10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1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2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6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7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"),"[SKL] Outros")</f>
        <v>[SKL] Outros</v>
      </c>
      <c r="B2" s="18">
        <f>IFERROR(__xludf.DUMMYFUNCTION("""COMPUTED_VALUE"""),423.2903225806449)</f>
        <v>423.2903226</v>
      </c>
      <c r="C2" s="19">
        <f>IFERROR(__xludf.DUMMYFUNCTION("""COMPUTED_VALUE"""),422.0)</f>
        <v>422</v>
      </c>
      <c r="D2" s="20">
        <f>IFERROR(__xludf.DUMMYFUNCTION("""COMPUTED_VALUE"""),-1.2903225806448972)</f>
        <v>-1.290322581</v>
      </c>
      <c r="E2" s="21">
        <f>IFERROR(__xludf.DUMMYFUNCTION("""COMPUTED_VALUE"""),-0.0030483158055168297)</f>
        <v>-0.003048315806</v>
      </c>
      <c r="F2" s="22">
        <f>IFERROR(__xludf.DUMMYFUNCTION("""COMPUTED_VALUE"""),0.8792878400149675)</f>
        <v>0.87928784</v>
      </c>
      <c r="G2" s="22">
        <f>IFERROR(__xludf.DUMMYFUNCTION("""COMPUTED_VALUE"""),0.8530805687203792)</f>
        <v>0.8530805687</v>
      </c>
      <c r="H2" s="23">
        <f>IFERROR(__xludf.DUMMYFUNCTION("""COMPUTED_VALUE"""),-2.620727129458833)</f>
        <v>-2.620727129</v>
      </c>
      <c r="I2" s="18">
        <f>IFERROR(__xludf.DUMMYFUNCTION("""COMPUTED_VALUE"""),372.1940334411741)</f>
        <v>372.1940334</v>
      </c>
      <c r="J2" s="19">
        <f>IFERROR(__xludf.DUMMYFUNCTION("""COMPUTED_VALUE"""),360.0)</f>
        <v>360</v>
      </c>
      <c r="K2" s="20">
        <f>IFERROR(__xludf.DUMMYFUNCTION("""COMPUTED_VALUE"""),-12.1940334411741)</f>
        <v>-12.19403344</v>
      </c>
      <c r="L2" s="21">
        <f>IFERROR(__xludf.DUMMYFUNCTION("""COMPUTED_VALUE"""),-0.032762570985978436)</f>
        <v>-0.03276257099</v>
      </c>
      <c r="M2" s="24">
        <f>IFERROR(__xludf.DUMMYFUNCTION("""COMPUTED_VALUE"""),0.25)</f>
        <v>0.25</v>
      </c>
      <c r="N2" s="22">
        <f>IFERROR(__xludf.DUMMYFUNCTION("""COMPUTED_VALUE"""),0.1388888888888889)</f>
        <v>0.1388888889</v>
      </c>
      <c r="O2" s="25">
        <f>IFERROR(__xludf.DUMMYFUNCTION("""COMPUTED_VALUE"""),-11.11111111111111)</f>
        <v>-11.11111111</v>
      </c>
      <c r="P2" s="18">
        <f>IFERROR(__xludf.DUMMYFUNCTION("""COMPUTED_VALUE"""),85.46677804945486)</f>
        <v>85.46677805</v>
      </c>
      <c r="Q2" s="19">
        <f>IFERROR(__xludf.DUMMYFUNCTION("""COMPUTED_VALUE"""),50.0)</f>
        <v>50</v>
      </c>
      <c r="R2" s="20">
        <f>IFERROR(__xludf.DUMMYFUNCTION("""COMPUTED_VALUE"""),-35.46677804945486)</f>
        <v>-35.46677805</v>
      </c>
      <c r="S2" s="26">
        <f>IFERROR(__xludf.DUMMYFUNCTION("""COMPUTED_VALUE"""),-0.41497736148345515)</f>
        <v>-0.4149773615</v>
      </c>
      <c r="T2" s="22">
        <f>IFERROR(__xludf.DUMMYFUNCTION("""COMPUTED_VALUE"""),0.3)</f>
        <v>0.3</v>
      </c>
      <c r="U2" s="22">
        <f>IFERROR(__xludf.DUMMYFUNCTION("""COMPUTED_VALUE"""),0.2)</f>
        <v>0.2</v>
      </c>
      <c r="V2" s="23">
        <f>IFERROR(__xludf.DUMMYFUNCTION("""COMPUTED_VALUE"""),-9.999999999999998)</f>
        <v>-10</v>
      </c>
      <c r="W2" s="18">
        <f>IFERROR(__xludf.DUMMYFUNCTION("""COMPUTED_VALUE"""),25.640033414836456)</f>
        <v>25.64003341</v>
      </c>
      <c r="X2" s="19">
        <f>IFERROR(__xludf.DUMMYFUNCTION("""COMPUTED_VALUE"""),10.0)</f>
        <v>10</v>
      </c>
      <c r="Y2" s="20">
        <f>IFERROR(__xludf.DUMMYFUNCTION("""COMPUTED_VALUE"""),-15.640033414836456)</f>
        <v>-15.64003341</v>
      </c>
      <c r="Z2" s="27">
        <f>IFERROR(__xludf.DUMMYFUNCTION("""COMPUTED_VALUE"""),-0.6099849076556367)</f>
        <v>-0.6099849077</v>
      </c>
      <c r="AA2" s="18">
        <f>IFERROR(__xludf.DUMMYFUNCTION("""COMPUTED_VALUE"""),23000.0)</f>
        <v>23000</v>
      </c>
      <c r="AB2" s="19">
        <f>IFERROR(__xludf.DUMMYFUNCTION("""COMPUTED_VALUE"""),24326.4)</f>
        <v>24326.4</v>
      </c>
      <c r="AC2" s="20">
        <f>IFERROR(__xludf.DUMMYFUNCTION("""COMPUTED_VALUE"""),1326.4000000000015)</f>
        <v>1326.4</v>
      </c>
      <c r="AD2" s="27">
        <f>IFERROR(__xludf.DUMMYFUNCTION("""COMPUTED_VALUE"""),0.05766956521739137)</f>
        <v>0.05766956522</v>
      </c>
      <c r="AE2" s="18">
        <f>IFERROR(__xludf.DUMMYFUNCTION("""COMPUTED_VALUE"""),555074.6733894406)</f>
        <v>555074.6734</v>
      </c>
      <c r="AF2" s="19">
        <f>IFERROR(__xludf.DUMMYFUNCTION("""COMPUTED_VALUE"""),243264.0)</f>
        <v>243264</v>
      </c>
      <c r="AG2" s="20">
        <f>IFERROR(__xludf.DUMMYFUNCTION("""COMPUTED_VALUE"""),-311810.67338944064)</f>
        <v>-311810.6734</v>
      </c>
      <c r="AH2" s="28">
        <f>IFERROR(__xludf.DUMMYFUNCTION("""COMPUTED_VALUE"""),-0.5617454521667108)</f>
        <v>-0.5617454522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"),-21034.70768602532)</f>
        <v>-21034.70769</v>
      </c>
      <c r="AJ2" s="29">
        <f>IFERROR(__xludf.DUMMYFUNCTION("""COMPUTED_VALUE"""),-377735.9999999999)</f>
        <v>-377736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"),6899.999999999999)</f>
        <v>6900</v>
      </c>
      <c r="AL2" s="30">
        <f>IFERROR(__xludf.DUMMYFUNCTION("""COMPUTED_VALUE"""),4865.28)</f>
        <v>4865.28</v>
      </c>
      <c r="AM2" s="29">
        <f t="shared" ref="AM2:AM16" si="1">AL2-AK2</f>
        <v>-2034.72</v>
      </c>
      <c r="AN2" s="31">
        <f t="shared" ref="AN2:AN16" si="2">AM2/AK2</f>
        <v>-0.2948869565</v>
      </c>
      <c r="AO2" s="12">
        <f t="shared" ref="AO2:AO16" si="3">J2*(N2-M2)*AK2</f>
        <v>-276000</v>
      </c>
      <c r="AP2" s="12">
        <f t="shared" ref="AP2:AP16" si="4">J2*N2*AM2</f>
        <v>-101736</v>
      </c>
      <c r="AQ2" s="12">
        <f>SUMIFS(AP2:AP16,AP2:AP16,"&lt;"&amp;0)</f>
        <v>-402409.3831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IFERROR(__xludf.DUMMYFUNCTION("""COMPUTED_VALUE"""),"[IM] Form Facebook Ads")</f>
        <v>[IM] Form Facebook Ads</v>
      </c>
      <c r="B3" s="18">
        <f>IFERROR(__xludf.DUMMYFUNCTION("""COMPUTED_VALUE"""),402.3870967741933)</f>
        <v>402.3870968</v>
      </c>
      <c r="C3" s="19">
        <f>IFERROR(__xludf.DUMMYFUNCTION("""COMPUTED_VALUE"""),442.0)</f>
        <v>442</v>
      </c>
      <c r="D3" s="20">
        <f>IFERROR(__xludf.DUMMYFUNCTION("""COMPUTED_VALUE"""),39.61290322580669)</f>
        <v>39.61290323</v>
      </c>
      <c r="E3" s="21">
        <f>IFERROR(__xludf.DUMMYFUNCTION("""COMPUTED_VALUE"""),0.09844476511143242)</f>
        <v>0.09844476511</v>
      </c>
      <c r="F3" s="22">
        <f>IFERROR(__xludf.DUMMYFUNCTION("""COMPUTED_VALUE"""),0.8681746999803265)</f>
        <v>0.8681747</v>
      </c>
      <c r="G3" s="22">
        <f>IFERROR(__xludf.DUMMYFUNCTION("""COMPUTED_VALUE"""),0.7262443438914027)</f>
        <v>0.7262443439</v>
      </c>
      <c r="H3" s="23">
        <f>IFERROR(__xludf.DUMMYFUNCTION("""COMPUTED_VALUE"""),-14.19303560889238)</f>
        <v>-14.19303561</v>
      </c>
      <c r="I3" s="18">
        <f>IFERROR(__xludf.DUMMYFUNCTION("""COMPUTED_VALUE"""),349.3422970178899)</f>
        <v>349.342297</v>
      </c>
      <c r="J3" s="19">
        <f>IFERROR(__xludf.DUMMYFUNCTION("""COMPUTED_VALUE"""),321.0)</f>
        <v>321</v>
      </c>
      <c r="K3" s="20">
        <f>IFERROR(__xludf.DUMMYFUNCTION("""COMPUTED_VALUE"""),-28.342297017889905)</f>
        <v>-28.34229702</v>
      </c>
      <c r="L3" s="21">
        <f>IFERROR(__xludf.DUMMYFUNCTION("""COMPUTED_VALUE"""),-0.0811304478725589)</f>
        <v>-0.08113044787</v>
      </c>
      <c r="M3" s="24">
        <f>IFERROR(__xludf.DUMMYFUNCTION("""COMPUTED_VALUE"""),0.32)</f>
        <v>0.32</v>
      </c>
      <c r="N3" s="22">
        <f>IFERROR(__xludf.DUMMYFUNCTION("""COMPUTED_VALUE"""),0.23052959501557632)</f>
        <v>0.230529595</v>
      </c>
      <c r="O3" s="25">
        <f>IFERROR(__xludf.DUMMYFUNCTION("""COMPUTED_VALUE"""),-8.947040498442368)</f>
        <v>-8.947040498</v>
      </c>
      <c r="P3" s="18">
        <f>IFERROR(__xludf.DUMMYFUNCTION("""COMPUTED_VALUE"""),102.6807581160732)</f>
        <v>102.6807581</v>
      </c>
      <c r="Q3" s="19">
        <f>IFERROR(__xludf.DUMMYFUNCTION("""COMPUTED_VALUE"""),74.0)</f>
        <v>74</v>
      </c>
      <c r="R3" s="20">
        <f>IFERROR(__xludf.DUMMYFUNCTION("""COMPUTED_VALUE"""),-28.680758116073207)</f>
        <v>-28.68075812</v>
      </c>
      <c r="S3" s="26">
        <f>IFERROR(__xludf.DUMMYFUNCTION("""COMPUTED_VALUE"""),-0.27931969574719806)</f>
        <v>-0.2793196957</v>
      </c>
      <c r="T3" s="22">
        <f>IFERROR(__xludf.DUMMYFUNCTION("""COMPUTED_VALUE"""),0.175)</f>
        <v>0.175</v>
      </c>
      <c r="U3" s="22">
        <f>IFERROR(__xludf.DUMMYFUNCTION("""COMPUTED_VALUE"""),0.10810810810810811)</f>
        <v>0.1081081081</v>
      </c>
      <c r="V3" s="23">
        <f>IFERROR(__xludf.DUMMYFUNCTION("""COMPUTED_VALUE"""),-6.689189189189188)</f>
        <v>-6.689189189</v>
      </c>
      <c r="W3" s="18">
        <f>IFERROR(__xludf.DUMMYFUNCTION("""COMPUTED_VALUE"""),17.96913267031281)</f>
        <v>17.96913267</v>
      </c>
      <c r="X3" s="19">
        <f>IFERROR(__xludf.DUMMYFUNCTION("""COMPUTED_VALUE"""),8.0)</f>
        <v>8</v>
      </c>
      <c r="Y3" s="20">
        <f>IFERROR(__xludf.DUMMYFUNCTION("""COMPUTED_VALUE"""),-9.96913267031281)</f>
        <v>-9.96913267</v>
      </c>
      <c r="Z3" s="27">
        <f>IFERROR(__xludf.DUMMYFUNCTION("""COMPUTED_VALUE"""),-0.5547920900368791)</f>
        <v>-0.55479209</v>
      </c>
      <c r="AA3" s="18">
        <f>IFERROR(__xludf.DUMMYFUNCTION("""COMPUTED_VALUE"""),29000.0)</f>
        <v>29000</v>
      </c>
      <c r="AB3" s="19">
        <f>IFERROR(__xludf.DUMMYFUNCTION("""COMPUTED_VALUE"""),24429.125)</f>
        <v>24429.125</v>
      </c>
      <c r="AC3" s="20">
        <f>IFERROR(__xludf.DUMMYFUNCTION("""COMPUTED_VALUE"""),-4570.875)</f>
        <v>-4570.875</v>
      </c>
      <c r="AD3" s="27">
        <f>IFERROR(__xludf.DUMMYFUNCTION("""COMPUTED_VALUE"""),-0.15761637931034483)</f>
        <v>-0.1576163793</v>
      </c>
      <c r="AE3" s="18">
        <f>IFERROR(__xludf.DUMMYFUNCTION("""COMPUTED_VALUE"""),490489.9376520259)</f>
        <v>490489.9377</v>
      </c>
      <c r="AF3" s="19">
        <f>IFERROR(__xludf.DUMMYFUNCTION("""COMPUTED_VALUE"""),195433.0)</f>
        <v>195433</v>
      </c>
      <c r="AG3" s="20">
        <f>IFERROR(__xludf.DUMMYFUNCTION("""COMPUTED_VALUE"""),-295056.9376520259)</f>
        <v>-295056.9377</v>
      </c>
      <c r="AH3" s="28">
        <f>IFERROR(__xludf.DUMMYFUNCTION("""COMPUTED_VALUE"""),-0.601555536622143)</f>
        <v>-0.6015555366</v>
      </c>
      <c r="AI3" s="29">
        <f>IFERROR(__xludf.DUMMYFUNCTION("""COMPUTED_VALUE"""),-46027.890357053206)</f>
        <v>-46027.89036</v>
      </c>
      <c r="AJ3" s="29">
        <f>IFERROR(__xludf.DUMMYFUNCTION("""COMPUTED_VALUE"""),-325871.0)</f>
        <v>-325871</v>
      </c>
      <c r="AK3" s="4">
        <f>IFERROR(__xludf.DUMMYFUNCTION("""COMPUTED_VALUE"""),5074.999999999999)</f>
        <v>5075</v>
      </c>
      <c r="AL3" s="30">
        <f>IFERROR(__xludf.DUMMYFUNCTION("""COMPUTED_VALUE"""),2640.9864864864867)</f>
        <v>2640.986486</v>
      </c>
      <c r="AM3" s="29">
        <f t="shared" si="1"/>
        <v>-2434.013514</v>
      </c>
      <c r="AN3" s="31">
        <f t="shared" si="2"/>
        <v>-0.4796085741</v>
      </c>
      <c r="AO3" s="12">
        <f t="shared" si="3"/>
        <v>-145754</v>
      </c>
      <c r="AP3" s="12">
        <f t="shared" si="4"/>
        <v>-180117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Site")</f>
        <v>[SKL] Site</v>
      </c>
      <c r="B4" s="18">
        <f>IFERROR(__xludf.DUMMYFUNCTION("""COMPUTED_VALUE"""),337.9354838709675)</f>
        <v>337.9354839</v>
      </c>
      <c r="C4" s="19">
        <f>IFERROR(__xludf.DUMMYFUNCTION("""COMPUTED_VALUE"""),164.0)</f>
        <v>164</v>
      </c>
      <c r="D4" s="20">
        <f>IFERROR(__xludf.DUMMYFUNCTION("""COMPUTED_VALUE"""),-173.93548387096752)</f>
        <v>-173.9354839</v>
      </c>
      <c r="E4" s="21">
        <f>IFERROR(__xludf.DUMMYFUNCTION("""COMPUTED_VALUE"""),-0.5147002672775866)</f>
        <v>-0.5147002673</v>
      </c>
      <c r="F4" s="22">
        <f>IFERROR(__xludf.DUMMYFUNCTION("""COMPUTED_VALUE"""),0.8413693776815816)</f>
        <v>0.8413693777</v>
      </c>
      <c r="G4" s="22">
        <f>IFERROR(__xludf.DUMMYFUNCTION("""COMPUTED_VALUE"""),0.75)</f>
        <v>0.75</v>
      </c>
      <c r="H4" s="23">
        <f>IFERROR(__xludf.DUMMYFUNCTION("""COMPUTED_VALUE"""),-9.136937768158159)</f>
        <v>-9.136937768</v>
      </c>
      <c r="I4" s="18">
        <f>IFERROR(__xludf.DUMMYFUNCTION("""COMPUTED_VALUE"""),284.3285677610401)</f>
        <v>284.3285678</v>
      </c>
      <c r="J4" s="19">
        <f>IFERROR(__xludf.DUMMYFUNCTION("""COMPUTED_VALUE"""),123.0)</f>
        <v>123</v>
      </c>
      <c r="K4" s="20">
        <f>IFERROR(__xludf.DUMMYFUNCTION("""COMPUTED_VALUE"""),-161.32856776104012)</f>
        <v>-161.3285678</v>
      </c>
      <c r="L4" s="21">
        <f>IFERROR(__xludf.DUMMYFUNCTION("""COMPUTED_VALUE"""),-0.5674018936311261)</f>
        <v>-0.5674018936</v>
      </c>
      <c r="M4" s="24">
        <f>IFERROR(__xludf.DUMMYFUNCTION("""COMPUTED_VALUE"""),0.15)</f>
        <v>0.15</v>
      </c>
      <c r="N4" s="22">
        <f>IFERROR(__xludf.DUMMYFUNCTION("""COMPUTED_VALUE"""),0.17886178861788618)</f>
        <v>0.1788617886</v>
      </c>
      <c r="O4" s="25">
        <f>IFERROR(__xludf.DUMMYFUNCTION("""COMPUTED_VALUE"""),2.8861788617886184)</f>
        <v>2.886178862</v>
      </c>
      <c r="P4" s="18">
        <f>IFERROR(__xludf.DUMMYFUNCTION("""COMPUTED_VALUE"""),39.174158224854445)</f>
        <v>39.17415822</v>
      </c>
      <c r="Q4" s="19">
        <f>IFERROR(__xludf.DUMMYFUNCTION("""COMPUTED_VALUE"""),22.0)</f>
        <v>22</v>
      </c>
      <c r="R4" s="20">
        <f>IFERROR(__xludf.DUMMYFUNCTION("""COMPUTED_VALUE"""),-17.174158224854445)</f>
        <v>-17.17415822</v>
      </c>
      <c r="S4" s="26">
        <f>IFERROR(__xludf.DUMMYFUNCTION("""COMPUTED_VALUE"""),-0.4384052907091728)</f>
        <v>-0.4384052907</v>
      </c>
      <c r="T4" s="22">
        <f>IFERROR(__xludf.DUMMYFUNCTION("""COMPUTED_VALUE"""),0.27)</f>
        <v>0.27</v>
      </c>
      <c r="U4" s="22">
        <f>IFERROR(__xludf.DUMMYFUNCTION("""COMPUTED_VALUE"""),0.18181818181818182)</f>
        <v>0.1818181818</v>
      </c>
      <c r="V4" s="23">
        <f>IFERROR(__xludf.DUMMYFUNCTION("""COMPUTED_VALUE"""),-8.81818181818182)</f>
        <v>-8.818181818</v>
      </c>
      <c r="W4" s="18">
        <f>IFERROR(__xludf.DUMMYFUNCTION("""COMPUTED_VALUE"""),10.577022720710701)</f>
        <v>10.57702272</v>
      </c>
      <c r="X4" s="19">
        <f>IFERROR(__xludf.DUMMYFUNCTION("""COMPUTED_VALUE"""),4.0)</f>
        <v>4</v>
      </c>
      <c r="Y4" s="20">
        <f>IFERROR(__xludf.DUMMYFUNCTION("""COMPUTED_VALUE"""),-6.577022720710701)</f>
        <v>-6.577022721</v>
      </c>
      <c r="Z4" s="27">
        <f>IFERROR(__xludf.DUMMYFUNCTION("""COMPUTED_VALUE"""),-0.6218217445853016)</f>
        <v>-0.6218217446</v>
      </c>
      <c r="AA4" s="18">
        <f>IFERROR(__xludf.DUMMYFUNCTION("""COMPUTED_VALUE"""),19000.0)</f>
        <v>19000</v>
      </c>
      <c r="AB4" s="19">
        <f>IFERROR(__xludf.DUMMYFUNCTION("""COMPUTED_VALUE"""),29074.32501220703)</f>
        <v>29074.32501</v>
      </c>
      <c r="AC4" s="20">
        <f>IFERROR(__xludf.DUMMYFUNCTION("""COMPUTED_VALUE"""),10074.325012207031)</f>
        <v>10074.32501</v>
      </c>
      <c r="AD4" s="27">
        <f>IFERROR(__xludf.DUMMYFUNCTION("""COMPUTED_VALUE"""),0.5302276322214227)</f>
        <v>0.5302276322</v>
      </c>
      <c r="AE4" s="18">
        <f>IFERROR(__xludf.DUMMYFUNCTION("""COMPUTED_VALUE"""),189156.83008150995)</f>
        <v>189156.8301</v>
      </c>
      <c r="AF4" s="19">
        <f>IFERROR(__xludf.DUMMYFUNCTION("""COMPUTED_VALUE"""),116297.30004882812)</f>
        <v>116297.3</v>
      </c>
      <c r="AG4" s="20">
        <f>IFERROR(__xludf.DUMMYFUNCTION("""COMPUTED_VALUE"""),-72859.53003268183)</f>
        <v>-72859.53003</v>
      </c>
      <c r="AH4" s="28">
        <f>IFERROR(__xludf.DUMMYFUNCTION("""COMPUTED_VALUE"""),-0.38518054040811417)</f>
        <v>-0.3851805404</v>
      </c>
      <c r="AI4" s="29">
        <f>IFERROR(__xludf.DUMMYFUNCTION("""COMPUTED_VALUE"""),-124142.33289212036)</f>
        <v>-124142.3329</v>
      </c>
      <c r="AJ4" s="29">
        <f>IFERROR(__xludf.DUMMYFUNCTION("""COMPUTED_VALUE"""),21648.80004882812)</f>
        <v>21648.80005</v>
      </c>
      <c r="AK4" s="4">
        <f>IFERROR(__xludf.DUMMYFUNCTION("""COMPUTED_VALUE"""),5130.0)</f>
        <v>5130</v>
      </c>
      <c r="AL4" s="30">
        <f>IFERROR(__xludf.DUMMYFUNCTION("""COMPUTED_VALUE"""),5286.2409113103695)</f>
        <v>5286.240911</v>
      </c>
      <c r="AM4" s="29">
        <f t="shared" si="1"/>
        <v>156.2409113</v>
      </c>
      <c r="AN4" s="31">
        <f t="shared" si="2"/>
        <v>0.03045631799</v>
      </c>
      <c r="AO4" s="12">
        <f t="shared" si="3"/>
        <v>18211.5</v>
      </c>
      <c r="AP4" s="12">
        <f t="shared" si="4"/>
        <v>3437.300049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18">
        <f>IFERROR(__xludf.DUMMYFUNCTION("""COMPUTED_VALUE"""),211.64516129032245)</f>
        <v>211.6451613</v>
      </c>
      <c r="C5" s="19">
        <f>IFERROR(__xludf.DUMMYFUNCTION("""COMPUTED_VALUE"""),319.0)</f>
        <v>319</v>
      </c>
      <c r="D5" s="20">
        <f>IFERROR(__xludf.DUMMYFUNCTION("""COMPUTED_VALUE"""),107.35483870967755)</f>
        <v>107.3548387</v>
      </c>
      <c r="E5" s="21">
        <f>IFERROR(__xludf.DUMMYFUNCTION("""COMPUTED_VALUE"""),0.5072397500381048)</f>
        <v>0.50723975</v>
      </c>
      <c r="F5" s="22">
        <f>IFERROR(__xludf.DUMMYFUNCTION("""COMPUTED_VALUE"""),0.8780487804878049)</f>
        <v>0.8780487805</v>
      </c>
      <c r="G5" s="22">
        <f>IFERROR(__xludf.DUMMYFUNCTION("""COMPUTED_VALUE"""),0.8714733542319749)</f>
        <v>0.8714733542</v>
      </c>
      <c r="H5" s="23">
        <f>IFERROR(__xludf.DUMMYFUNCTION("""COMPUTED_VALUE"""),-0.6575426255829964)</f>
        <v>-0.6575426256</v>
      </c>
      <c r="I5" s="18">
        <f>IFERROR(__xludf.DUMMYFUNCTION("""COMPUTED_VALUE"""),185.8347757671124)</f>
        <v>185.8347758</v>
      </c>
      <c r="J5" s="19">
        <f>IFERROR(__xludf.DUMMYFUNCTION("""COMPUTED_VALUE"""),278.0)</f>
        <v>278</v>
      </c>
      <c r="K5" s="20">
        <f>IFERROR(__xludf.DUMMYFUNCTION("""COMPUTED_VALUE"""),92.1652242328876)</f>
        <v>92.16522423</v>
      </c>
      <c r="L5" s="21">
        <f>IFERROR(__xludf.DUMMYFUNCTION("""COMPUTED_VALUE"""),0.495952514013786)</f>
        <v>0.495952514</v>
      </c>
      <c r="M5" s="24">
        <f>IFERROR(__xludf.DUMMYFUNCTION("""COMPUTED_VALUE"""),0.215)</f>
        <v>0.215</v>
      </c>
      <c r="N5" s="22">
        <f>IFERROR(__xludf.DUMMYFUNCTION("""COMPUTED_VALUE"""),0.11151079136690648)</f>
        <v>0.1115107914</v>
      </c>
      <c r="O5" s="25">
        <f>IFERROR(__xludf.DUMMYFUNCTION("""COMPUTED_VALUE"""),-10.348920863309353)</f>
        <v>-10.34892086</v>
      </c>
      <c r="P5" s="18">
        <f>IFERROR(__xludf.DUMMYFUNCTION("""COMPUTED_VALUE"""),36.6989268292683)</f>
        <v>36.69892683</v>
      </c>
      <c r="Q5" s="19">
        <f>IFERROR(__xludf.DUMMYFUNCTION("""COMPUTED_VALUE"""),31.0)</f>
        <v>31</v>
      </c>
      <c r="R5" s="20">
        <f>IFERROR(__xludf.DUMMYFUNCTION("""COMPUTED_VALUE"""),-5.698926829268302)</f>
        <v>-5.698926829</v>
      </c>
      <c r="S5" s="26">
        <f>IFERROR(__xludf.DUMMYFUNCTION("""COMPUTED_VALUE"""),-0.15528865069490988)</f>
        <v>-0.1552886507</v>
      </c>
      <c r="T5" s="22">
        <f>IFERROR(__xludf.DUMMYFUNCTION("""COMPUTED_VALUE"""),0.19)</f>
        <v>0.19</v>
      </c>
      <c r="U5" s="22">
        <f>IFERROR(__xludf.DUMMYFUNCTION("""COMPUTED_VALUE"""),0.12903225806451613)</f>
        <v>0.1290322581</v>
      </c>
      <c r="V5" s="23">
        <f>IFERROR(__xludf.DUMMYFUNCTION("""COMPUTED_VALUE"""),-6.096774193548388)</f>
        <v>-6.096774194</v>
      </c>
      <c r="W5" s="18">
        <f>IFERROR(__xludf.DUMMYFUNCTION("""COMPUTED_VALUE"""),6.972796097560978)</f>
        <v>6.972796098</v>
      </c>
      <c r="X5" s="19">
        <f>IFERROR(__xludf.DUMMYFUNCTION("""COMPUTED_VALUE"""),4.0)</f>
        <v>4</v>
      </c>
      <c r="Y5" s="20">
        <f>IFERROR(__xludf.DUMMYFUNCTION("""COMPUTED_VALUE"""),-2.9727960975609777)</f>
        <v>-2.972796098</v>
      </c>
      <c r="Z5" s="27">
        <f>IFERROR(__xludf.DUMMYFUNCTION("""COMPUTED_VALUE"""),-0.4263420378233684)</f>
        <v>-0.4263420378</v>
      </c>
      <c r="AA5" s="18">
        <f>IFERROR(__xludf.DUMMYFUNCTION("""COMPUTED_VALUE"""),15200.0)</f>
        <v>15200</v>
      </c>
      <c r="AB5" s="19">
        <f>IFERROR(__xludf.DUMMYFUNCTION("""COMPUTED_VALUE"""),15778.900024414062)</f>
        <v>15778.90002</v>
      </c>
      <c r="AC5" s="20">
        <f>IFERROR(__xludf.DUMMYFUNCTION("""COMPUTED_VALUE"""),578.9000244140625)</f>
        <v>578.9000244</v>
      </c>
      <c r="AD5" s="27">
        <f>IFERROR(__xludf.DUMMYFUNCTION("""COMPUTED_VALUE"""),0.038085527921977794)</f>
        <v>0.03808552792</v>
      </c>
      <c r="AE5" s="18">
        <f>IFERROR(__xludf.DUMMYFUNCTION("""COMPUTED_VALUE"""),99759.79376780488)</f>
        <v>99759.79377</v>
      </c>
      <c r="AF5" s="19">
        <f>IFERROR(__xludf.DUMMYFUNCTION("""COMPUTED_VALUE"""),63115.60009765625)</f>
        <v>63115.6001</v>
      </c>
      <c r="AG5" s="20">
        <f>IFERROR(__xludf.DUMMYFUNCTION("""COMPUTED_VALUE"""),-36644.19367014863)</f>
        <v>-36644.19367</v>
      </c>
      <c r="AH5" s="28">
        <f>IFERROR(__xludf.DUMMYFUNCTION("""COMPUTED_VALUE"""),-0.367324272496388)</f>
        <v>-0.3673242725</v>
      </c>
      <c r="AI5" s="29">
        <f>IFERROR(__xludf.DUMMYFUNCTION("""COMPUTED_VALUE"""),57227.23103068456)</f>
        <v>57227.23103</v>
      </c>
      <c r="AJ5" s="29">
        <f>IFERROR(__xludf.DUMMYFUNCTION("""COMPUTED_VALUE"""),-109500.15990234374)</f>
        <v>-109500.1599</v>
      </c>
      <c r="AK5" s="4">
        <f>IFERROR(__xludf.DUMMYFUNCTION("""COMPUTED_VALUE"""),2888.0)</f>
        <v>2888</v>
      </c>
      <c r="AL5" s="30">
        <f>IFERROR(__xludf.DUMMYFUNCTION("""COMPUTED_VALUE"""),2035.9870999243951)</f>
        <v>2035.9871</v>
      </c>
      <c r="AM5" s="29">
        <f t="shared" si="1"/>
        <v>-852.0129001</v>
      </c>
      <c r="AN5" s="31">
        <f t="shared" si="2"/>
        <v>-0.2950183172</v>
      </c>
      <c r="AO5" s="12">
        <f t="shared" si="3"/>
        <v>-83087.76</v>
      </c>
      <c r="AP5" s="12">
        <f t="shared" si="4"/>
        <v>-26412.3999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18">
        <f>IFERROR(__xludf.DUMMYFUNCTION("""COMPUTED_VALUE"""),186.38709677419342)</f>
        <v>186.3870968</v>
      </c>
      <c r="C6" s="19">
        <f>IFERROR(__xludf.DUMMYFUNCTION("""COMPUTED_VALUE"""),192.0)</f>
        <v>192</v>
      </c>
      <c r="D6" s="20">
        <f>IFERROR(__xludf.DUMMYFUNCTION("""COMPUTED_VALUE"""),5.612903225806576)</f>
        <v>5.612903226</v>
      </c>
      <c r="E6" s="21">
        <f>IFERROR(__xludf.DUMMYFUNCTION("""COMPUTED_VALUE"""),0.030114226375909308)</f>
        <v>0.03011422638</v>
      </c>
      <c r="F6" s="22">
        <f>IFERROR(__xludf.DUMMYFUNCTION("""COMPUTED_VALUE"""),0.8977164542590002)</f>
        <v>0.8977164543</v>
      </c>
      <c r="G6" s="22">
        <f>IFERROR(__xludf.DUMMYFUNCTION("""COMPUTED_VALUE"""),0.7916666666666666)</f>
        <v>0.7916666667</v>
      </c>
      <c r="H6" s="23">
        <f>IFERROR(__xludf.DUMMYFUNCTION("""COMPUTED_VALUE"""),-10.604978759233353)</f>
        <v>-10.60497876</v>
      </c>
      <c r="I6" s="18">
        <f>IFERROR(__xludf.DUMMYFUNCTION("""COMPUTED_VALUE"""),167.32276363575804)</f>
        <v>167.3227636</v>
      </c>
      <c r="J6" s="19">
        <f>IFERROR(__xludf.DUMMYFUNCTION("""COMPUTED_VALUE"""),152.0)</f>
        <v>152</v>
      </c>
      <c r="K6" s="20">
        <f>IFERROR(__xludf.DUMMYFUNCTION("""COMPUTED_VALUE"""),-15.322763635758037)</f>
        <v>-15.32276364</v>
      </c>
      <c r="L6" s="21">
        <f>IFERROR(__xludf.DUMMYFUNCTION("""COMPUTED_VALUE"""),-0.09157608506343996)</f>
        <v>-0.09157608506</v>
      </c>
      <c r="M6" s="24">
        <f>IFERROR(__xludf.DUMMYFUNCTION("""COMPUTED_VALUE"""),0.22)</f>
        <v>0.22</v>
      </c>
      <c r="N6" s="22">
        <f>IFERROR(__xludf.DUMMYFUNCTION("""COMPUTED_VALUE"""),0.1118421052631579)</f>
        <v>0.1118421053</v>
      </c>
      <c r="O6" s="25">
        <f>IFERROR(__xludf.DUMMYFUNCTION("""COMPUTED_VALUE"""),-10.81578947368421)</f>
        <v>-10.81578947</v>
      </c>
      <c r="P6" s="18">
        <f>IFERROR(__xludf.DUMMYFUNCTION("""COMPUTED_VALUE"""),33.81159253321099)</f>
        <v>33.81159253</v>
      </c>
      <c r="Q6" s="19">
        <f>IFERROR(__xludf.DUMMYFUNCTION("""COMPUTED_VALUE"""),17.0)</f>
        <v>17</v>
      </c>
      <c r="R6" s="20">
        <f>IFERROR(__xludf.DUMMYFUNCTION("""COMPUTED_VALUE"""),-16.81159253321099)</f>
        <v>-16.81159253</v>
      </c>
      <c r="S6" s="26">
        <f>IFERROR(__xludf.DUMMYFUNCTION("""COMPUTED_VALUE"""),-0.4972138628696068)</f>
        <v>-0.4972138629</v>
      </c>
      <c r="T6" s="22">
        <f>IFERROR(__xludf.DUMMYFUNCTION("""COMPUTED_VALUE"""),0.182)</f>
        <v>0.182</v>
      </c>
      <c r="U6" s="22">
        <f>IFERROR(__xludf.DUMMYFUNCTION("""COMPUTED_VALUE"""),0.11764705882352941)</f>
        <v>0.1176470588</v>
      </c>
      <c r="V6" s="23">
        <f>IFERROR(__xludf.DUMMYFUNCTION("""COMPUTED_VALUE"""),-6.435294117647058)</f>
        <v>-6.435294118</v>
      </c>
      <c r="W6" s="18">
        <f>IFERROR(__xludf.DUMMYFUNCTION("""COMPUTED_VALUE"""),6.1537098410444)</f>
        <v>6.153709841</v>
      </c>
      <c r="X6" s="19">
        <f>IFERROR(__xludf.DUMMYFUNCTION("""COMPUTED_VALUE"""),2.0)</f>
        <v>2</v>
      </c>
      <c r="Y6" s="20">
        <f>IFERROR(__xludf.DUMMYFUNCTION("""COMPUTED_VALUE"""),-4.1537098410444)</f>
        <v>-4.153709841</v>
      </c>
      <c r="Z6" s="27">
        <f>IFERROR(__xludf.DUMMYFUNCTION("""COMPUTED_VALUE"""),-0.6749928008206896)</f>
        <v>-0.6749928008</v>
      </c>
      <c r="AA6" s="18">
        <f>IFERROR(__xludf.DUMMYFUNCTION("""COMPUTED_VALUE"""),15800.0)</f>
        <v>15800</v>
      </c>
      <c r="AB6" s="19">
        <f>IFERROR(__xludf.DUMMYFUNCTION("""COMPUTED_VALUE"""),78727.0)</f>
        <v>78727</v>
      </c>
      <c r="AC6" s="20">
        <f>IFERROR(__xludf.DUMMYFUNCTION("""COMPUTED_VALUE"""),62927.0)</f>
        <v>62927</v>
      </c>
      <c r="AD6" s="27">
        <f>IFERROR(__xludf.DUMMYFUNCTION("""COMPUTED_VALUE"""),3.9827215189873417)</f>
        <v>3.982721519</v>
      </c>
      <c r="AE6" s="18">
        <f>IFERROR(__xludf.DUMMYFUNCTION("""COMPUTED_VALUE"""),91516.43432855203)</f>
        <v>91516.43433</v>
      </c>
      <c r="AF6" s="19">
        <f>IFERROR(__xludf.DUMMYFUNCTION("""COMPUTED_VALUE"""),157454.0)</f>
        <v>157454</v>
      </c>
      <c r="AG6" s="20">
        <f>IFERROR(__xludf.DUMMYFUNCTION("""COMPUTED_VALUE"""),65937.56567144797)</f>
        <v>65937.56567</v>
      </c>
      <c r="AH6" s="28">
        <f>IFERROR(__xludf.DUMMYFUNCTION("""COMPUTED_VALUE"""),0.7204997239591561)</f>
        <v>0.720499724</v>
      </c>
      <c r="AI6" s="29">
        <f>IFERROR(__xludf.DUMMYFUNCTION("""COMPUTED_VALUE"""),-9693.670604416877)</f>
        <v>-9693.670604</v>
      </c>
      <c r="AJ6" s="29">
        <f>IFERROR(__xludf.DUMMYFUNCTION("""COMPUTED_VALUE"""),61293.935999999994)</f>
        <v>61293.936</v>
      </c>
      <c r="AK6" s="4">
        <f>IFERROR(__xludf.DUMMYFUNCTION("""COMPUTED_VALUE"""),2875.6)</f>
        <v>2875.6</v>
      </c>
      <c r="AL6" s="30">
        <f>IFERROR(__xludf.DUMMYFUNCTION("""COMPUTED_VALUE"""),9262.0)</f>
        <v>9262</v>
      </c>
      <c r="AM6" s="29">
        <f t="shared" si="1"/>
        <v>6386.4</v>
      </c>
      <c r="AN6" s="31">
        <f t="shared" si="2"/>
        <v>2.220893031</v>
      </c>
      <c r="AO6" s="12">
        <f t="shared" si="3"/>
        <v>-47274.864</v>
      </c>
      <c r="AP6" s="12">
        <f t="shared" si="4"/>
        <v>108568.8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Social")</f>
        <v>[SKL] Social</v>
      </c>
      <c r="B7" s="18">
        <f>IFERROR(__xludf.DUMMYFUNCTION("""COMPUTED_VALUE"""),217.74193548387083)</f>
        <v>217.7419355</v>
      </c>
      <c r="C7" s="19">
        <f>IFERROR(__xludf.DUMMYFUNCTION("""COMPUTED_VALUE"""),197.0)</f>
        <v>197</v>
      </c>
      <c r="D7" s="20">
        <f>IFERROR(__xludf.DUMMYFUNCTION("""COMPUTED_VALUE"""),-20.741935483870833)</f>
        <v>-20.74193548</v>
      </c>
      <c r="E7" s="21">
        <f>IFERROR(__xludf.DUMMYFUNCTION("""COMPUTED_VALUE"""),-0.0952592592592587)</f>
        <v>-0.09525925926</v>
      </c>
      <c r="F7" s="22">
        <f>IFERROR(__xludf.DUMMYFUNCTION("""COMPUTED_VALUE"""),0.7887)</f>
        <v>0.7887</v>
      </c>
      <c r="G7" s="22">
        <f>IFERROR(__xludf.DUMMYFUNCTION("""COMPUTED_VALUE"""),0.9086294416243654)</f>
        <v>0.9086294416</v>
      </c>
      <c r="H7" s="23">
        <f>IFERROR(__xludf.DUMMYFUNCTION("""COMPUTED_VALUE"""),11.992944162436547)</f>
        <v>11.99294416</v>
      </c>
      <c r="I7" s="18">
        <f>IFERROR(__xludf.DUMMYFUNCTION("""COMPUTED_VALUE"""),171.7330645161289)</f>
        <v>171.7330645</v>
      </c>
      <c r="J7" s="19">
        <f>IFERROR(__xludf.DUMMYFUNCTION("""COMPUTED_VALUE"""),179.0)</f>
        <v>179</v>
      </c>
      <c r="K7" s="20">
        <f>IFERROR(__xludf.DUMMYFUNCTION("""COMPUTED_VALUE"""),7.2669354838710944)</f>
        <v>7.266935484</v>
      </c>
      <c r="L7" s="21">
        <f>IFERROR(__xludf.DUMMYFUNCTION("""COMPUTED_VALUE"""),0.042315296150722305)</f>
        <v>0.04231529615</v>
      </c>
      <c r="M7" s="24">
        <f>IFERROR(__xludf.DUMMYFUNCTION("""COMPUTED_VALUE"""),0.18)</f>
        <v>0.18</v>
      </c>
      <c r="N7" s="22">
        <f>IFERROR(__xludf.DUMMYFUNCTION("""COMPUTED_VALUE"""),0.16201117318435754)</f>
        <v>0.1620111732</v>
      </c>
      <c r="O7" s="25">
        <f>IFERROR(__xludf.DUMMYFUNCTION("""COMPUTED_VALUE"""),-1.7988826815642456)</f>
        <v>-1.798882682</v>
      </c>
      <c r="P7" s="18">
        <f>IFERROR(__xludf.DUMMYFUNCTION("""COMPUTED_VALUE"""),28.3932)</f>
        <v>28.3932</v>
      </c>
      <c r="Q7" s="19">
        <f>IFERROR(__xludf.DUMMYFUNCTION("""COMPUTED_VALUE"""),29.0)</f>
        <v>29</v>
      </c>
      <c r="R7" s="20">
        <f>IFERROR(__xludf.DUMMYFUNCTION("""COMPUTED_VALUE"""),0.6067999999999998)</f>
        <v>0.6068</v>
      </c>
      <c r="S7" s="26">
        <f>IFERROR(__xludf.DUMMYFUNCTION("""COMPUTED_VALUE"""),0.02137131425834354)</f>
        <v>0.02137131426</v>
      </c>
      <c r="T7" s="22">
        <f>IFERROR(__xludf.DUMMYFUNCTION("""COMPUTED_VALUE"""),0.16)</f>
        <v>0.16</v>
      </c>
      <c r="U7" s="22">
        <f>IFERROR(__xludf.DUMMYFUNCTION("""COMPUTED_VALUE"""),0.10344827586206896)</f>
        <v>0.1034482759</v>
      </c>
      <c r="V7" s="23">
        <f>IFERROR(__xludf.DUMMYFUNCTION("""COMPUTED_VALUE"""),-5.655172413793104)</f>
        <v>-5.655172414</v>
      </c>
      <c r="W7" s="18">
        <f>IFERROR(__xludf.DUMMYFUNCTION("""COMPUTED_VALUE"""),4.542912)</f>
        <v>4.542912</v>
      </c>
      <c r="X7" s="19">
        <f>IFERROR(__xludf.DUMMYFUNCTION("""COMPUTED_VALUE"""),3.0)</f>
        <v>3</v>
      </c>
      <c r="Y7" s="20">
        <f>IFERROR(__xludf.DUMMYFUNCTION("""COMPUTED_VALUE"""),-1.5429120000000003)</f>
        <v>-1.542912</v>
      </c>
      <c r="Z7" s="27">
        <f>IFERROR(__xludf.DUMMYFUNCTION("""COMPUTED_VALUE"""),-0.33963061578124343)</f>
        <v>-0.3396306158</v>
      </c>
      <c r="AA7" s="18">
        <f>IFERROR(__xludf.DUMMYFUNCTION("""COMPUTED_VALUE"""),21000.0)</f>
        <v>21000</v>
      </c>
      <c r="AB7" s="19">
        <f>IFERROR(__xludf.DUMMYFUNCTION("""COMPUTED_VALUE"""),14361.666666666666)</f>
        <v>14361.66667</v>
      </c>
      <c r="AC7" s="20">
        <f>IFERROR(__xludf.DUMMYFUNCTION("""COMPUTED_VALUE"""),-6638.333333333334)</f>
        <v>-6638.333333</v>
      </c>
      <c r="AD7" s="27">
        <f>IFERROR(__xludf.DUMMYFUNCTION("""COMPUTED_VALUE"""),-0.3161111111111111)</f>
        <v>-0.3161111111</v>
      </c>
      <c r="AE7" s="18">
        <f>IFERROR(__xludf.DUMMYFUNCTION("""COMPUTED_VALUE"""),89796.33432)</f>
        <v>89796.33432</v>
      </c>
      <c r="AF7" s="19">
        <f>IFERROR(__xludf.DUMMYFUNCTION("""COMPUTED_VALUE"""),43085.0)</f>
        <v>43085</v>
      </c>
      <c r="AG7" s="20">
        <f>IFERROR(__xludf.DUMMYFUNCTION("""COMPUTED_VALUE"""),-46711.334319999994)</f>
        <v>-46711.33432</v>
      </c>
      <c r="AH7" s="28">
        <f>IFERROR(__xludf.DUMMYFUNCTION("""COMPUTED_VALUE"""),-0.5201919952939121)</f>
        <v>-0.5201919953</v>
      </c>
      <c r="AI7" s="29">
        <f>IFERROR(__xludf.DUMMYFUNCTION("""COMPUTED_VALUE"""),0.0)</f>
        <v>0</v>
      </c>
      <c r="AJ7" s="29">
        <f>IFERROR(__xludf.DUMMYFUNCTION("""COMPUTED_VALUE"""),43085.0)</f>
        <v>43085</v>
      </c>
      <c r="AK7" s="4">
        <f>IFERROR(__xludf.DUMMYFUNCTION("""COMPUTED_VALUE"""),3360.0)</f>
        <v>3360</v>
      </c>
      <c r="AL7" s="30">
        <f>IFERROR(__xludf.DUMMYFUNCTION("""COMPUTED_VALUE"""),1485.6896551724137)</f>
        <v>1485.689655</v>
      </c>
      <c r="AM7" s="29">
        <f t="shared" si="1"/>
        <v>-1874.310345</v>
      </c>
      <c r="AN7" s="31">
        <f t="shared" si="2"/>
        <v>-0.5578304598</v>
      </c>
      <c r="AO7" s="12">
        <f t="shared" si="3"/>
        <v>-10819.2</v>
      </c>
      <c r="AP7" s="12">
        <f t="shared" si="4"/>
        <v>-54355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Midia Paga - Quente")</f>
        <v>[SKL] Midia Paga - Quente</v>
      </c>
      <c r="B8" s="18">
        <f>IFERROR(__xludf.DUMMYFUNCTION("""COMPUTED_VALUE"""),404.9999999999997)</f>
        <v>405</v>
      </c>
      <c r="C8" s="19">
        <f>IFERROR(__xludf.DUMMYFUNCTION("""COMPUTED_VALUE"""),689.0)</f>
        <v>689</v>
      </c>
      <c r="D8" s="20">
        <f>IFERROR(__xludf.DUMMYFUNCTION("""COMPUTED_VALUE"""),284.0000000000003)</f>
        <v>284</v>
      </c>
      <c r="E8" s="21">
        <f>IFERROR(__xludf.DUMMYFUNCTION("""COMPUTED_VALUE"""),0.7012345679012357)</f>
        <v>0.7012345679</v>
      </c>
      <c r="F8" s="22">
        <f>IFERROR(__xludf.DUMMYFUNCTION("""COMPUTED_VALUE"""),0.801)</f>
        <v>0.801</v>
      </c>
      <c r="G8" s="22">
        <f>IFERROR(__xludf.DUMMYFUNCTION("""COMPUTED_VALUE"""),0.7997097242380261)</f>
        <v>0.7997097242</v>
      </c>
      <c r="H8" s="23">
        <f>IFERROR(__xludf.DUMMYFUNCTION("""COMPUTED_VALUE"""),-0.12902757619739358)</f>
        <v>-0.1290275762</v>
      </c>
      <c r="I8" s="18">
        <f>IFERROR(__xludf.DUMMYFUNCTION("""COMPUTED_VALUE"""),324.4049999999998)</f>
        <v>324.405</v>
      </c>
      <c r="J8" s="19">
        <f>IFERROR(__xludf.DUMMYFUNCTION("""COMPUTED_VALUE"""),551.0)</f>
        <v>551</v>
      </c>
      <c r="K8" s="20">
        <f>IFERROR(__xludf.DUMMYFUNCTION("""COMPUTED_VALUE"""),226.5950000000002)</f>
        <v>226.595</v>
      </c>
      <c r="L8" s="21">
        <f>IFERROR(__xludf.DUMMYFUNCTION("""COMPUTED_VALUE"""),0.6984941662428148)</f>
        <v>0.6984941662</v>
      </c>
      <c r="M8" s="24">
        <f>IFERROR(__xludf.DUMMYFUNCTION("""COMPUTED_VALUE"""),0.1746)</f>
        <v>0.1746</v>
      </c>
      <c r="N8" s="22">
        <f>IFERROR(__xludf.DUMMYFUNCTION("""COMPUTED_VALUE"""),0.11433756805807622)</f>
        <v>0.1143375681</v>
      </c>
      <c r="O8" s="25">
        <f>IFERROR(__xludf.DUMMYFUNCTION("""COMPUTED_VALUE"""),-6.026243194192378)</f>
        <v>-6.026243194</v>
      </c>
      <c r="P8" s="18">
        <f>IFERROR(__xludf.DUMMYFUNCTION("""COMPUTED_VALUE"""),52.02591120000002)</f>
        <v>52.0259112</v>
      </c>
      <c r="Q8" s="19">
        <f>IFERROR(__xludf.DUMMYFUNCTION("""COMPUTED_VALUE"""),63.0)</f>
        <v>63</v>
      </c>
      <c r="R8" s="20">
        <f>IFERROR(__xludf.DUMMYFUNCTION("""COMPUTED_VALUE"""),10.974088799999983)</f>
        <v>10.9740888</v>
      </c>
      <c r="S8" s="26">
        <f>IFERROR(__xludf.DUMMYFUNCTION("""COMPUTED_VALUE"""),0.2109350619119955)</f>
        <v>0.2109350619</v>
      </c>
      <c r="T8" s="22">
        <f>IFERROR(__xludf.DUMMYFUNCTION("""COMPUTED_VALUE"""),0.0794)</f>
        <v>0.0794</v>
      </c>
      <c r="U8" s="22">
        <f>IFERROR(__xludf.DUMMYFUNCTION("""COMPUTED_VALUE"""),0.1111111111111111)</f>
        <v>0.1111111111</v>
      </c>
      <c r="V8" s="23">
        <f>IFERROR(__xludf.DUMMYFUNCTION("""COMPUTED_VALUE"""),3.1711111111111108)</f>
        <v>3.171111111</v>
      </c>
      <c r="W8" s="18">
        <f>IFERROR(__xludf.DUMMYFUNCTION("""COMPUTED_VALUE"""),4.130857349280002)</f>
        <v>4.130857349</v>
      </c>
      <c r="X8" s="19">
        <f>IFERROR(__xludf.DUMMYFUNCTION("""COMPUTED_VALUE"""),7.0)</f>
        <v>7</v>
      </c>
      <c r="Y8" s="20">
        <f>IFERROR(__xludf.DUMMYFUNCTION("""COMPUTED_VALUE"""),2.869142650719998)</f>
        <v>2.869142651</v>
      </c>
      <c r="Z8" s="27">
        <f>IFERROR(__xludf.DUMMYFUNCTION("""COMPUTED_VALUE"""),0.6945634787461451)</f>
        <v>0.6945634787</v>
      </c>
      <c r="AA8" s="18">
        <f>IFERROR(__xludf.DUMMYFUNCTION("""COMPUTED_VALUE"""),21356.0)</f>
        <v>21356</v>
      </c>
      <c r="AB8" s="19">
        <f>IFERROR(__xludf.DUMMYFUNCTION("""COMPUTED_VALUE"""),10728.285714285714)</f>
        <v>10728.28571</v>
      </c>
      <c r="AC8" s="20">
        <f>IFERROR(__xludf.DUMMYFUNCTION("""COMPUTED_VALUE"""),-10627.714285714286)</f>
        <v>-10627.71429</v>
      </c>
      <c r="AD8" s="27">
        <f>IFERROR(__xludf.DUMMYFUNCTION("""COMPUTED_VALUE"""),-0.4976453589489739)</f>
        <v>-0.4976453589</v>
      </c>
      <c r="AE8" s="18">
        <f>IFERROR(__xludf.DUMMYFUNCTION("""COMPUTED_VALUE"""),83035.74741508931)</f>
        <v>83035.74742</v>
      </c>
      <c r="AF8" s="19">
        <f>IFERROR(__xludf.DUMMYFUNCTION("""COMPUTED_VALUE"""),75098.0)</f>
        <v>75098</v>
      </c>
      <c r="AG8" s="20">
        <f>IFERROR(__xludf.DUMMYFUNCTION("""COMPUTED_VALUE"""),-7937.74741508931)</f>
        <v>-7937.747415</v>
      </c>
      <c r="AH8" s="28">
        <f>IFERROR(__xludf.DUMMYFUNCTION("""COMPUTED_VALUE"""),-0.09559433933206046)</f>
        <v>-0.09559433933</v>
      </c>
      <c r="AI8" s="29">
        <f>IFERROR(__xludf.DUMMYFUNCTION("""COMPUTED_VALUE"""),0.0)</f>
        <v>0</v>
      </c>
      <c r="AJ8" s="29">
        <f>IFERROR(__xludf.DUMMYFUNCTION("""COMPUTED_VALUE"""),75098.0)</f>
        <v>75098</v>
      </c>
      <c r="AK8" s="4">
        <f>IFERROR(__xludf.DUMMYFUNCTION("""COMPUTED_VALUE"""),1695.6664)</f>
        <v>1695.6664</v>
      </c>
      <c r="AL8" s="30">
        <f>IFERROR(__xludf.DUMMYFUNCTION("""COMPUTED_VALUE"""),1192.031746031746)</f>
        <v>1192.031746</v>
      </c>
      <c r="AM8" s="29">
        <f t="shared" si="1"/>
        <v>-503.634654</v>
      </c>
      <c r="AN8" s="31">
        <f t="shared" si="2"/>
        <v>-0.2970128169</v>
      </c>
      <c r="AO8" s="12">
        <f t="shared" si="3"/>
        <v>-56303.92455</v>
      </c>
      <c r="AP8" s="12">
        <f t="shared" si="4"/>
        <v>-31728.9832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Midia Paga - Frio")</f>
        <v>[SKL] Midia Paga - Frio</v>
      </c>
      <c r="B9" s="18">
        <f>IFERROR(__xludf.DUMMYFUNCTION("""COMPUTED_VALUE"""),422.4193548387094)</f>
        <v>422.4193548</v>
      </c>
      <c r="C9" s="19">
        <f>IFERROR(__xludf.DUMMYFUNCTION("""COMPUTED_VALUE"""),438.0)</f>
        <v>438</v>
      </c>
      <c r="D9" s="20">
        <f>IFERROR(__xludf.DUMMYFUNCTION("""COMPUTED_VALUE"""),15.58064516129059)</f>
        <v>15.58064516</v>
      </c>
      <c r="E9" s="21">
        <f>IFERROR(__xludf.DUMMYFUNCTION("""COMPUTED_VALUE"""),0.03688430698740043)</f>
        <v>0.03688430699</v>
      </c>
      <c r="F9" s="22">
        <f>IFERROR(__xludf.DUMMYFUNCTION("""COMPUTED_VALUE"""),0.825)</f>
        <v>0.825</v>
      </c>
      <c r="G9" s="22">
        <f>IFERROR(__xludf.DUMMYFUNCTION("""COMPUTED_VALUE"""),0.7077625570776256)</f>
        <v>0.7077625571</v>
      </c>
      <c r="H9" s="23">
        <f>IFERROR(__xludf.DUMMYFUNCTION("""COMPUTED_VALUE"""),-11.723744292237438)</f>
        <v>-11.72374429</v>
      </c>
      <c r="I9" s="18">
        <f>IFERROR(__xludf.DUMMYFUNCTION("""COMPUTED_VALUE"""),348.49596774193526)</f>
        <v>348.4959677</v>
      </c>
      <c r="J9" s="19">
        <f>IFERROR(__xludf.DUMMYFUNCTION("""COMPUTED_VALUE"""),310.0)</f>
        <v>310</v>
      </c>
      <c r="K9" s="20">
        <f>IFERROR(__xludf.DUMMYFUNCTION("""COMPUTED_VALUE"""),-38.49596774193526)</f>
        <v>-38.49596774</v>
      </c>
      <c r="L9" s="21">
        <f>IFERROR(__xludf.DUMMYFUNCTION("""COMPUTED_VALUE"""),-0.11046316544598274)</f>
        <v>-0.1104631654</v>
      </c>
      <c r="M9" s="24">
        <f>IFERROR(__xludf.DUMMYFUNCTION("""COMPUTED_VALUE"""),0.1896)</f>
        <v>0.1896</v>
      </c>
      <c r="N9" s="22">
        <f>IFERROR(__xludf.DUMMYFUNCTION("""COMPUTED_VALUE"""),0.12258064516129032)</f>
        <v>0.1225806452</v>
      </c>
      <c r="O9" s="25">
        <f>IFERROR(__xludf.DUMMYFUNCTION("""COMPUTED_VALUE"""),-6.701935483870967)</f>
        <v>-6.701935484</v>
      </c>
      <c r="P9" s="18">
        <f>IFERROR(__xludf.DUMMYFUNCTION("""COMPUTED_VALUE"""),60.690960000000004)</f>
        <v>60.69096</v>
      </c>
      <c r="Q9" s="19">
        <f>IFERROR(__xludf.DUMMYFUNCTION("""COMPUTED_VALUE"""),38.0)</f>
        <v>38</v>
      </c>
      <c r="R9" s="20">
        <f>IFERROR(__xludf.DUMMYFUNCTION("""COMPUTED_VALUE"""),-22.690960000000004)</f>
        <v>-22.69096</v>
      </c>
      <c r="S9" s="26">
        <f>IFERROR(__xludf.DUMMYFUNCTION("""COMPUTED_VALUE"""),-0.37387709800602925)</f>
        <v>-0.373877098</v>
      </c>
      <c r="T9" s="22">
        <f>IFERROR(__xludf.DUMMYFUNCTION("""COMPUTED_VALUE"""),0.0591)</f>
        <v>0.0591</v>
      </c>
      <c r="U9" s="22">
        <f>IFERROR(__xludf.DUMMYFUNCTION("""COMPUTED_VALUE"""),0.13157894736842105)</f>
        <v>0.1315789474</v>
      </c>
      <c r="V9" s="23">
        <f>IFERROR(__xludf.DUMMYFUNCTION("""COMPUTED_VALUE"""),7.247894736842104)</f>
        <v>7.247894737</v>
      </c>
      <c r="W9" s="18">
        <f>IFERROR(__xludf.DUMMYFUNCTION("""COMPUTED_VALUE"""),3.5868357360000003)</f>
        <v>3.586835736</v>
      </c>
      <c r="X9" s="19">
        <f>IFERROR(__xludf.DUMMYFUNCTION("""COMPUTED_VALUE"""),5.0)</f>
        <v>5</v>
      </c>
      <c r="Y9" s="20">
        <f>IFERROR(__xludf.DUMMYFUNCTION("""COMPUTED_VALUE"""),1.4131642639999997)</f>
        <v>1.413164264</v>
      </c>
      <c r="Z9" s="27">
        <f>IFERROR(__xludf.DUMMYFUNCTION("""COMPUTED_VALUE"""),0.3939863344776265)</f>
        <v>0.3939863345</v>
      </c>
      <c r="AA9" s="18">
        <f>IFERROR(__xludf.DUMMYFUNCTION("""COMPUTED_VALUE"""),17076.0)</f>
        <v>17076</v>
      </c>
      <c r="AB9" s="19">
        <f>IFERROR(__xludf.DUMMYFUNCTION("""COMPUTED_VALUE"""),9166.2900390625)</f>
        <v>9166.290039</v>
      </c>
      <c r="AC9" s="20">
        <f>IFERROR(__xludf.DUMMYFUNCTION("""COMPUTED_VALUE"""),-7909.7099609375)</f>
        <v>-7909.709961</v>
      </c>
      <c r="AD9" s="27">
        <f>IFERROR(__xludf.DUMMYFUNCTION("""COMPUTED_VALUE"""),-0.46320625210456196)</f>
        <v>-0.4632062521</v>
      </c>
      <c r="AE9" s="18">
        <f>IFERROR(__xludf.DUMMYFUNCTION("""COMPUTED_VALUE"""),57650.43961504476)</f>
        <v>57650.43962</v>
      </c>
      <c r="AF9" s="19">
        <f>IFERROR(__xludf.DUMMYFUNCTION("""COMPUTED_VALUE"""),45831.4501953125)</f>
        <v>45831.4502</v>
      </c>
      <c r="AG9" s="20">
        <f>IFERROR(__xludf.DUMMYFUNCTION("""COMPUTED_VALUE"""),-11818.989419732257)</f>
        <v>-11818.98942</v>
      </c>
      <c r="AH9" s="28">
        <f>IFERROR(__xludf.DUMMYFUNCTION("""COMPUTED_VALUE"""),-0.20501126268337966)</f>
        <v>-0.2050112627</v>
      </c>
      <c r="AI9" s="29">
        <f>IFERROR(__xludf.DUMMYFUNCTION("""COMPUTED_VALUE"""),0.0)</f>
        <v>0</v>
      </c>
      <c r="AJ9" s="29">
        <f>IFERROR(__xludf.DUMMYFUNCTION("""COMPUTED_VALUE"""),45831.4501953125)</f>
        <v>45831.4502</v>
      </c>
      <c r="AK9" s="4">
        <f>IFERROR(__xludf.DUMMYFUNCTION("""COMPUTED_VALUE"""),1009.1916)</f>
        <v>1009.1916</v>
      </c>
      <c r="AL9" s="30">
        <f>IFERROR(__xludf.DUMMYFUNCTION("""COMPUTED_VALUE"""),1206.0907946134869)</f>
        <v>1206.090795</v>
      </c>
      <c r="AM9" s="29">
        <f t="shared" si="1"/>
        <v>196.8991946</v>
      </c>
      <c r="AN9" s="31">
        <f t="shared" si="2"/>
        <v>0.1951058596</v>
      </c>
      <c r="AO9" s="12">
        <f t="shared" si="3"/>
        <v>-20966.96468</v>
      </c>
      <c r="AP9" s="12">
        <f t="shared" si="4"/>
        <v>7482.169395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Incompleto Outros")</f>
        <v>Form G4 Incompleto Outros</v>
      </c>
      <c r="B10" s="18">
        <f>IFERROR(__xludf.DUMMYFUNCTION("""COMPUTED_VALUE"""),299.17741935483855)</f>
        <v>299.1774194</v>
      </c>
      <c r="C10" s="19">
        <f>IFERROR(__xludf.DUMMYFUNCTION("""COMPUTED_VALUE"""),133.0)</f>
        <v>133</v>
      </c>
      <c r="D10" s="20">
        <f>IFERROR(__xludf.DUMMYFUNCTION("""COMPUTED_VALUE"""),-166.17741935483855)</f>
        <v>-166.1774194</v>
      </c>
      <c r="E10" s="21">
        <f>IFERROR(__xludf.DUMMYFUNCTION("""COMPUTED_VALUE"""),-0.55544773303143)</f>
        <v>-0.555447733</v>
      </c>
      <c r="F10" s="22">
        <f>IFERROR(__xludf.DUMMYFUNCTION("""COMPUTED_VALUE"""),0.6994918874384062)</f>
        <v>0.6994918874</v>
      </c>
      <c r="G10" s="22">
        <f>IFERROR(__xludf.DUMMYFUNCTION("""COMPUTED_VALUE"""),0.5488721804511278)</f>
        <v>0.5488721805</v>
      </c>
      <c r="H10" s="23">
        <f>IFERROR(__xludf.DUMMYFUNCTION("""COMPUTED_VALUE"""),-15.061970698727833)</f>
        <v>-15.0619707</v>
      </c>
      <c r="I10" s="18">
        <f>IFERROR(__xludf.DUMMYFUNCTION("""COMPUTED_VALUE"""),209.27217774346752)</f>
        <v>209.2721777</v>
      </c>
      <c r="J10" s="19">
        <f>IFERROR(__xludf.DUMMYFUNCTION("""COMPUTED_VALUE"""),73.0)</f>
        <v>73</v>
      </c>
      <c r="K10" s="20">
        <f>IFERROR(__xludf.DUMMYFUNCTION("""COMPUTED_VALUE"""),-136.27217774346752)</f>
        <v>-136.2721777</v>
      </c>
      <c r="L10" s="21">
        <f>IFERROR(__xludf.DUMMYFUNCTION("""COMPUTED_VALUE"""),-0.6511719771488893)</f>
        <v>-0.6511719771</v>
      </c>
      <c r="M10" s="24">
        <f>IFERROR(__xludf.DUMMYFUNCTION("""COMPUTED_VALUE"""),0.16)</f>
        <v>0.16</v>
      </c>
      <c r="N10" s="22">
        <f>IFERROR(__xludf.DUMMYFUNCTION("""COMPUTED_VALUE"""),0.0958904109589041)</f>
        <v>0.09589041096</v>
      </c>
      <c r="O10" s="25">
        <f>IFERROR(__xludf.DUMMYFUNCTION("""COMPUTED_VALUE"""),-6.41095890410959)</f>
        <v>-6.410958904</v>
      </c>
      <c r="P10" s="18">
        <f>IFERROR(__xludf.DUMMYFUNCTION("""COMPUTED_VALUE"""),30.755259306891844)</f>
        <v>30.75525931</v>
      </c>
      <c r="Q10" s="19">
        <f>IFERROR(__xludf.DUMMYFUNCTION("""COMPUTED_VALUE"""),7.0)</f>
        <v>7</v>
      </c>
      <c r="R10" s="20">
        <f>IFERROR(__xludf.DUMMYFUNCTION("""COMPUTED_VALUE"""),-23.755259306891844)</f>
        <v>-23.75525931</v>
      </c>
      <c r="S10" s="26">
        <f>IFERROR(__xludf.DUMMYFUNCTION("""COMPUTED_VALUE"""),-0.7723966515726501)</f>
        <v>-0.7723966516</v>
      </c>
      <c r="T10" s="22">
        <f>IFERROR(__xludf.DUMMYFUNCTION("""COMPUTED_VALUE"""),0.12)</f>
        <v>0.12</v>
      </c>
      <c r="U10" s="22">
        <f>IFERROR(__xludf.DUMMYFUNCTION("""COMPUTED_VALUE"""),0.14285714285714285)</f>
        <v>0.1428571429</v>
      </c>
      <c r="V10" s="23">
        <f>IFERROR(__xludf.DUMMYFUNCTION("""COMPUTED_VALUE"""),2.2857142857142856)</f>
        <v>2.285714286</v>
      </c>
      <c r="W10" s="18">
        <f>IFERROR(__xludf.DUMMYFUNCTION("""COMPUTED_VALUE"""),3.6906311168270207)</f>
        <v>3.690631117</v>
      </c>
      <c r="X10" s="19">
        <f>IFERROR(__xludf.DUMMYFUNCTION("""COMPUTED_VALUE"""),1.0)</f>
        <v>1</v>
      </c>
      <c r="Y10" s="20">
        <f>IFERROR(__xludf.DUMMYFUNCTION("""COMPUTED_VALUE"""),-2.6906311168270207)</f>
        <v>-2.690631117</v>
      </c>
      <c r="Z10" s="27">
        <f>IFERROR(__xludf.DUMMYFUNCTION("""COMPUTED_VALUE"""),-0.7290436328245834)</f>
        <v>-0.7290436328</v>
      </c>
      <c r="AA10" s="18">
        <f>IFERROR(__xludf.DUMMYFUNCTION("""COMPUTED_VALUE"""),15000.0)</f>
        <v>15000</v>
      </c>
      <c r="AB10" s="19">
        <f>IFERROR(__xludf.DUMMYFUNCTION("""COMPUTED_VALUE"""),59000.0)</f>
        <v>59000</v>
      </c>
      <c r="AC10" s="20">
        <f>IFERROR(__xludf.DUMMYFUNCTION("""COMPUTED_VALUE"""),44000.0)</f>
        <v>44000</v>
      </c>
      <c r="AD10" s="27">
        <f>IFERROR(__xludf.DUMMYFUNCTION("""COMPUTED_VALUE"""),2.933333333333333)</f>
        <v>2.933333333</v>
      </c>
      <c r="AE10" s="18">
        <f>IFERROR(__xludf.DUMMYFUNCTION("""COMPUTED_VALUE"""),52107.09808070149)</f>
        <v>52107.09808</v>
      </c>
      <c r="AF10" s="19">
        <f>IFERROR(__xludf.DUMMYFUNCTION("""COMPUTED_VALUE"""),59000.0)</f>
        <v>59000</v>
      </c>
      <c r="AG10" s="20">
        <f>IFERROR(__xludf.DUMMYFUNCTION("""COMPUTED_VALUE"""),6892.901919298507)</f>
        <v>6892.901919</v>
      </c>
      <c r="AH10" s="28">
        <f>IFERROR(__xludf.DUMMYFUNCTION("""COMPUTED_VALUE"""),0.1322833581832372)</f>
        <v>0.1322833582</v>
      </c>
      <c r="AI10" s="29">
        <f>IFERROR(__xludf.DUMMYFUNCTION("""COMPUTED_VALUE"""),0.0)</f>
        <v>0</v>
      </c>
      <c r="AJ10" s="29">
        <f>IFERROR(__xludf.DUMMYFUNCTION("""COMPUTED_VALUE"""),59000.0)</f>
        <v>59000</v>
      </c>
      <c r="AK10" s="4">
        <f>IFERROR(__xludf.DUMMYFUNCTION("""COMPUTED_VALUE"""),1799.9999999999998)</f>
        <v>1800</v>
      </c>
      <c r="AL10" s="30">
        <f>IFERROR(__xludf.DUMMYFUNCTION("""COMPUTED_VALUE"""),8428.57142857143)</f>
        <v>8428.571429</v>
      </c>
      <c r="AM10" s="29">
        <f t="shared" si="1"/>
        <v>6628.571429</v>
      </c>
      <c r="AN10" s="31">
        <f t="shared" si="2"/>
        <v>3.682539683</v>
      </c>
      <c r="AO10" s="12">
        <f t="shared" si="3"/>
        <v>-8424</v>
      </c>
      <c r="AP10" s="12">
        <f t="shared" si="4"/>
        <v>46400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IFERROR(__xludf.DUMMYFUNCTION("""COMPUTED_VALUE"""),"Form G4 - K Instagram")</f>
        <v>Form G4 - K Instagram</v>
      </c>
      <c r="B11" s="18">
        <f>IFERROR(__xludf.DUMMYFUNCTION("""COMPUTED_VALUE"""),223.40322580645147)</f>
        <v>223.4032258</v>
      </c>
      <c r="C11" s="19">
        <f>IFERROR(__xludf.DUMMYFUNCTION("""COMPUTED_VALUE"""),151.0)</f>
        <v>151</v>
      </c>
      <c r="D11" s="20">
        <f>IFERROR(__xludf.DUMMYFUNCTION("""COMPUTED_VALUE"""),-72.40322580645147)</f>
        <v>-72.40322581</v>
      </c>
      <c r="E11" s="21">
        <f>IFERROR(__xludf.DUMMYFUNCTION("""COMPUTED_VALUE"""),-0.3240921233123958)</f>
        <v>-0.3240921233</v>
      </c>
      <c r="F11" s="22">
        <f>IFERROR(__xludf.DUMMYFUNCTION("""COMPUTED_VALUE"""),0.788229528314873)</f>
        <v>0.7882295283</v>
      </c>
      <c r="G11" s="22">
        <f>IFERROR(__xludf.DUMMYFUNCTION("""COMPUTED_VALUE"""),0.7748344370860927)</f>
        <v>0.7748344371</v>
      </c>
      <c r="H11" s="23">
        <f>IFERROR(__xludf.DUMMYFUNCTION("""COMPUTED_VALUE"""),-1.3395091228780354)</f>
        <v>-1.339509123</v>
      </c>
      <c r="I11" s="18">
        <f>IFERROR(__xludf.DUMMYFUNCTION("""COMPUTED_VALUE"""),176.0930193014403)</f>
        <v>176.0930193</v>
      </c>
      <c r="J11" s="19">
        <f>IFERROR(__xludf.DUMMYFUNCTION("""COMPUTED_VALUE"""),117.0)</f>
        <v>117</v>
      </c>
      <c r="K11" s="20">
        <f>IFERROR(__xludf.DUMMYFUNCTION("""COMPUTED_VALUE"""),-59.09301930144031)</f>
        <v>-59.0930193</v>
      </c>
      <c r="L11" s="21">
        <f>IFERROR(__xludf.DUMMYFUNCTION("""COMPUTED_VALUE"""),-0.3355784319893081)</f>
        <v>-0.335578432</v>
      </c>
      <c r="M11" s="24">
        <f>IFERROR(__xludf.DUMMYFUNCTION("""COMPUTED_VALUE"""),0.21)</f>
        <v>0.21</v>
      </c>
      <c r="N11" s="22">
        <f>IFERROR(__xludf.DUMMYFUNCTION("""COMPUTED_VALUE"""),0.05128205128205128)</f>
        <v>0.05128205128</v>
      </c>
      <c r="O11" s="25">
        <f>IFERROR(__xludf.DUMMYFUNCTION("""COMPUTED_VALUE"""),-15.87179487179487)</f>
        <v>-15.87179487</v>
      </c>
      <c r="P11" s="18">
        <f>IFERROR(__xludf.DUMMYFUNCTION("""COMPUTED_VALUE"""),33.966386834144515)</f>
        <v>33.96638683</v>
      </c>
      <c r="Q11" s="19">
        <f>IFERROR(__xludf.DUMMYFUNCTION("""COMPUTED_VALUE"""),6.0)</f>
        <v>6</v>
      </c>
      <c r="R11" s="20">
        <f>IFERROR(__xludf.DUMMYFUNCTION("""COMPUTED_VALUE"""),-27.966386834144515)</f>
        <v>-27.96638683</v>
      </c>
      <c r="S11" s="26">
        <f>IFERROR(__xludf.DUMMYFUNCTION("""COMPUTED_VALUE"""),-0.8233547763176113)</f>
        <v>-0.8233547763</v>
      </c>
      <c r="T11" s="22">
        <f>IFERROR(__xludf.DUMMYFUNCTION("""COMPUTED_VALUE"""),0.17)</f>
        <v>0.17</v>
      </c>
      <c r="U11" s="22">
        <f>IFERROR(__xludf.DUMMYFUNCTION("""COMPUTED_VALUE"""),0.3333333333333333)</f>
        <v>0.3333333333</v>
      </c>
      <c r="V11" s="23">
        <f>IFERROR(__xludf.DUMMYFUNCTION("""COMPUTED_VALUE"""),16.33333333333333)</f>
        <v>16.33333333</v>
      </c>
      <c r="W11" s="18">
        <f>IFERROR(__xludf.DUMMYFUNCTION("""COMPUTED_VALUE"""),5.774285761804568)</f>
        <v>5.774285762</v>
      </c>
      <c r="X11" s="19">
        <f>IFERROR(__xludf.DUMMYFUNCTION("""COMPUTED_VALUE"""),2.0)</f>
        <v>2</v>
      </c>
      <c r="Y11" s="20">
        <f>IFERROR(__xludf.DUMMYFUNCTION("""COMPUTED_VALUE"""),-3.7742857618045678)</f>
        <v>-3.774285762</v>
      </c>
      <c r="Z11" s="27">
        <f>IFERROR(__xludf.DUMMYFUNCTION("""COMPUTED_VALUE"""),-0.6536368163090418)</f>
        <v>-0.6536368163</v>
      </c>
      <c r="AA11" s="18">
        <f>IFERROR(__xludf.DUMMYFUNCTION("""COMPUTED_VALUE"""),9200.0)</f>
        <v>9200</v>
      </c>
      <c r="AB11" s="19">
        <f>IFERROR(__xludf.DUMMYFUNCTION("""COMPUTED_VALUE"""),9953.5)</f>
        <v>9953.5</v>
      </c>
      <c r="AC11" s="20">
        <f>IFERROR(__xludf.DUMMYFUNCTION("""COMPUTED_VALUE"""),753.5)</f>
        <v>753.5</v>
      </c>
      <c r="AD11" s="27">
        <f>IFERROR(__xludf.DUMMYFUNCTION("""COMPUTED_VALUE"""),0.08190217391304348)</f>
        <v>0.08190217391</v>
      </c>
      <c r="AE11" s="18">
        <f>IFERROR(__xludf.DUMMYFUNCTION("""COMPUTED_VALUE"""),50002.42755434664)</f>
        <v>50002.42755</v>
      </c>
      <c r="AF11" s="19">
        <f>IFERROR(__xludf.DUMMYFUNCTION("""COMPUTED_VALUE"""),19907.0)</f>
        <v>19907</v>
      </c>
      <c r="AG11" s="20">
        <f>IFERROR(__xludf.DUMMYFUNCTION("""COMPUTED_VALUE"""),-30095.427554346643)</f>
        <v>-30095.42755</v>
      </c>
      <c r="AH11" s="28">
        <f>IFERROR(__xludf.DUMMYFUNCTION("""COMPUTED_VALUE"""),-0.6018793291912982)</f>
        <v>-0.6018793292</v>
      </c>
      <c r="AI11" s="29">
        <f>IFERROR(__xludf.DUMMYFUNCTION("""COMPUTED_VALUE"""),0.0)</f>
        <v>0</v>
      </c>
      <c r="AJ11" s="29">
        <f>IFERROR(__xludf.DUMMYFUNCTION("""COMPUTED_VALUE"""),19907.0)</f>
        <v>19907</v>
      </c>
      <c r="AK11" s="4">
        <f>IFERROR(__xludf.DUMMYFUNCTION("""COMPUTED_VALUE"""),1564.0)</f>
        <v>1564</v>
      </c>
      <c r="AL11" s="30">
        <f>IFERROR(__xludf.DUMMYFUNCTION("""COMPUTED_VALUE"""),3317.8333333333335)</f>
        <v>3317.833333</v>
      </c>
      <c r="AM11" s="29">
        <f t="shared" si="1"/>
        <v>1753.833333</v>
      </c>
      <c r="AN11" s="31">
        <f t="shared" si="2"/>
        <v>1.121376812</v>
      </c>
      <c r="AO11" s="12">
        <f t="shared" si="3"/>
        <v>-29043.48</v>
      </c>
      <c r="AP11" s="12">
        <f t="shared" si="4"/>
        <v>10523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Incompleto Instagram")</f>
        <v>Form G4 Incompleto Instagram</v>
      </c>
      <c r="B12" s="18">
        <f>IFERROR(__xludf.DUMMYFUNCTION("""COMPUTED_VALUE"""),195.96774193548376)</f>
        <v>195.9677419</v>
      </c>
      <c r="C12" s="19">
        <f>IFERROR(__xludf.DUMMYFUNCTION("""COMPUTED_VALUE"""),150.0)</f>
        <v>150</v>
      </c>
      <c r="D12" s="20">
        <f>IFERROR(__xludf.DUMMYFUNCTION("""COMPUTED_VALUE"""),-45.96774193548376)</f>
        <v>-45.96774194</v>
      </c>
      <c r="E12" s="21">
        <f>IFERROR(__xludf.DUMMYFUNCTION("""COMPUTED_VALUE"""),-0.23456790123456747)</f>
        <v>-0.2345679012</v>
      </c>
      <c r="F12" s="22">
        <f>IFERROR(__xludf.DUMMYFUNCTION("""COMPUTED_VALUE"""),0.7238658777120316)</f>
        <v>0.7238658777</v>
      </c>
      <c r="G12" s="22">
        <f>IFERROR(__xludf.DUMMYFUNCTION("""COMPUTED_VALUE"""),0.76)</f>
        <v>0.76</v>
      </c>
      <c r="H12" s="23">
        <f>IFERROR(__xludf.DUMMYFUNCTION("""COMPUTED_VALUE"""),3.6134122287968418)</f>
        <v>3.613412229</v>
      </c>
      <c r="I12" s="18">
        <f>IFERROR(__xludf.DUMMYFUNCTION("""COMPUTED_VALUE"""),141.85436151937384)</f>
        <v>141.8543615</v>
      </c>
      <c r="J12" s="19">
        <f>IFERROR(__xludf.DUMMYFUNCTION("""COMPUTED_VALUE"""),114.0)</f>
        <v>114</v>
      </c>
      <c r="K12" s="20">
        <f>IFERROR(__xludf.DUMMYFUNCTION("""COMPUTED_VALUE"""),-27.85436151937384)</f>
        <v>-27.85436152</v>
      </c>
      <c r="L12" s="21">
        <f>IFERROR(__xludf.DUMMYFUNCTION("""COMPUTED_VALUE"""),-0.19635886567766628)</f>
        <v>-0.1963588657</v>
      </c>
      <c r="M12" s="24">
        <f>IFERROR(__xludf.DUMMYFUNCTION("""COMPUTED_VALUE"""),0.175)</f>
        <v>0.175</v>
      </c>
      <c r="N12" s="22">
        <f>IFERROR(__xludf.DUMMYFUNCTION("""COMPUTED_VALUE"""),0.12280701754385964)</f>
        <v>0.1228070175</v>
      </c>
      <c r="O12" s="25">
        <f>IFERROR(__xludf.DUMMYFUNCTION("""COMPUTED_VALUE"""),-5.219298245614034)</f>
        <v>-5.219298246</v>
      </c>
      <c r="P12" s="18">
        <f>IFERROR(__xludf.DUMMYFUNCTION("""COMPUTED_VALUE"""),22.801775147929)</f>
        <v>22.80177515</v>
      </c>
      <c r="Q12" s="19">
        <f>IFERROR(__xludf.DUMMYFUNCTION("""COMPUTED_VALUE"""),14.0)</f>
        <v>14</v>
      </c>
      <c r="R12" s="20">
        <f>IFERROR(__xludf.DUMMYFUNCTION("""COMPUTED_VALUE"""),-8.801775147929)</f>
        <v>-8.801775148</v>
      </c>
      <c r="S12" s="26">
        <f>IFERROR(__xludf.DUMMYFUNCTION("""COMPUTED_VALUE"""),-0.38601271571298834)</f>
        <v>-0.3860127157</v>
      </c>
      <c r="T12" s="22">
        <f>IFERROR(__xludf.DUMMYFUNCTION("""COMPUTED_VALUE"""),0.12)</f>
        <v>0.12</v>
      </c>
      <c r="U12" s="22">
        <f>IFERROR(__xludf.DUMMYFUNCTION("""COMPUTED_VALUE"""),0.21428571428571427)</f>
        <v>0.2142857143</v>
      </c>
      <c r="V12" s="23">
        <f>IFERROR(__xludf.DUMMYFUNCTION("""COMPUTED_VALUE"""),9.428571428571427)</f>
        <v>9.428571429</v>
      </c>
      <c r="W12" s="18">
        <f>IFERROR(__xludf.DUMMYFUNCTION("""COMPUTED_VALUE"""),2.7362130177514796)</f>
        <v>2.736213018</v>
      </c>
      <c r="X12" s="19">
        <f>IFERROR(__xludf.DUMMYFUNCTION("""COMPUTED_VALUE"""),3.0)</f>
        <v>3</v>
      </c>
      <c r="Y12" s="20">
        <f>IFERROR(__xludf.DUMMYFUNCTION("""COMPUTED_VALUE"""),0.2637869822485204)</f>
        <v>0.2637869822</v>
      </c>
      <c r="Z12" s="27">
        <f>IFERROR(__xludf.DUMMYFUNCTION("""COMPUTED_VALUE"""),0.09640586479823524)</f>
        <v>0.0964058648</v>
      </c>
      <c r="AA12" s="18">
        <f>IFERROR(__xludf.DUMMYFUNCTION("""COMPUTED_VALUE"""),17000.0)</f>
        <v>17000</v>
      </c>
      <c r="AB12" s="19">
        <f>IFERROR(__xludf.DUMMYFUNCTION("""COMPUTED_VALUE"""),19038.333333333332)</f>
        <v>19038.33333</v>
      </c>
      <c r="AC12" s="20">
        <f>IFERROR(__xludf.DUMMYFUNCTION("""COMPUTED_VALUE"""),2038.3333333333321)</f>
        <v>2038.333333</v>
      </c>
      <c r="AD12" s="27">
        <f>IFERROR(__xludf.DUMMYFUNCTION("""COMPUTED_VALUE"""),0.11990196078431366)</f>
        <v>0.1199019608</v>
      </c>
      <c r="AE12" s="18">
        <f>IFERROR(__xludf.DUMMYFUNCTION("""COMPUTED_VALUE"""),43782.82855029585)</f>
        <v>43782.82855</v>
      </c>
      <c r="AF12" s="19">
        <f>IFERROR(__xludf.DUMMYFUNCTION("""COMPUTED_VALUE"""),57115.0)</f>
        <v>57115</v>
      </c>
      <c r="AG12" s="20">
        <f>IFERROR(__xludf.DUMMYFUNCTION("""COMPUTED_VALUE"""),13332.171449704147)</f>
        <v>13332.17145</v>
      </c>
      <c r="AH12" s="28">
        <f>IFERROR(__xludf.DUMMYFUNCTION("""COMPUTED_VALUE"""),0.3045068555675592)</f>
        <v>0.3045068556</v>
      </c>
      <c r="AI12" s="29">
        <f>IFERROR(__xludf.DUMMYFUNCTION("""COMPUTED_VALUE"""),0.0)</f>
        <v>0</v>
      </c>
      <c r="AJ12" s="29">
        <f>IFERROR(__xludf.DUMMYFUNCTION("""COMPUTED_VALUE"""),57115.0)</f>
        <v>57115</v>
      </c>
      <c r="AK12" s="4">
        <f>IFERROR(__xludf.DUMMYFUNCTION("""COMPUTED_VALUE"""),2039.9999999999998)</f>
        <v>2040</v>
      </c>
      <c r="AL12" s="30">
        <f>IFERROR(__xludf.DUMMYFUNCTION("""COMPUTED_VALUE"""),4079.6428571428573)</f>
        <v>4079.642857</v>
      </c>
      <c r="AM12" s="29">
        <f t="shared" si="1"/>
        <v>2039.642857</v>
      </c>
      <c r="AN12" s="31">
        <f t="shared" si="2"/>
        <v>0.99982493</v>
      </c>
      <c r="AO12" s="12">
        <f t="shared" si="3"/>
        <v>-12138</v>
      </c>
      <c r="AP12" s="12">
        <f t="shared" si="4"/>
        <v>28555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18">
        <f>IFERROR(__xludf.DUMMYFUNCTION("""COMPUTED_VALUE"""),101.11935483870961)</f>
        <v>101.1193548</v>
      </c>
      <c r="C13" s="19">
        <f>IFERROR(__xludf.DUMMYFUNCTION("""COMPUTED_VALUE"""),48.0)</f>
        <v>48</v>
      </c>
      <c r="D13" s="20">
        <f>IFERROR(__xludf.DUMMYFUNCTION("""COMPUTED_VALUE"""),-53.11935483870961)</f>
        <v>-53.11935484</v>
      </c>
      <c r="E13" s="21">
        <f>IFERROR(__xludf.DUMMYFUNCTION("""COMPUTED_VALUE"""),-0.5253134271222123)</f>
        <v>-0.5253134271</v>
      </c>
      <c r="F13" s="22">
        <f>IFERROR(__xludf.DUMMYFUNCTION("""COMPUTED_VALUE"""),0.7002901485740028)</f>
        <v>0.7002901486</v>
      </c>
      <c r="G13" s="22">
        <f>IFERROR(__xludf.DUMMYFUNCTION("""COMPUTED_VALUE"""),0.7916666666666666)</f>
        <v>0.7916666667</v>
      </c>
      <c r="H13" s="23">
        <f>IFERROR(__xludf.DUMMYFUNCTION("""COMPUTED_VALUE"""),9.137651809266378)</f>
        <v>9.137651809</v>
      </c>
      <c r="I13" s="18">
        <f>IFERROR(__xludf.DUMMYFUNCTION("""COMPUTED_VALUE"""),70.81288802370726)</f>
        <v>70.81288802</v>
      </c>
      <c r="J13" s="19">
        <f>IFERROR(__xludf.DUMMYFUNCTION("""COMPUTED_VALUE"""),38.0)</f>
        <v>38</v>
      </c>
      <c r="K13" s="20">
        <f>IFERROR(__xludf.DUMMYFUNCTION("""COMPUTED_VALUE"""),-32.81288802370726)</f>
        <v>-32.81288802</v>
      </c>
      <c r="L13" s="21">
        <f>IFERROR(__xludf.DUMMYFUNCTION("""COMPUTED_VALUE"""),-0.46337452036586785)</f>
        <v>-0.4633745204</v>
      </c>
      <c r="M13" s="24">
        <f>IFERROR(__xludf.DUMMYFUNCTION("""COMPUTED_VALUE"""),0.22)</f>
        <v>0.22</v>
      </c>
      <c r="N13" s="22">
        <f>IFERROR(__xludf.DUMMYFUNCTION("""COMPUTED_VALUE"""),0.10526315789473684)</f>
        <v>0.1052631579</v>
      </c>
      <c r="O13" s="25">
        <f>IFERROR(__xludf.DUMMYFUNCTION("""COMPUTED_VALUE"""),-11.473684210526317)</f>
        <v>-11.47368421</v>
      </c>
      <c r="P13" s="18">
        <f>IFERROR(__xludf.DUMMYFUNCTION("""COMPUTED_VALUE"""),14.309448779901746)</f>
        <v>14.30944878</v>
      </c>
      <c r="Q13" s="19">
        <f>IFERROR(__xludf.DUMMYFUNCTION("""COMPUTED_VALUE"""),4.0)</f>
        <v>4</v>
      </c>
      <c r="R13" s="20">
        <f>IFERROR(__xludf.DUMMYFUNCTION("""COMPUTED_VALUE"""),-10.309448779901746)</f>
        <v>-10.30944878</v>
      </c>
      <c r="S13" s="26">
        <f>IFERROR(__xludf.DUMMYFUNCTION("""COMPUTED_VALUE"""),-0.7204644244844584)</f>
        <v>-0.7204644245</v>
      </c>
      <c r="T13" s="22">
        <f>IFERROR(__xludf.DUMMYFUNCTION("""COMPUTED_VALUE"""),0.155)</f>
        <v>0.155</v>
      </c>
      <c r="U13" s="22">
        <f>IFERROR(__xludf.DUMMYFUNCTION("""COMPUTED_VALUE"""),0.0)</f>
        <v>0</v>
      </c>
      <c r="V13" s="23">
        <f>IFERROR(__xludf.DUMMYFUNCTION("""COMPUTED_VALUE"""),-15.5)</f>
        <v>-15.5</v>
      </c>
      <c r="W13" s="18">
        <f>IFERROR(__xludf.DUMMYFUNCTION("""COMPUTED_VALUE"""),2.21796456088477)</f>
        <v>2.217964561</v>
      </c>
      <c r="X13" s="19">
        <f>IFERROR(__xludf.DUMMYFUNCTION("""COMPUTED_VALUE"""),0.0)</f>
        <v>0</v>
      </c>
      <c r="Y13" s="20">
        <f>IFERROR(__xludf.DUMMYFUNCTION("""COMPUTED_VALUE"""),-2.21796456088477)</f>
        <v>-2.217964561</v>
      </c>
      <c r="Z13" s="27">
        <f>IFERROR(__xludf.DUMMYFUNCTION("""COMPUTED_VALUE"""),-1.0)</f>
        <v>-1</v>
      </c>
      <c r="AA13" s="18">
        <f>IFERROR(__xludf.DUMMYFUNCTION("""COMPUTED_VALUE"""),13000.0)</f>
        <v>13000</v>
      </c>
      <c r="AB13" s="19">
        <f>IFERROR(__xludf.DUMMYFUNCTION("""COMPUTED_VALUE"""),0.0)</f>
        <v>0</v>
      </c>
      <c r="AC13" s="20">
        <f>IFERROR(__xludf.DUMMYFUNCTION("""COMPUTED_VALUE"""),-13000.0)</f>
        <v>-13000</v>
      </c>
      <c r="AD13" s="27">
        <f>IFERROR(__xludf.DUMMYFUNCTION("""COMPUTED_VALUE"""),-1.0)</f>
        <v>-1</v>
      </c>
      <c r="AE13" s="18">
        <f>IFERROR(__xludf.DUMMYFUNCTION("""COMPUTED_VALUE"""),27139.568858126262)</f>
        <v>27139.56886</v>
      </c>
      <c r="AF13" s="19">
        <f>IFERROR(__xludf.DUMMYFUNCTION("""COMPUTED_VALUE"""),0.0)</f>
        <v>0</v>
      </c>
      <c r="AG13" s="20">
        <f>IFERROR(__xludf.DUMMYFUNCTION("""COMPUTED_VALUE"""),-27139.568858126262)</f>
        <v>-27139.56886</v>
      </c>
      <c r="AH13" s="28">
        <f>IFERROR(__xludf.DUMMYFUNCTION("""COMPUTED_VALUE"""),-1.0)</f>
        <v>-1</v>
      </c>
      <c r="AI13" s="29">
        <f>IFERROR(__xludf.DUMMYFUNCTION("""COMPUTED_VALUE"""),0.0)</f>
        <v>0</v>
      </c>
      <c r="AJ13" s="29">
        <f>IFERROR(__xludf.DUMMYFUNCTION("""COMPUTED_VALUE"""),0.0)</f>
        <v>0</v>
      </c>
      <c r="AK13" s="4">
        <f>IFERROR(__xludf.DUMMYFUNCTION("""COMPUTED_VALUE"""),2014.9999999999995)</f>
        <v>2015</v>
      </c>
      <c r="AL13" s="30">
        <f>IFERROR(__xludf.DUMMYFUNCTION("""COMPUTED_VALUE"""),0.0)</f>
        <v>0</v>
      </c>
      <c r="AM13" s="29">
        <f t="shared" si="1"/>
        <v>-2015</v>
      </c>
      <c r="AN13" s="31">
        <f t="shared" si="2"/>
        <v>-1</v>
      </c>
      <c r="AO13" s="12">
        <f t="shared" si="3"/>
        <v>-8785.4</v>
      </c>
      <c r="AP13" s="12">
        <f t="shared" si="4"/>
        <v>-8060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IFERROR(__xludf.DUMMYFUNCTION("""COMPUTED_VALUE"""),"[SKL] Chat")</f>
        <v>[SKL] Chat</v>
      </c>
      <c r="B14" s="18">
        <f>IFERROR(__xludf.DUMMYFUNCTION("""COMPUTED_VALUE"""),21.774193548387082)</f>
        <v>21.77419355</v>
      </c>
      <c r="C14" s="19">
        <f>IFERROR(__xludf.DUMMYFUNCTION("""COMPUTED_VALUE"""),26.0)</f>
        <v>26</v>
      </c>
      <c r="D14" s="20">
        <f>IFERROR(__xludf.DUMMYFUNCTION("""COMPUTED_VALUE"""),4.225806451612918)</f>
        <v>4.225806452</v>
      </c>
      <c r="E14" s="21">
        <f>IFERROR(__xludf.DUMMYFUNCTION("""COMPUTED_VALUE"""),0.1940740740740749)</f>
        <v>0.1940740741</v>
      </c>
      <c r="F14" s="22">
        <f>IFERROR(__xludf.DUMMYFUNCTION("""COMPUTED_VALUE"""),0.6373961038961039)</f>
        <v>0.6373961039</v>
      </c>
      <c r="G14" s="22">
        <f>IFERROR(__xludf.DUMMYFUNCTION("""COMPUTED_VALUE"""),0.5384615384615384)</f>
        <v>0.5384615385</v>
      </c>
      <c r="H14" s="23">
        <f>IFERROR(__xludf.DUMMYFUNCTION("""COMPUTED_VALUE"""),-9.893456543456548)</f>
        <v>-9.893456543</v>
      </c>
      <c r="I14" s="18">
        <f>IFERROR(__xludf.DUMMYFUNCTION("""COMPUTED_VALUE"""),13.878786133221608)</f>
        <v>13.87878613</v>
      </c>
      <c r="J14" s="19">
        <f>IFERROR(__xludf.DUMMYFUNCTION("""COMPUTED_VALUE"""),14.0)</f>
        <v>14</v>
      </c>
      <c r="K14" s="20">
        <f>IFERROR(__xludf.DUMMYFUNCTION("""COMPUTED_VALUE"""),0.12121386677839219)</f>
        <v>0.1212138668</v>
      </c>
      <c r="L14" s="21">
        <f>IFERROR(__xludf.DUMMYFUNCTION("""COMPUTED_VALUE"""),0.00873375132485419)</f>
        <v>0.008733751325</v>
      </c>
      <c r="M14" s="24">
        <f>IFERROR(__xludf.DUMMYFUNCTION("""COMPUTED_VALUE"""),0.35)</f>
        <v>0.35</v>
      </c>
      <c r="N14" s="22">
        <f>IFERROR(__xludf.DUMMYFUNCTION("""COMPUTED_VALUE"""),0.6428571428571429)</f>
        <v>0.6428571429</v>
      </c>
      <c r="O14" s="25">
        <f>IFERROR(__xludf.DUMMYFUNCTION("""COMPUTED_VALUE"""),29.285714285714292)</f>
        <v>29.28571429</v>
      </c>
      <c r="P14" s="18">
        <f>IFERROR(__xludf.DUMMYFUNCTION("""COMPUTED_VALUE"""),4.461772727272728)</f>
        <v>4.461772727</v>
      </c>
      <c r="Q14" s="19">
        <f>IFERROR(__xludf.DUMMYFUNCTION("""COMPUTED_VALUE"""),9.0)</f>
        <v>9</v>
      </c>
      <c r="R14" s="20">
        <f>IFERROR(__xludf.DUMMYFUNCTION("""COMPUTED_VALUE"""),4.538227272727272)</f>
        <v>4.538227273</v>
      </c>
      <c r="S14" s="26">
        <f>IFERROR(__xludf.DUMMYFUNCTION("""COMPUTED_VALUE"""),1.0171354638902186)</f>
        <v>1.017135464</v>
      </c>
      <c r="T14" s="22">
        <f>IFERROR(__xludf.DUMMYFUNCTION("""COMPUTED_VALUE"""),0.35)</f>
        <v>0.35</v>
      </c>
      <c r="U14" s="22">
        <f>IFERROR(__xludf.DUMMYFUNCTION("""COMPUTED_VALUE"""),0.1111111111111111)</f>
        <v>0.1111111111</v>
      </c>
      <c r="V14" s="23">
        <f>IFERROR(__xludf.DUMMYFUNCTION("""COMPUTED_VALUE"""),-23.888888888888886)</f>
        <v>-23.88888889</v>
      </c>
      <c r="W14" s="18">
        <f>IFERROR(__xludf.DUMMYFUNCTION("""COMPUTED_VALUE"""),1.5616204545454546)</f>
        <v>1.561620455</v>
      </c>
      <c r="X14" s="19">
        <f>IFERROR(__xludf.DUMMYFUNCTION("""COMPUTED_VALUE"""),1.0)</f>
        <v>1</v>
      </c>
      <c r="Y14" s="20">
        <f>IFERROR(__xludf.DUMMYFUNCTION("""COMPUTED_VALUE"""),-0.5616204545454546)</f>
        <v>-0.5616204545</v>
      </c>
      <c r="Z14" s="27">
        <f>IFERROR(__xludf.DUMMYFUNCTION("""COMPUTED_VALUE"""),-0.3596395352729464)</f>
        <v>-0.3596395353</v>
      </c>
      <c r="AA14" s="18">
        <f>IFERROR(__xludf.DUMMYFUNCTION("""COMPUTED_VALUE"""),12000.0)</f>
        <v>12000</v>
      </c>
      <c r="AB14" s="19">
        <f>IFERROR(__xludf.DUMMYFUNCTION("""COMPUTED_VALUE"""),59900.0)</f>
        <v>59900</v>
      </c>
      <c r="AC14" s="20">
        <f>IFERROR(__xludf.DUMMYFUNCTION("""COMPUTED_VALUE"""),47900.0)</f>
        <v>47900</v>
      </c>
      <c r="AD14" s="27">
        <f>IFERROR(__xludf.DUMMYFUNCTION("""COMPUTED_VALUE"""),3.9916666666666667)</f>
        <v>3.991666667</v>
      </c>
      <c r="AE14" s="18">
        <f>IFERROR(__xludf.DUMMYFUNCTION("""COMPUTED_VALUE"""),17638.503034090907)</f>
        <v>17638.50303</v>
      </c>
      <c r="AF14" s="19">
        <f>IFERROR(__xludf.DUMMYFUNCTION("""COMPUTED_VALUE"""),59900.0)</f>
        <v>59900</v>
      </c>
      <c r="AG14" s="20">
        <f>IFERROR(__xludf.DUMMYFUNCTION("""COMPUTED_VALUE"""),42261.49696590909)</f>
        <v>42261.49697</v>
      </c>
      <c r="AH14" s="28">
        <f>IFERROR(__xludf.DUMMYFUNCTION("""COMPUTED_VALUE"""),2.395979799659187)</f>
        <v>2.3959798</v>
      </c>
      <c r="AI14" s="29">
        <f>IFERROR(__xludf.DUMMYFUNCTION("""COMPUTED_VALUE"""),0.0)</f>
        <v>0</v>
      </c>
      <c r="AJ14" s="29">
        <f>IFERROR(__xludf.DUMMYFUNCTION("""COMPUTED_VALUE"""),59900.0)</f>
        <v>59900</v>
      </c>
      <c r="AK14" s="4">
        <f>IFERROR(__xludf.DUMMYFUNCTION("""COMPUTED_VALUE"""),4200.0)</f>
        <v>4200</v>
      </c>
      <c r="AL14" s="30">
        <f>IFERROR(__xludf.DUMMYFUNCTION("""COMPUTED_VALUE"""),6655.555555555556)</f>
        <v>6655.555556</v>
      </c>
      <c r="AM14" s="29">
        <f t="shared" si="1"/>
        <v>2455.555556</v>
      </c>
      <c r="AN14" s="31">
        <f t="shared" si="2"/>
        <v>0.5846560847</v>
      </c>
      <c r="AO14" s="12">
        <f t="shared" si="3"/>
        <v>17220</v>
      </c>
      <c r="AP14" s="12">
        <f t="shared" si="4"/>
        <v>22100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IFERROR(__xludf.DUMMYFUNCTION("""COMPUTED_VALUE"""),"[IM] Form G4 Facebook Ads - K")</f>
        <v>[IM] Form G4 Facebook Ads - K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IFERROR(__xludf.DUMMYFUNCTION("""COMPUTED_VALUE"""),0.0)</f>
        <v>0</v>
      </c>
      <c r="V15" s="23" t="str">
        <f>IFERROR(__xludf.DUMMYFUNCTION("""COMPUTED_VALUE"""),"")</f>
        <v/>
      </c>
      <c r="W15" s="18"/>
      <c r="X15" s="19">
        <f>IFERROR(__xludf.DUMMYFUNCTION("""COMPUTED_VALUE"""),0.0)</f>
        <v>0</v>
      </c>
      <c r="Y15" s="20">
        <f>IFERROR(__xludf.DUMMYFUNCTION("""COMPUTED_VALUE"""),0.0)</f>
        <v>0</v>
      </c>
      <c r="Z15" s="27" t="str">
        <f>IFERROR(__xludf.DUMMYFUNCTION("""COMPUTED_VALUE"""),"")</f>
        <v/>
      </c>
      <c r="AA15" s="18"/>
      <c r="AB15" s="19">
        <f>IFERROR(__xludf.DUMMYFUNCTION("""COMPUTED_VALUE"""),0.0)</f>
        <v>0</v>
      </c>
      <c r="AC15" s="20">
        <f>IFERROR(__xludf.DUMMYFUNCTION("""COMPUTED_VALUE"""),0.0)</f>
        <v>0</v>
      </c>
      <c r="AD15" s="27" t="str">
        <f>IFERROR(__xludf.DUMMYFUNCTION("""COMPUTED_VALUE"""),"")</f>
        <v/>
      </c>
      <c r="AE15" s="18"/>
      <c r="AF15" s="19">
        <f>IFERROR(__xludf.DUMMYFUNCTION("""COMPUTED_VALUE"""),0.0)</f>
        <v>0</v>
      </c>
      <c r="AG15" s="20">
        <f>IFERROR(__xludf.DUMMYFUNCTION("""COMPUTED_VALUE"""),0.0)</f>
        <v>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IFERROR(__xludf.DUMMYFUNCTION("""COMPUTED_VALUE"""),0.0)</f>
        <v>0</v>
      </c>
      <c r="AM15" s="29">
        <f t="shared" si="1"/>
        <v>0</v>
      </c>
      <c r="AN15" s="31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IFERROR(__xludf.DUMMYFUNCTION("""COMPUTED_VALUE"""),"[IM] Link de Indicação")</f>
        <v>[IM] Link de Indicação</v>
      </c>
      <c r="B16" s="18"/>
      <c r="C16" s="19">
        <f>IFERROR(__xludf.DUMMYFUNCTION("""COMPUTED_VALUE"""),0.0)</f>
        <v>0</v>
      </c>
      <c r="D16" s="20">
        <f>IFERROR(__xludf.DUMMYFUNCTION("""COMPUTED_VALUE"""),0.0)</f>
        <v>0</v>
      </c>
      <c r="E16" s="21" t="str">
        <f>IFERROR(__xludf.DUMMYFUNCTION("""COMPUTED_VALUE"""),"")</f>
        <v/>
      </c>
      <c r="F16" s="22"/>
      <c r="G16" s="22" t="str">
        <f>IFERROR(__xludf.DUMMYFUNCTION("""COMPUTED_VALUE"""),"")</f>
        <v/>
      </c>
      <c r="H16" s="23" t="str">
        <f>IFERROR(__xludf.DUMMYFUNCTION("""COMPUTED_VALUE"""),"")</f>
        <v/>
      </c>
      <c r="I16" s="18"/>
      <c r="J16" s="19">
        <f>IFERROR(__xludf.DUMMYFUNCTION("""COMPUTED_VALUE"""),0.0)</f>
        <v>0</v>
      </c>
      <c r="K16" s="20">
        <f>IFERROR(__xludf.DUMMYFUNCTION("""COMPUTED_VALUE"""),0.0)</f>
        <v>0</v>
      </c>
      <c r="L16" s="21" t="str">
        <f>IFERROR(__xludf.DUMMYFUNCTION("""COMPUTED_VALUE"""),"")</f>
        <v/>
      </c>
      <c r="M16" s="24"/>
      <c r="N16" s="22" t="str">
        <f>IFERROR(__xludf.DUMMYFUNCTION("""COMPUTED_VALUE"""),"")</f>
        <v/>
      </c>
      <c r="O16" s="25" t="str">
        <f>IFERROR(__xludf.DUMMYFUNCTION("""COMPUTED_VALUE"""),"")</f>
        <v/>
      </c>
      <c r="P16" s="18"/>
      <c r="Q16" s="19">
        <f>IFERROR(__xludf.DUMMYFUNCTION("""COMPUTED_VALUE"""),2.0)</f>
        <v>2</v>
      </c>
      <c r="R16" s="20">
        <f>IFERROR(__xludf.DUMMYFUNCTION("""COMPUTED_VALUE"""),2.0)</f>
        <v>2</v>
      </c>
      <c r="S16" s="26" t="str">
        <f>IFERROR(__xludf.DUMMYFUNCTION("""COMPUTED_VALUE"""),"")</f>
        <v/>
      </c>
      <c r="T16" s="22"/>
      <c r="U16" s="22">
        <f>IFERROR(__xludf.DUMMYFUNCTION("""COMPUTED_VALUE"""),0.0)</f>
        <v>0</v>
      </c>
      <c r="V16" s="23" t="str">
        <f>IFERROR(__xludf.DUMMYFUNCTION("""COMPUTED_VALUE"""),"")</f>
        <v/>
      </c>
      <c r="W16" s="18"/>
      <c r="X16" s="19">
        <f>IFERROR(__xludf.DUMMYFUNCTION("""COMPUTED_VALUE"""),0.0)</f>
        <v>0</v>
      </c>
      <c r="Y16" s="20">
        <f>IFERROR(__xludf.DUMMYFUNCTION("""COMPUTED_VALUE"""),0.0)</f>
        <v>0</v>
      </c>
      <c r="Z16" s="27" t="str">
        <f>IFERROR(__xludf.DUMMYFUNCTION("""COMPUTED_VALUE"""),"")</f>
        <v/>
      </c>
      <c r="AA16" s="18"/>
      <c r="AB16" s="19">
        <f>IFERROR(__xludf.DUMMYFUNCTION("""COMPUTED_VALUE"""),0.0)</f>
        <v>0</v>
      </c>
      <c r="AC16" s="20">
        <f>IFERROR(__xludf.DUMMYFUNCTION("""COMPUTED_VALUE"""),0.0)</f>
        <v>0</v>
      </c>
      <c r="AD16" s="27" t="str">
        <f>IFERROR(__xludf.DUMMYFUNCTION("""COMPUTED_VALUE"""),"")</f>
        <v/>
      </c>
      <c r="AE16" s="18"/>
      <c r="AF16" s="19">
        <f>IFERROR(__xludf.DUMMYFUNCTION("""COMPUTED_VALUE"""),0.0)</f>
        <v>0</v>
      </c>
      <c r="AG16" s="20">
        <f>IFERROR(__xludf.DUMMYFUNCTION("""COMPUTED_VALUE"""),0.0)</f>
        <v>0</v>
      </c>
      <c r="AH16" s="28" t="str">
        <f>IFERROR(__xludf.DUMMYFUNCTION("""COMPUTED_VALUE"""),"")</f>
        <v/>
      </c>
      <c r="AI16" s="29">
        <f>IFERROR(__xludf.DUMMYFUNCTION("""COMPUTED_VALUE"""),0.0)</f>
        <v>0</v>
      </c>
      <c r="AJ16" s="29">
        <f>IFERROR(__xludf.DUMMYFUNCTION("""COMPUTED_VALUE"""),0.0)</f>
        <v>0</v>
      </c>
      <c r="AK16" s="4"/>
      <c r="AL16" s="30">
        <f>IFERROR(__xludf.DUMMYFUNCTION("""COMPUTED_VALUE"""),0.0)</f>
        <v>0</v>
      </c>
      <c r="AM16" s="29">
        <f t="shared" si="1"/>
        <v>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IFERROR(__xludf.DUMMYFUNCTION("""COMPUTED_VALUE"""),"[ON] Abandono de carrinho")</f>
        <v>[ON] Abandono de carrinho</v>
      </c>
      <c r="B17" s="18"/>
      <c r="C17" s="19">
        <f>IFERROR(__xludf.DUMMYFUNCTION("""COMPUTED_VALUE"""),0.0)</f>
        <v>0</v>
      </c>
      <c r="D17" s="20">
        <f>IFERROR(__xludf.DUMMYFUNCTION("""COMPUTED_VALUE"""),0.0)</f>
        <v>0</v>
      </c>
      <c r="E17" s="21" t="str">
        <f>IFERROR(__xludf.DUMMYFUNCTION("""COMPUTED_VALUE"""),"")</f>
        <v/>
      </c>
      <c r="F17" s="22"/>
      <c r="G17" s="22" t="str">
        <f>IFERROR(__xludf.DUMMYFUNCTION("""COMPUTED_VALUE"""),"")</f>
        <v/>
      </c>
      <c r="H17" s="23" t="str">
        <f>IFERROR(__xludf.DUMMYFUNCTION("""COMPUTED_VALUE"""),"")</f>
        <v/>
      </c>
      <c r="I17" s="18"/>
      <c r="J17" s="19">
        <f>IFERROR(__xludf.DUMMYFUNCTION("""COMPUTED_VALUE"""),0.0)</f>
        <v>0</v>
      </c>
      <c r="K17" s="20">
        <f>IFERROR(__xludf.DUMMYFUNCTION("""COMPUTED_VALUE"""),0.0)</f>
        <v>0</v>
      </c>
      <c r="L17" s="21" t="str">
        <f>IFERROR(__xludf.DUMMYFUNCTION("""COMPUTED_VALUE"""),"")</f>
        <v/>
      </c>
      <c r="M17" s="24"/>
      <c r="N17" s="22" t="str">
        <f>IFERROR(__xludf.DUMMYFUNCTION("""COMPUTED_VALUE"""),"")</f>
        <v/>
      </c>
      <c r="O17" s="25" t="str">
        <f>IFERROR(__xludf.DUMMYFUNCTION("""COMPUTED_VALUE"""),"")</f>
        <v/>
      </c>
      <c r="P17" s="18"/>
      <c r="Q17" s="19">
        <f>IFERROR(__xludf.DUMMYFUNCTION("""COMPUTED_VALUE"""),1.0)</f>
        <v>1</v>
      </c>
      <c r="R17" s="20">
        <f>IFERROR(__xludf.DUMMYFUNCTION("""COMPUTED_VALUE"""),1.0)</f>
        <v>1</v>
      </c>
      <c r="S17" s="26" t="str">
        <f>IFERROR(__xludf.DUMMYFUNCTION("""COMPUTED_VALUE"""),"")</f>
        <v/>
      </c>
      <c r="T17" s="22"/>
      <c r="U17" s="22">
        <f>IFERROR(__xludf.DUMMYFUNCTION("""COMPUTED_VALUE"""),0.0)</f>
        <v>0</v>
      </c>
      <c r="V17" s="23" t="str">
        <f>IFERROR(__xludf.DUMMYFUNCTION("""COMPUTED_VALUE"""),"")</f>
        <v/>
      </c>
      <c r="W17" s="18"/>
      <c r="X17" s="19">
        <f>IFERROR(__xludf.DUMMYFUNCTION("""COMPUTED_VALUE"""),0.0)</f>
        <v>0</v>
      </c>
      <c r="Y17" s="20">
        <f>IFERROR(__xludf.DUMMYFUNCTION("""COMPUTED_VALUE"""),0.0)</f>
        <v>0</v>
      </c>
      <c r="Z17" s="27" t="str">
        <f>IFERROR(__xludf.DUMMYFUNCTION("""COMPUTED_VALUE"""),"")</f>
        <v/>
      </c>
      <c r="AA17" s="18"/>
      <c r="AB17" s="19">
        <f>IFERROR(__xludf.DUMMYFUNCTION("""COMPUTED_VALUE"""),0.0)</f>
        <v>0</v>
      </c>
      <c r="AC17" s="20">
        <f>IFERROR(__xludf.DUMMYFUNCTION("""COMPUTED_VALUE"""),0.0)</f>
        <v>0</v>
      </c>
      <c r="AD17" s="27" t="str">
        <f>IFERROR(__xludf.DUMMYFUNCTION("""COMPUTED_VALUE"""),"")</f>
        <v/>
      </c>
      <c r="AE17" s="18"/>
      <c r="AF17" s="19">
        <f>IFERROR(__xludf.DUMMYFUNCTION("""COMPUTED_VALUE"""),0.0)</f>
        <v>0</v>
      </c>
      <c r="AG17" s="20">
        <f>IFERROR(__xludf.DUMMYFUNCTION("""COMPUTED_VALUE"""),0.0)</f>
        <v>0</v>
      </c>
      <c r="AH17" s="28" t="str">
        <f>IFERROR(__xludf.DUMMYFUNCTION("""COMPUTED_VALUE"""),"")</f>
        <v/>
      </c>
      <c r="AI17" s="29">
        <f>IFERROR(__xludf.DUMMYFUNCTION("""COMPUTED_VALUE"""),0.0)</f>
        <v>0</v>
      </c>
      <c r="AJ17" s="29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IFERROR(__xludf.DUMMYFUNCTION("""COMPUTED_VALUE"""),"[ON] Form G4")</f>
        <v>[ON] Form G4</v>
      </c>
      <c r="B18" s="18"/>
      <c r="C18" s="19">
        <f>IFERROR(__xludf.DUMMYFUNCTION("""COMPUTED_VALUE"""),0.0)</f>
        <v>0</v>
      </c>
      <c r="D18" s="20">
        <f>IFERROR(__xludf.DUMMYFUNCTION("""COMPUTED_VALUE"""),0.0)</f>
        <v>0</v>
      </c>
      <c r="E18" s="21" t="str">
        <f>IFERROR(__xludf.DUMMYFUNCTION("""COMPUTED_VALUE"""),"")</f>
        <v/>
      </c>
      <c r="F18" s="22"/>
      <c r="G18" s="22" t="str">
        <f>IFERROR(__xludf.DUMMYFUNCTION("""COMPUTED_VALUE"""),"")</f>
        <v/>
      </c>
      <c r="H18" s="23" t="str">
        <f>IFERROR(__xludf.DUMMYFUNCTION("""COMPUTED_VALUE"""),"")</f>
        <v/>
      </c>
      <c r="I18" s="18"/>
      <c r="J18" s="19">
        <f>IFERROR(__xludf.DUMMYFUNCTION("""COMPUTED_VALUE"""),0.0)</f>
        <v>0</v>
      </c>
      <c r="K18" s="20">
        <f>IFERROR(__xludf.DUMMYFUNCTION("""COMPUTED_VALUE"""),0.0)</f>
        <v>0</v>
      </c>
      <c r="L18" s="21" t="str">
        <f>IFERROR(__xludf.DUMMYFUNCTION("""COMPUTED_VALUE"""),"")</f>
        <v/>
      </c>
      <c r="M18" s="24"/>
      <c r="N18" s="22" t="str">
        <f>IFERROR(__xludf.DUMMYFUNCTION("""COMPUTED_VALUE"""),"")</f>
        <v/>
      </c>
      <c r="O18" s="25" t="str">
        <f>IFERROR(__xludf.DUMMYFUNCTION("""COMPUTED_VALUE"""),"")</f>
        <v/>
      </c>
      <c r="P18" s="18"/>
      <c r="Q18" s="19">
        <f>IFERROR(__xludf.DUMMYFUNCTION("""COMPUTED_VALUE"""),3.0)</f>
        <v>3</v>
      </c>
      <c r="R18" s="20">
        <f>IFERROR(__xludf.DUMMYFUNCTION("""COMPUTED_VALUE"""),3.0)</f>
        <v>3</v>
      </c>
      <c r="S18" s="26" t="str">
        <f>IFERROR(__xludf.DUMMYFUNCTION("""COMPUTED_VALUE"""),"")</f>
        <v/>
      </c>
      <c r="T18" s="22"/>
      <c r="U18" s="22">
        <f>IFERROR(__xludf.DUMMYFUNCTION("""COMPUTED_VALUE"""),0.0)</f>
        <v>0</v>
      </c>
      <c r="V18" s="23" t="str">
        <f>IFERROR(__xludf.DUMMYFUNCTION("""COMPUTED_VALUE"""),"")</f>
        <v/>
      </c>
      <c r="W18" s="18"/>
      <c r="X18" s="19">
        <f>IFERROR(__xludf.DUMMYFUNCTION("""COMPUTED_VALUE"""),0.0)</f>
        <v>0</v>
      </c>
      <c r="Y18" s="20">
        <f>IFERROR(__xludf.DUMMYFUNCTION("""COMPUTED_VALUE"""),0.0)</f>
        <v>0</v>
      </c>
      <c r="Z18" s="27" t="str">
        <f>IFERROR(__xludf.DUMMYFUNCTION("""COMPUTED_VALUE"""),"")</f>
        <v/>
      </c>
      <c r="AA18" s="18"/>
      <c r="AB18" s="19">
        <f>IFERROR(__xludf.DUMMYFUNCTION("""COMPUTED_VALUE"""),0.0)</f>
        <v>0</v>
      </c>
      <c r="AC18" s="20">
        <f>IFERROR(__xludf.DUMMYFUNCTION("""COMPUTED_VALUE"""),0.0)</f>
        <v>0</v>
      </c>
      <c r="AD18" s="27" t="str">
        <f>IFERROR(__xludf.DUMMYFUNCTION("""COMPUTED_VALUE"""),"")</f>
        <v/>
      </c>
      <c r="AE18" s="18"/>
      <c r="AF18" s="19">
        <f>IFERROR(__xludf.DUMMYFUNCTION("""COMPUTED_VALUE"""),0.0)</f>
        <v>0</v>
      </c>
      <c r="AG18" s="20">
        <f>IFERROR(__xludf.DUMMYFUNCTION("""COMPUTED_VALUE"""),0.0)</f>
        <v>0</v>
      </c>
      <c r="AH18" s="28" t="str">
        <f>IFERROR(__xludf.DUMMYFUNCTION("""COMPUTED_VALUE"""),"")</f>
        <v/>
      </c>
      <c r="AI18" s="29">
        <f>IFERROR(__xludf.DUMMYFUNCTION("""COMPUTED_VALUE"""),0.0)</f>
        <v>0</v>
      </c>
      <c r="AJ18" s="29">
        <f>IFERROR(__xludf.DUMMYFUNCTION("""COMPUTED_VALUE"""),0.0)</f>
        <v>0</v>
      </c>
      <c r="AK18" s="4"/>
      <c r="AL18" s="4">
        <f>IFERROR(__xludf.DUMMYFUNCTION("""COMPUTED_VALUE"""),0.0)</f>
        <v>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 t="str">
        <f>IFERROR(__xludf.DUMMYFUNCTION("""COMPUTED_VALUE"""),"[SKL] Midia Paga - Morno")</f>
        <v>[SKL] Midia Paga - Morno</v>
      </c>
      <c r="B19" s="18"/>
      <c r="C19" s="19">
        <f>IFERROR(__xludf.DUMMYFUNCTION("""COMPUTED_VALUE"""),0.0)</f>
        <v>0</v>
      </c>
      <c r="D19" s="20">
        <f>IFERROR(__xludf.DUMMYFUNCTION("""COMPUTED_VALUE"""),0.0)</f>
        <v>0</v>
      </c>
      <c r="E19" s="21" t="str">
        <f>IFERROR(__xludf.DUMMYFUNCTION("""COMPUTED_VALUE"""),"")</f>
        <v/>
      </c>
      <c r="F19" s="22"/>
      <c r="G19" s="22" t="str">
        <f>IFERROR(__xludf.DUMMYFUNCTION("""COMPUTED_VALUE"""),"")</f>
        <v/>
      </c>
      <c r="H19" s="23" t="str">
        <f>IFERROR(__xludf.DUMMYFUNCTION("""COMPUTED_VALUE"""),"")</f>
        <v/>
      </c>
      <c r="I19" s="18"/>
      <c r="J19" s="19">
        <f>IFERROR(__xludf.DUMMYFUNCTION("""COMPUTED_VALUE"""),0.0)</f>
        <v>0</v>
      </c>
      <c r="K19" s="20">
        <f>IFERROR(__xludf.DUMMYFUNCTION("""COMPUTED_VALUE"""),0.0)</f>
        <v>0</v>
      </c>
      <c r="L19" s="21" t="str">
        <f>IFERROR(__xludf.DUMMYFUNCTION("""COMPUTED_VALUE"""),"")</f>
        <v/>
      </c>
      <c r="M19" s="24"/>
      <c r="N19" s="22" t="str">
        <f>IFERROR(__xludf.DUMMYFUNCTION("""COMPUTED_VALUE"""),"")</f>
        <v/>
      </c>
      <c r="O19" s="25" t="str">
        <f>IFERROR(__xludf.DUMMYFUNCTION("""COMPUTED_VALUE"""),"")</f>
        <v/>
      </c>
      <c r="P19" s="18"/>
      <c r="Q19" s="19">
        <f>IFERROR(__xludf.DUMMYFUNCTION("""COMPUTED_VALUE"""),3.0)</f>
        <v>3</v>
      </c>
      <c r="R19" s="20">
        <f>IFERROR(__xludf.DUMMYFUNCTION("""COMPUTED_VALUE"""),3.0)</f>
        <v>3</v>
      </c>
      <c r="S19" s="26" t="str">
        <f>IFERROR(__xludf.DUMMYFUNCTION("""COMPUTED_VALUE"""),"")</f>
        <v/>
      </c>
      <c r="T19" s="22"/>
      <c r="U19" s="22">
        <f>IFERROR(__xludf.DUMMYFUNCTION("""COMPUTED_VALUE"""),0.0)</f>
        <v>0</v>
      </c>
      <c r="V19" s="23" t="str">
        <f>IFERROR(__xludf.DUMMYFUNCTION("""COMPUTED_VALUE"""),"")</f>
        <v/>
      </c>
      <c r="W19" s="18"/>
      <c r="X19" s="19">
        <f>IFERROR(__xludf.DUMMYFUNCTION("""COMPUTED_VALUE"""),0.0)</f>
        <v>0</v>
      </c>
      <c r="Y19" s="20">
        <f>IFERROR(__xludf.DUMMYFUNCTION("""COMPUTED_VALUE"""),0.0)</f>
        <v>0</v>
      </c>
      <c r="Z19" s="27" t="str">
        <f>IFERROR(__xludf.DUMMYFUNCTION("""COMPUTED_VALUE"""),"")</f>
        <v/>
      </c>
      <c r="AA19" s="18"/>
      <c r="AB19" s="19">
        <f>IFERROR(__xludf.DUMMYFUNCTION("""COMPUTED_VALUE"""),0.0)</f>
        <v>0</v>
      </c>
      <c r="AC19" s="20">
        <f>IFERROR(__xludf.DUMMYFUNCTION("""COMPUTED_VALUE"""),0.0)</f>
        <v>0</v>
      </c>
      <c r="AD19" s="27" t="str">
        <f>IFERROR(__xludf.DUMMYFUNCTION("""COMPUTED_VALUE"""),"")</f>
        <v/>
      </c>
      <c r="AE19" s="18"/>
      <c r="AF19" s="19">
        <f>IFERROR(__xludf.DUMMYFUNCTION("""COMPUTED_VALUE"""),0.0)</f>
        <v>0</v>
      </c>
      <c r="AG19" s="20">
        <f>IFERROR(__xludf.DUMMYFUNCTION("""COMPUTED_VALUE"""),0.0)</f>
        <v>0</v>
      </c>
      <c r="AH19" s="28" t="str">
        <f>IFERROR(__xludf.DUMMYFUNCTION("""COMPUTED_VALUE"""),"")</f>
        <v/>
      </c>
      <c r="AI19" s="29">
        <f>IFERROR(__xludf.DUMMYFUNCTION("""COMPUTED_VALUE"""),0.0)</f>
        <v>0</v>
      </c>
      <c r="AJ19" s="29">
        <f>IFERROR(__xludf.DUMMYFUNCTION("""COMPUTED_VALUE"""),0.0)</f>
        <v>0</v>
      </c>
      <c r="AK19" s="4"/>
      <c r="AL19" s="4">
        <f>IFERROR(__xludf.DUMMYFUNCTION("""COMPUTED_VALUE"""),0.0)</f>
        <v>0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 t="str">
        <f>IFERROR(__xludf.DUMMYFUNCTION("""COMPUTED_VALUE"""),"Aplicativo G4 - Indicação")</f>
        <v>Aplicativo G4 - Indicação</v>
      </c>
      <c r="B20" s="18"/>
      <c r="C20" s="19">
        <f>IFERROR(__xludf.DUMMYFUNCTION("""COMPUTED_VALUE"""),0.0)</f>
        <v>0</v>
      </c>
      <c r="D20" s="20">
        <f>IFERROR(__xludf.DUMMYFUNCTION("""COMPUTED_VALUE"""),0.0)</f>
        <v>0</v>
      </c>
      <c r="E20" s="21" t="str">
        <f>IFERROR(__xludf.DUMMYFUNCTION("""COMPUTED_VALUE"""),"")</f>
        <v/>
      </c>
      <c r="F20" s="22"/>
      <c r="G20" s="22" t="str">
        <f>IFERROR(__xludf.DUMMYFUNCTION("""COMPUTED_VALUE"""),"")</f>
        <v/>
      </c>
      <c r="H20" s="23" t="str">
        <f>IFERROR(__xludf.DUMMYFUNCTION("""COMPUTED_VALUE"""),"")</f>
        <v/>
      </c>
      <c r="I20" s="18"/>
      <c r="J20" s="19">
        <f>IFERROR(__xludf.DUMMYFUNCTION("""COMPUTED_VALUE"""),0.0)</f>
        <v>0</v>
      </c>
      <c r="K20" s="20">
        <f>IFERROR(__xludf.DUMMYFUNCTION("""COMPUTED_VALUE"""),0.0)</f>
        <v>0</v>
      </c>
      <c r="L20" s="21" t="str">
        <f>IFERROR(__xludf.DUMMYFUNCTION("""COMPUTED_VALUE"""),"")</f>
        <v/>
      </c>
      <c r="M20" s="24"/>
      <c r="N20" s="22" t="str">
        <f>IFERROR(__xludf.DUMMYFUNCTION("""COMPUTED_VALUE"""),"")</f>
        <v/>
      </c>
      <c r="O20" s="25" t="str">
        <f>IFERROR(__xludf.DUMMYFUNCTION("""COMPUTED_VALUE"""),"")</f>
        <v/>
      </c>
      <c r="P20" s="18"/>
      <c r="Q20" s="19">
        <f>IFERROR(__xludf.DUMMYFUNCTION("""COMPUTED_VALUE"""),5.0)</f>
        <v>5</v>
      </c>
      <c r="R20" s="20">
        <f>IFERROR(__xludf.DUMMYFUNCTION("""COMPUTED_VALUE"""),5.0)</f>
        <v>5</v>
      </c>
      <c r="S20" s="26" t="str">
        <f>IFERROR(__xludf.DUMMYFUNCTION("""COMPUTED_VALUE"""),"")</f>
        <v/>
      </c>
      <c r="T20" s="22"/>
      <c r="U20" s="22">
        <f>IFERROR(__xludf.DUMMYFUNCTION("""COMPUTED_VALUE"""),0.0)</f>
        <v>0</v>
      </c>
      <c r="V20" s="23" t="str">
        <f>IFERROR(__xludf.DUMMYFUNCTION("""COMPUTED_VALUE"""),"")</f>
        <v/>
      </c>
      <c r="W20" s="18"/>
      <c r="X20" s="19">
        <f>IFERROR(__xludf.DUMMYFUNCTION("""COMPUTED_VALUE"""),0.0)</f>
        <v>0</v>
      </c>
      <c r="Y20" s="20">
        <f>IFERROR(__xludf.DUMMYFUNCTION("""COMPUTED_VALUE"""),0.0)</f>
        <v>0</v>
      </c>
      <c r="Z20" s="27" t="str">
        <f>IFERROR(__xludf.DUMMYFUNCTION("""COMPUTED_VALUE"""),"")</f>
        <v/>
      </c>
      <c r="AA20" s="18"/>
      <c r="AB20" s="19">
        <f>IFERROR(__xludf.DUMMYFUNCTION("""COMPUTED_VALUE"""),0.0)</f>
        <v>0</v>
      </c>
      <c r="AC20" s="20">
        <f>IFERROR(__xludf.DUMMYFUNCTION("""COMPUTED_VALUE"""),0.0)</f>
        <v>0</v>
      </c>
      <c r="AD20" s="27" t="str">
        <f>IFERROR(__xludf.DUMMYFUNCTION("""COMPUTED_VALUE"""),"")</f>
        <v/>
      </c>
      <c r="AE20" s="18"/>
      <c r="AF20" s="19">
        <f>IFERROR(__xludf.DUMMYFUNCTION("""COMPUTED_VALUE"""),0.0)</f>
        <v>0</v>
      </c>
      <c r="AG20" s="20">
        <f>IFERROR(__xludf.DUMMYFUNCTION("""COMPUTED_VALUE"""),0.0)</f>
        <v>0</v>
      </c>
      <c r="AH20" s="28" t="str">
        <f>IFERROR(__xludf.DUMMYFUNCTION("""COMPUTED_VALUE"""),"")</f>
        <v/>
      </c>
      <c r="AI20" s="29">
        <f>IFERROR(__xludf.DUMMYFUNCTION("""COMPUTED_VALUE"""),0.0)</f>
        <v>0</v>
      </c>
      <c r="AJ20" s="29">
        <f>IFERROR(__xludf.DUMMYFUNCTION("""COMPUTED_VALUE"""),0.0)</f>
        <v>0</v>
      </c>
      <c r="AK20" s="4"/>
      <c r="AL20" s="4">
        <f>IFERROR(__xludf.DUMMYFUNCTION("""COMPUTED_VALUE"""),0.0)</f>
        <v>0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 t="str">
        <f>IFERROR(__xludf.DUMMYFUNCTION("""COMPUTED_VALUE"""),"Form G4 Google")</f>
        <v>Form G4 Google</v>
      </c>
      <c r="B21" s="18"/>
      <c r="C21" s="19">
        <f>IFERROR(__xludf.DUMMYFUNCTION("""COMPUTED_VALUE"""),0.0)</f>
        <v>0</v>
      </c>
      <c r="D21" s="20">
        <f>IFERROR(__xludf.DUMMYFUNCTION("""COMPUTED_VALUE"""),0.0)</f>
        <v>0</v>
      </c>
      <c r="E21" s="21" t="str">
        <f>IFERROR(__xludf.DUMMYFUNCTION("""COMPUTED_VALUE"""),"")</f>
        <v/>
      </c>
      <c r="F21" s="22"/>
      <c r="G21" s="22" t="str">
        <f>IFERROR(__xludf.DUMMYFUNCTION("""COMPUTED_VALUE"""),"")</f>
        <v/>
      </c>
      <c r="H21" s="23" t="str">
        <f>IFERROR(__xludf.DUMMYFUNCTION("""COMPUTED_VALUE"""),"")</f>
        <v/>
      </c>
      <c r="I21" s="18"/>
      <c r="J21" s="19">
        <f>IFERROR(__xludf.DUMMYFUNCTION("""COMPUTED_VALUE"""),0.0)</f>
        <v>0</v>
      </c>
      <c r="K21" s="20">
        <f>IFERROR(__xludf.DUMMYFUNCTION("""COMPUTED_VALUE"""),0.0)</f>
        <v>0</v>
      </c>
      <c r="L21" s="21" t="str">
        <f>IFERROR(__xludf.DUMMYFUNCTION("""COMPUTED_VALUE"""),"")</f>
        <v/>
      </c>
      <c r="M21" s="24"/>
      <c r="N21" s="22" t="str">
        <f>IFERROR(__xludf.DUMMYFUNCTION("""COMPUTED_VALUE"""),"")</f>
        <v/>
      </c>
      <c r="O21" s="25" t="str">
        <f>IFERROR(__xludf.DUMMYFUNCTION("""COMPUTED_VALUE"""),"")</f>
        <v/>
      </c>
      <c r="P21" s="18"/>
      <c r="Q21" s="19">
        <f>IFERROR(__xludf.DUMMYFUNCTION("""COMPUTED_VALUE"""),1.0)</f>
        <v>1</v>
      </c>
      <c r="R21" s="20">
        <f>IFERROR(__xludf.DUMMYFUNCTION("""COMPUTED_VALUE"""),1.0)</f>
        <v>1</v>
      </c>
      <c r="S21" s="26" t="str">
        <f>IFERROR(__xludf.DUMMYFUNCTION("""COMPUTED_VALUE"""),"")</f>
        <v/>
      </c>
      <c r="T21" s="22"/>
      <c r="U21" s="22">
        <f>IFERROR(__xludf.DUMMYFUNCTION("""COMPUTED_VALUE"""),0.0)</f>
        <v>0</v>
      </c>
      <c r="V21" s="23" t="str">
        <f>IFERROR(__xludf.DUMMYFUNCTION("""COMPUTED_VALUE"""),"")</f>
        <v/>
      </c>
      <c r="W21" s="18"/>
      <c r="X21" s="19">
        <f>IFERROR(__xludf.DUMMYFUNCTION("""COMPUTED_VALUE"""),0.0)</f>
        <v>0</v>
      </c>
      <c r="Y21" s="20">
        <f>IFERROR(__xludf.DUMMYFUNCTION("""COMPUTED_VALUE"""),0.0)</f>
        <v>0</v>
      </c>
      <c r="Z21" s="27" t="str">
        <f>IFERROR(__xludf.DUMMYFUNCTION("""COMPUTED_VALUE"""),"")</f>
        <v/>
      </c>
      <c r="AA21" s="18"/>
      <c r="AB21" s="19">
        <f>IFERROR(__xludf.DUMMYFUNCTION("""COMPUTED_VALUE"""),0.0)</f>
        <v>0</v>
      </c>
      <c r="AC21" s="20">
        <f>IFERROR(__xludf.DUMMYFUNCTION("""COMPUTED_VALUE"""),0.0)</f>
        <v>0</v>
      </c>
      <c r="AD21" s="27" t="str">
        <f>IFERROR(__xludf.DUMMYFUNCTION("""COMPUTED_VALUE"""),"")</f>
        <v/>
      </c>
      <c r="AE21" s="18"/>
      <c r="AF21" s="19">
        <f>IFERROR(__xludf.DUMMYFUNCTION("""COMPUTED_VALUE"""),0.0)</f>
        <v>0</v>
      </c>
      <c r="AG21" s="20">
        <f>IFERROR(__xludf.DUMMYFUNCTION("""COMPUTED_VALUE"""),0.0)</f>
        <v>0</v>
      </c>
      <c r="AH21" s="28" t="str">
        <f>IFERROR(__xludf.DUMMYFUNCTION("""COMPUTED_VALUE"""),"")</f>
        <v/>
      </c>
      <c r="AI21" s="29">
        <f>IFERROR(__xludf.DUMMYFUNCTION("""COMPUTED_VALUE"""),0.0)</f>
        <v>0</v>
      </c>
      <c r="AJ21" s="29">
        <f>IFERROR(__xludf.DUMMYFUNCTION("""COMPUTED_VALUE"""),0.0)</f>
        <v>0</v>
      </c>
      <c r="AK21" s="4"/>
      <c r="AL21" s="4">
        <f>IFERROR(__xludf.DUMMYFUNCTION("""COMPUTED_VALUE"""),0.0)</f>
        <v>0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 t="str">
        <f>IFERROR(__xludf.DUMMYFUNCTION("""COMPUTED_VALUE"""),"Form G4 Instagram G4")</f>
        <v>Form G4 Instagram G4</v>
      </c>
      <c r="B22" s="18"/>
      <c r="C22" s="19">
        <f>IFERROR(__xludf.DUMMYFUNCTION("""COMPUTED_VALUE"""),0.0)</f>
        <v>0</v>
      </c>
      <c r="D22" s="20">
        <f>IFERROR(__xludf.DUMMYFUNCTION("""COMPUTED_VALUE"""),0.0)</f>
        <v>0</v>
      </c>
      <c r="E22" s="21" t="str">
        <f>IFERROR(__xludf.DUMMYFUNCTION("""COMPUTED_VALUE"""),"")</f>
        <v/>
      </c>
      <c r="F22" s="22"/>
      <c r="G22" s="22" t="str">
        <f>IFERROR(__xludf.DUMMYFUNCTION("""COMPUTED_VALUE"""),"")</f>
        <v/>
      </c>
      <c r="H22" s="23" t="str">
        <f>IFERROR(__xludf.DUMMYFUNCTION("""COMPUTED_VALUE"""),"")</f>
        <v/>
      </c>
      <c r="I22" s="18"/>
      <c r="J22" s="19">
        <f>IFERROR(__xludf.DUMMYFUNCTION("""COMPUTED_VALUE"""),0.0)</f>
        <v>0</v>
      </c>
      <c r="K22" s="20">
        <f>IFERROR(__xludf.DUMMYFUNCTION("""COMPUTED_VALUE"""),0.0)</f>
        <v>0</v>
      </c>
      <c r="L22" s="21" t="str">
        <f>IFERROR(__xludf.DUMMYFUNCTION("""COMPUTED_VALUE"""),"")</f>
        <v/>
      </c>
      <c r="M22" s="24"/>
      <c r="N22" s="22" t="str">
        <f>IFERROR(__xludf.DUMMYFUNCTION("""COMPUTED_VALUE"""),"")</f>
        <v/>
      </c>
      <c r="O22" s="25" t="str">
        <f>IFERROR(__xludf.DUMMYFUNCTION("""COMPUTED_VALUE"""),"")</f>
        <v/>
      </c>
      <c r="P22" s="18"/>
      <c r="Q22" s="19">
        <f>IFERROR(__xludf.DUMMYFUNCTION("""COMPUTED_VALUE"""),9.0)</f>
        <v>9</v>
      </c>
      <c r="R22" s="20">
        <f>IFERROR(__xludf.DUMMYFUNCTION("""COMPUTED_VALUE"""),9.0)</f>
        <v>9</v>
      </c>
      <c r="S22" s="26" t="str">
        <f>IFERROR(__xludf.DUMMYFUNCTION("""COMPUTED_VALUE"""),"")</f>
        <v/>
      </c>
      <c r="T22" s="22"/>
      <c r="U22" s="22">
        <f>IFERROR(__xludf.DUMMYFUNCTION("""COMPUTED_VALUE"""),0.4444444444444444)</f>
        <v>0.4444444444</v>
      </c>
      <c r="V22" s="23" t="str">
        <f>IFERROR(__xludf.DUMMYFUNCTION("""COMPUTED_VALUE"""),"")</f>
        <v/>
      </c>
      <c r="W22" s="18"/>
      <c r="X22" s="19">
        <f>IFERROR(__xludf.DUMMYFUNCTION("""COMPUTED_VALUE"""),4.0)</f>
        <v>4</v>
      </c>
      <c r="Y22" s="20">
        <f>IFERROR(__xludf.DUMMYFUNCTION("""COMPUTED_VALUE"""),4.0)</f>
        <v>4</v>
      </c>
      <c r="Z22" s="27" t="str">
        <f>IFERROR(__xludf.DUMMYFUNCTION("""COMPUTED_VALUE"""),"")</f>
        <v/>
      </c>
      <c r="AA22" s="18"/>
      <c r="AB22" s="19">
        <f>IFERROR(__xludf.DUMMYFUNCTION("""COMPUTED_VALUE"""),25450.5)</f>
        <v>25450.5</v>
      </c>
      <c r="AC22" s="20">
        <f>IFERROR(__xludf.DUMMYFUNCTION("""COMPUTED_VALUE"""),25450.5)</f>
        <v>25450.5</v>
      </c>
      <c r="AD22" s="27" t="str">
        <f>IFERROR(__xludf.DUMMYFUNCTION("""COMPUTED_VALUE"""),"")</f>
        <v/>
      </c>
      <c r="AE22" s="18"/>
      <c r="AF22" s="19">
        <f>IFERROR(__xludf.DUMMYFUNCTION("""COMPUTED_VALUE"""),101802.0)</f>
        <v>101802</v>
      </c>
      <c r="AG22" s="20">
        <f>IFERROR(__xludf.DUMMYFUNCTION("""COMPUTED_VALUE"""),101802.0)</f>
        <v>101802</v>
      </c>
      <c r="AH22" s="28" t="str">
        <f>IFERROR(__xludf.DUMMYFUNCTION("""COMPUTED_VALUE"""),"")</f>
        <v/>
      </c>
      <c r="AI22" s="29">
        <f>IFERROR(__xludf.DUMMYFUNCTION("""COMPUTED_VALUE"""),0.0)</f>
        <v>0</v>
      </c>
      <c r="AJ22" s="29">
        <f>IFERROR(__xludf.DUMMYFUNCTION("""COMPUTED_VALUE"""),0.0)</f>
        <v>0</v>
      </c>
      <c r="AK22" s="4"/>
      <c r="AL22" s="4">
        <f>IFERROR(__xludf.DUMMYFUNCTION("""COMPUTED_VALUE"""),11311.333333333334)</f>
        <v>11311.33333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 t="str">
        <f>IFERROR(__xludf.DUMMYFUNCTION("""COMPUTED_VALUE"""),"Form G4 Instagram Outros")</f>
        <v>Form G4 Instagram Outros</v>
      </c>
      <c r="B23" s="18"/>
      <c r="C23" s="19">
        <f>IFERROR(__xludf.DUMMYFUNCTION("""COMPUTED_VALUE"""),0.0)</f>
        <v>0</v>
      </c>
      <c r="D23" s="20">
        <f>IFERROR(__xludf.DUMMYFUNCTION("""COMPUTED_VALUE"""),0.0)</f>
        <v>0</v>
      </c>
      <c r="E23" s="21" t="str">
        <f>IFERROR(__xludf.DUMMYFUNCTION("""COMPUTED_VALUE"""),"")</f>
        <v/>
      </c>
      <c r="F23" s="22"/>
      <c r="G23" s="22" t="str">
        <f>IFERROR(__xludf.DUMMYFUNCTION("""COMPUTED_VALUE"""),"")</f>
        <v/>
      </c>
      <c r="H23" s="23" t="str">
        <f>IFERROR(__xludf.DUMMYFUNCTION("""COMPUTED_VALUE"""),"")</f>
        <v/>
      </c>
      <c r="I23" s="18"/>
      <c r="J23" s="19">
        <f>IFERROR(__xludf.DUMMYFUNCTION("""COMPUTED_VALUE"""),0.0)</f>
        <v>0</v>
      </c>
      <c r="K23" s="20">
        <f>IFERROR(__xludf.DUMMYFUNCTION("""COMPUTED_VALUE"""),0.0)</f>
        <v>0</v>
      </c>
      <c r="L23" s="21" t="str">
        <f>IFERROR(__xludf.DUMMYFUNCTION("""COMPUTED_VALUE"""),"")</f>
        <v/>
      </c>
      <c r="M23" s="24"/>
      <c r="N23" s="22" t="str">
        <f>IFERROR(__xludf.DUMMYFUNCTION("""COMPUTED_VALUE"""),"")</f>
        <v/>
      </c>
      <c r="O23" s="25" t="str">
        <f>IFERROR(__xludf.DUMMYFUNCTION("""COMPUTED_VALUE"""),"")</f>
        <v/>
      </c>
      <c r="P23" s="18"/>
      <c r="Q23" s="19">
        <f>IFERROR(__xludf.DUMMYFUNCTION("""COMPUTED_VALUE"""),2.0)</f>
        <v>2</v>
      </c>
      <c r="R23" s="20">
        <f>IFERROR(__xludf.DUMMYFUNCTION("""COMPUTED_VALUE"""),2.0)</f>
        <v>2</v>
      </c>
      <c r="S23" s="26" t="str">
        <f>IFERROR(__xludf.DUMMYFUNCTION("""COMPUTED_VALUE"""),"")</f>
        <v/>
      </c>
      <c r="T23" s="22"/>
      <c r="U23" s="22">
        <f>IFERROR(__xludf.DUMMYFUNCTION("""COMPUTED_VALUE"""),0.0)</f>
        <v>0</v>
      </c>
      <c r="V23" s="23" t="str">
        <f>IFERROR(__xludf.DUMMYFUNCTION("""COMPUTED_VALUE"""),"")</f>
        <v/>
      </c>
      <c r="W23" s="18"/>
      <c r="X23" s="19">
        <f>IFERROR(__xludf.DUMMYFUNCTION("""COMPUTED_VALUE"""),0.0)</f>
        <v>0</v>
      </c>
      <c r="Y23" s="20">
        <f>IFERROR(__xludf.DUMMYFUNCTION("""COMPUTED_VALUE"""),0.0)</f>
        <v>0</v>
      </c>
      <c r="Z23" s="27" t="str">
        <f>IFERROR(__xludf.DUMMYFUNCTION("""COMPUTED_VALUE"""),"")</f>
        <v/>
      </c>
      <c r="AA23" s="18"/>
      <c r="AB23" s="19">
        <f>IFERROR(__xludf.DUMMYFUNCTION("""COMPUTED_VALUE"""),0.0)</f>
        <v>0</v>
      </c>
      <c r="AC23" s="20">
        <f>IFERROR(__xludf.DUMMYFUNCTION("""COMPUTED_VALUE"""),0.0)</f>
        <v>0</v>
      </c>
      <c r="AD23" s="27" t="str">
        <f>IFERROR(__xludf.DUMMYFUNCTION("""COMPUTED_VALUE"""),"")</f>
        <v/>
      </c>
      <c r="AE23" s="18"/>
      <c r="AF23" s="19">
        <f>IFERROR(__xludf.DUMMYFUNCTION("""COMPUTED_VALUE"""),0.0)</f>
        <v>0</v>
      </c>
      <c r="AG23" s="20">
        <f>IFERROR(__xludf.DUMMYFUNCTION("""COMPUTED_VALUE"""),0.0)</f>
        <v>0</v>
      </c>
      <c r="AH23" s="28" t="str">
        <f>IFERROR(__xludf.DUMMYFUNCTION("""COMPUTED_VALUE"""),"")</f>
        <v/>
      </c>
      <c r="AI23" s="29">
        <f>IFERROR(__xludf.DUMMYFUNCTION("""COMPUTED_VALUE"""),0.0)</f>
        <v>0</v>
      </c>
      <c r="AJ23" s="29">
        <f>IFERROR(__xludf.DUMMYFUNCTION("""COMPUTED_VALUE"""),0.0)</f>
        <v>0</v>
      </c>
      <c r="AK23" s="4"/>
      <c r="AL23" s="4">
        <f>IFERROR(__xludf.DUMMYFUNCTION("""COMPUTED_VALUE"""),0.0)</f>
        <v>0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 t="str">
        <f>IFERROR(__xludf.DUMMYFUNCTION("""COMPUTED_VALUE"""),"Form G4 Outros - Não Orgânico")</f>
        <v>Form G4 Outros - Não Orgânico</v>
      </c>
      <c r="B24" s="18"/>
      <c r="C24" s="19">
        <f>IFERROR(__xludf.DUMMYFUNCTION("""COMPUTED_VALUE"""),0.0)</f>
        <v>0</v>
      </c>
      <c r="D24" s="20">
        <f>IFERROR(__xludf.DUMMYFUNCTION("""COMPUTED_VALUE"""),0.0)</f>
        <v>0</v>
      </c>
      <c r="E24" s="21" t="str">
        <f>IFERROR(__xludf.DUMMYFUNCTION("""COMPUTED_VALUE"""),"")</f>
        <v/>
      </c>
      <c r="F24" s="22"/>
      <c r="G24" s="22" t="str">
        <f>IFERROR(__xludf.DUMMYFUNCTION("""COMPUTED_VALUE"""),"")</f>
        <v/>
      </c>
      <c r="H24" s="23" t="str">
        <f>IFERROR(__xludf.DUMMYFUNCTION("""COMPUTED_VALUE"""),"")</f>
        <v/>
      </c>
      <c r="I24" s="18"/>
      <c r="J24" s="19">
        <f>IFERROR(__xludf.DUMMYFUNCTION("""COMPUTED_VALUE"""),0.0)</f>
        <v>0</v>
      </c>
      <c r="K24" s="20">
        <f>IFERROR(__xludf.DUMMYFUNCTION("""COMPUTED_VALUE"""),0.0)</f>
        <v>0</v>
      </c>
      <c r="L24" s="21" t="str">
        <f>IFERROR(__xludf.DUMMYFUNCTION("""COMPUTED_VALUE"""),"")</f>
        <v/>
      </c>
      <c r="M24" s="24"/>
      <c r="N24" s="22" t="str">
        <f>IFERROR(__xludf.DUMMYFUNCTION("""COMPUTED_VALUE"""),"")</f>
        <v/>
      </c>
      <c r="O24" s="25" t="str">
        <f>IFERROR(__xludf.DUMMYFUNCTION("""COMPUTED_VALUE"""),"")</f>
        <v/>
      </c>
      <c r="P24" s="18"/>
      <c r="Q24" s="19">
        <f>IFERROR(__xludf.DUMMYFUNCTION("""COMPUTED_VALUE"""),1.0)</f>
        <v>1</v>
      </c>
      <c r="R24" s="20">
        <f>IFERROR(__xludf.DUMMYFUNCTION("""COMPUTED_VALUE"""),1.0)</f>
        <v>1</v>
      </c>
      <c r="S24" s="26" t="str">
        <f>IFERROR(__xludf.DUMMYFUNCTION("""COMPUTED_VALUE"""),"")</f>
        <v/>
      </c>
      <c r="T24" s="22"/>
      <c r="U24" s="22">
        <f>IFERROR(__xludf.DUMMYFUNCTION("""COMPUTED_VALUE"""),0.0)</f>
        <v>0</v>
      </c>
      <c r="V24" s="23" t="str">
        <f>IFERROR(__xludf.DUMMYFUNCTION("""COMPUTED_VALUE"""),"")</f>
        <v/>
      </c>
      <c r="W24" s="18"/>
      <c r="X24" s="19">
        <f>IFERROR(__xludf.DUMMYFUNCTION("""COMPUTED_VALUE"""),0.0)</f>
        <v>0</v>
      </c>
      <c r="Y24" s="20">
        <f>IFERROR(__xludf.DUMMYFUNCTION("""COMPUTED_VALUE"""),0.0)</f>
        <v>0</v>
      </c>
      <c r="Z24" s="27" t="str">
        <f>IFERROR(__xludf.DUMMYFUNCTION("""COMPUTED_VALUE"""),"")</f>
        <v/>
      </c>
      <c r="AA24" s="18"/>
      <c r="AB24" s="19">
        <f>IFERROR(__xludf.DUMMYFUNCTION("""COMPUTED_VALUE"""),0.0)</f>
        <v>0</v>
      </c>
      <c r="AC24" s="20">
        <f>IFERROR(__xludf.DUMMYFUNCTION("""COMPUTED_VALUE"""),0.0)</f>
        <v>0</v>
      </c>
      <c r="AD24" s="27" t="str">
        <f>IFERROR(__xludf.DUMMYFUNCTION("""COMPUTED_VALUE"""),"")</f>
        <v/>
      </c>
      <c r="AE24" s="18"/>
      <c r="AF24" s="19">
        <f>IFERROR(__xludf.DUMMYFUNCTION("""COMPUTED_VALUE"""),0.0)</f>
        <v>0</v>
      </c>
      <c r="AG24" s="20">
        <f>IFERROR(__xludf.DUMMYFUNCTION("""COMPUTED_VALUE"""),0.0)</f>
        <v>0</v>
      </c>
      <c r="AH24" s="28" t="str">
        <f>IFERROR(__xludf.DUMMYFUNCTION("""COMPUTED_VALUE"""),"")</f>
        <v/>
      </c>
      <c r="AI24" s="29">
        <f>IFERROR(__xludf.DUMMYFUNCTION("""COMPUTED_VALUE"""),0.0)</f>
        <v>0</v>
      </c>
      <c r="AJ24" s="29">
        <f>IFERROR(__xludf.DUMMYFUNCTION("""COMPUTED_VALUE"""),0.0)</f>
        <v>0</v>
      </c>
      <c r="AK24" s="4"/>
      <c r="AL24" s="4">
        <f>IFERROR(__xludf.DUMMYFUNCTION("""COMPUTED_VALUE"""),0.0)</f>
        <v>0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 t="str">
        <f>IFERROR(__xludf.DUMMYFUNCTION("""COMPUTED_VALUE"""),"Form G4 Outros - Orgânico")</f>
        <v>Form G4 Outros - Orgânico</v>
      </c>
      <c r="B25" s="18"/>
      <c r="C25" s="19">
        <f>IFERROR(__xludf.DUMMYFUNCTION("""COMPUTED_VALUE"""),0.0)</f>
        <v>0</v>
      </c>
      <c r="D25" s="20">
        <f>IFERROR(__xludf.DUMMYFUNCTION("""COMPUTED_VALUE"""),0.0)</f>
        <v>0</v>
      </c>
      <c r="E25" s="21" t="str">
        <f>IFERROR(__xludf.DUMMYFUNCTION("""COMPUTED_VALUE"""),"")</f>
        <v/>
      </c>
      <c r="F25" s="22"/>
      <c r="G25" s="22" t="str">
        <f>IFERROR(__xludf.DUMMYFUNCTION("""COMPUTED_VALUE"""),"")</f>
        <v/>
      </c>
      <c r="H25" s="23" t="str">
        <f>IFERROR(__xludf.DUMMYFUNCTION("""COMPUTED_VALUE"""),"")</f>
        <v/>
      </c>
      <c r="I25" s="18"/>
      <c r="J25" s="19">
        <f>IFERROR(__xludf.DUMMYFUNCTION("""COMPUTED_VALUE"""),0.0)</f>
        <v>0</v>
      </c>
      <c r="K25" s="20">
        <f>IFERROR(__xludf.DUMMYFUNCTION("""COMPUTED_VALUE"""),0.0)</f>
        <v>0</v>
      </c>
      <c r="L25" s="21" t="str">
        <f>IFERROR(__xludf.DUMMYFUNCTION("""COMPUTED_VALUE"""),"")</f>
        <v/>
      </c>
      <c r="M25" s="24"/>
      <c r="N25" s="22" t="str">
        <f>IFERROR(__xludf.DUMMYFUNCTION("""COMPUTED_VALUE"""),"")</f>
        <v/>
      </c>
      <c r="O25" s="25" t="str">
        <f>IFERROR(__xludf.DUMMYFUNCTION("""COMPUTED_VALUE"""),"")</f>
        <v/>
      </c>
      <c r="P25" s="18"/>
      <c r="Q25" s="19">
        <f>IFERROR(__xludf.DUMMYFUNCTION("""COMPUTED_VALUE"""),1.0)</f>
        <v>1</v>
      </c>
      <c r="R25" s="20">
        <f>IFERROR(__xludf.DUMMYFUNCTION("""COMPUTED_VALUE"""),1.0)</f>
        <v>1</v>
      </c>
      <c r="S25" s="26" t="str">
        <f>IFERROR(__xludf.DUMMYFUNCTION("""COMPUTED_VALUE"""),"")</f>
        <v/>
      </c>
      <c r="T25" s="22"/>
      <c r="U25" s="22">
        <f>IFERROR(__xludf.DUMMYFUNCTION("""COMPUTED_VALUE"""),0.0)</f>
        <v>0</v>
      </c>
      <c r="V25" s="23" t="str">
        <f>IFERROR(__xludf.DUMMYFUNCTION("""COMPUTED_VALUE"""),"")</f>
        <v/>
      </c>
      <c r="W25" s="18"/>
      <c r="X25" s="19">
        <f>IFERROR(__xludf.DUMMYFUNCTION("""COMPUTED_VALUE"""),0.0)</f>
        <v>0</v>
      </c>
      <c r="Y25" s="20">
        <f>IFERROR(__xludf.DUMMYFUNCTION("""COMPUTED_VALUE"""),0.0)</f>
        <v>0</v>
      </c>
      <c r="Z25" s="27" t="str">
        <f>IFERROR(__xludf.DUMMYFUNCTION("""COMPUTED_VALUE"""),"")</f>
        <v/>
      </c>
      <c r="AA25" s="18"/>
      <c r="AB25" s="19">
        <f>IFERROR(__xludf.DUMMYFUNCTION("""COMPUTED_VALUE"""),0.0)</f>
        <v>0</v>
      </c>
      <c r="AC25" s="20">
        <f>IFERROR(__xludf.DUMMYFUNCTION("""COMPUTED_VALUE"""),0.0)</f>
        <v>0</v>
      </c>
      <c r="AD25" s="27" t="str">
        <f>IFERROR(__xludf.DUMMYFUNCTION("""COMPUTED_VALUE"""),"")</f>
        <v/>
      </c>
      <c r="AE25" s="18"/>
      <c r="AF25" s="19">
        <f>IFERROR(__xludf.DUMMYFUNCTION("""COMPUTED_VALUE"""),0.0)</f>
        <v>0</v>
      </c>
      <c r="AG25" s="20">
        <f>IFERROR(__xludf.DUMMYFUNCTION("""COMPUTED_VALUE"""),0.0)</f>
        <v>0</v>
      </c>
      <c r="AH25" s="28" t="str">
        <f>IFERROR(__xludf.DUMMYFUNCTION("""COMPUTED_VALUE"""),"")</f>
        <v/>
      </c>
      <c r="AI25" s="29">
        <f>IFERROR(__xludf.DUMMYFUNCTION("""COMPUTED_VALUE"""),0.0)</f>
        <v>0</v>
      </c>
      <c r="AJ25" s="29">
        <f>IFERROR(__xludf.DUMMYFUNCTION("""COMPUTED_VALUE"""),0.0)</f>
        <v>0</v>
      </c>
      <c r="AK25" s="4"/>
      <c r="AL25" s="4">
        <f>IFERROR(__xludf.DUMMYFUNCTION("""COMPUTED_VALUE"""),0.0)</f>
        <v>0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IFERROR(__xludf.DUMMYFUNCTION("""COMPUTED_VALUE"""),603.8709677419351)</f>
        <v>603.8709677</v>
      </c>
      <c r="C2" s="11">
        <f>IFERROR(__xludf.DUMMYFUNCTION("""COMPUTED_VALUE"""),719.0)</f>
        <v>719</v>
      </c>
      <c r="D2" s="11">
        <f>IFERROR(__xludf.DUMMYFUNCTION("""COMPUTED_VALUE"""),115.12903225806485)</f>
        <v>115.1290323</v>
      </c>
      <c r="E2" s="10">
        <f>IFERROR(__xludf.DUMMYFUNCTION("""COMPUTED_VALUE"""),0.19065170940171006)</f>
        <v>0.1906517094</v>
      </c>
      <c r="F2" s="10">
        <f>IFERROR(__xludf.DUMMYFUNCTION("""COMPUTED_VALUE"""),0.8603277999463558)</f>
        <v>0.8603277999</v>
      </c>
      <c r="G2" s="10">
        <f>IFERROR(__xludf.DUMMYFUNCTION("""COMPUTED_VALUE"""),0.7774687065368567)</f>
        <v>0.7774687065</v>
      </c>
      <c r="H2" s="35">
        <f>IFERROR(__xludf.DUMMYFUNCTION("""COMPUTED_VALUE"""),-8.285909340949903)</f>
        <v>-8.285909341</v>
      </c>
      <c r="I2" s="11">
        <f>IFERROR(__xludf.DUMMYFUNCTION("""COMPUTED_VALUE"""),519.5269811288958)</f>
        <v>519.5269811</v>
      </c>
      <c r="J2" s="11">
        <f>IFERROR(__xludf.DUMMYFUNCTION("""COMPUTED_VALUE"""),559.0)</f>
        <v>559</v>
      </c>
      <c r="K2" s="11">
        <f>IFERROR(__xludf.DUMMYFUNCTION("""COMPUTED_VALUE"""),39.47301887110416)</f>
        <v>39.47301887</v>
      </c>
      <c r="L2" s="10">
        <f>IFERROR(__xludf.DUMMYFUNCTION("""COMPUTED_VALUE"""),0.07597876588686894)</f>
        <v>0.07597876589</v>
      </c>
      <c r="M2" s="10">
        <f>IFERROR(__xludf.DUMMYFUNCTION("""COMPUTED_VALUE"""),0.2712500000000002)</f>
        <v>0.27125</v>
      </c>
      <c r="N2" s="10">
        <f>IFERROR(__xludf.DUMMYFUNCTION("""COMPUTED_VALUE"""),0.27549194991055453)</f>
        <v>0.2754919499</v>
      </c>
      <c r="O2" s="35">
        <f>IFERROR(__xludf.DUMMYFUNCTION("""COMPUTED_VALUE"""),0.4241949910554321)</f>
        <v>0.4241949911</v>
      </c>
      <c r="P2" s="11">
        <f>IFERROR(__xludf.DUMMYFUNCTION("""COMPUTED_VALUE"""),140.92169363121312)</f>
        <v>140.9216936</v>
      </c>
      <c r="Q2" s="11">
        <f>IFERROR(__xludf.DUMMYFUNCTION("""COMPUTED_VALUE"""),154.0)</f>
        <v>154</v>
      </c>
      <c r="R2" s="11">
        <f>IFERROR(__xludf.DUMMYFUNCTION("""COMPUTED_VALUE"""),13.078306368786883)</f>
        <v>13.07830637</v>
      </c>
      <c r="S2" s="10">
        <f>IFERROR(__xludf.DUMMYFUNCTION("""COMPUTED_VALUE"""),0.09280548673373405)</f>
        <v>0.09280548673</v>
      </c>
      <c r="T2" s="11">
        <f>IFERROR(__xludf.DUMMYFUNCTION("""COMPUTED_VALUE"""),647608.0857249293)</f>
        <v>647608.0857</v>
      </c>
      <c r="U2" s="36">
        <f>IFERROR(__xludf.DUMMYFUNCTION("""COMPUTED_VALUE"""),4940.0)</f>
        <v>4940</v>
      </c>
      <c r="V2" s="36">
        <f>IFERROR(__xludf.DUMMYFUNCTION("""COMPUTED_VALUE"""),194996.71322325454)</f>
        <v>194996.7132</v>
      </c>
      <c r="W2" s="10">
        <f>IFERROR(__xludf.DUMMYFUNCTION("""COMPUTED_VALUE"""),0.30110296261198805)</f>
        <v>0.3011029626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IFERROR(__xludf.DUMMYFUNCTION("""COMPUTED_VALUE"""),87.48387096774188)</f>
        <v>87.48387097</v>
      </c>
      <c r="C3" s="11">
        <f>IFERROR(__xludf.DUMMYFUNCTION("""COMPUTED_VALUE"""),97.0)</f>
        <v>97</v>
      </c>
      <c r="D3" s="11">
        <f>IFERROR(__xludf.DUMMYFUNCTION("""COMPUTED_VALUE"""),9.516129032258121)</f>
        <v>9.516129032</v>
      </c>
      <c r="E3" s="10">
        <f>IFERROR(__xludf.DUMMYFUNCTION("""COMPUTED_VALUE"""),0.10877581120944024)</f>
        <v>0.1087758112</v>
      </c>
      <c r="F3" s="10">
        <f>IFERROR(__xludf.DUMMYFUNCTION("""COMPUTED_VALUE"""),0.7720883770996894)</f>
        <v>0.7720883771</v>
      </c>
      <c r="G3" s="10">
        <f>IFERROR(__xludf.DUMMYFUNCTION("""COMPUTED_VALUE"""),0.8865979381443299)</f>
        <v>0.8865979381</v>
      </c>
      <c r="H3" s="35">
        <f>IFERROR(__xludf.DUMMYFUNCTION("""COMPUTED_VALUE"""),11.45095610446405)</f>
        <v>11.4509561</v>
      </c>
      <c r="I3" s="11">
        <f>IFERROR(__xludf.DUMMYFUNCTION("""COMPUTED_VALUE"""),67.54527995788246)</f>
        <v>67.54527996</v>
      </c>
      <c r="J3" s="11">
        <f>IFERROR(__xludf.DUMMYFUNCTION("""COMPUTED_VALUE"""),86.0)</f>
        <v>86</v>
      </c>
      <c r="K3" s="11">
        <f>IFERROR(__xludf.DUMMYFUNCTION("""COMPUTED_VALUE"""),18.454720042117543)</f>
        <v>18.45472004</v>
      </c>
      <c r="L3" s="10">
        <f>IFERROR(__xludf.DUMMYFUNCTION("""COMPUTED_VALUE"""),0.27321998004338566)</f>
        <v>0.27321998</v>
      </c>
      <c r="M3" s="10">
        <f>IFERROR(__xludf.DUMMYFUNCTION("""COMPUTED_VALUE"""),0.2760937500000002)</f>
        <v>0.27609375</v>
      </c>
      <c r="N3" s="10">
        <f>IFERROR(__xludf.DUMMYFUNCTION("""COMPUTED_VALUE"""),0.13953488372093023)</f>
        <v>0.1395348837</v>
      </c>
      <c r="O3" s="35">
        <f>IFERROR(__xludf.DUMMYFUNCTION("""COMPUTED_VALUE"""),-13.655886627906996)</f>
        <v>-13.65588663</v>
      </c>
      <c r="P3" s="11">
        <f>IFERROR(__xludf.DUMMYFUNCTION("""COMPUTED_VALUE"""),18.648829638371623)</f>
        <v>18.64882964</v>
      </c>
      <c r="Q3" s="11">
        <f>IFERROR(__xludf.DUMMYFUNCTION("""COMPUTED_VALUE"""),12.0)</f>
        <v>12</v>
      </c>
      <c r="R3" s="11">
        <f>IFERROR(__xludf.DUMMYFUNCTION("""COMPUTED_VALUE"""),-6.648829638371623)</f>
        <v>-6.648829638</v>
      </c>
      <c r="S3" s="10">
        <f>IFERROR(__xludf.DUMMYFUNCTION("""COMPUTED_VALUE"""),-0.35652798418465176)</f>
        <v>-0.3565279842</v>
      </c>
      <c r="T3" s="11">
        <f>IFERROR(__xludf.DUMMYFUNCTION("""COMPUTED_VALUE"""),95763.08290877224)</f>
        <v>95763.08291</v>
      </c>
      <c r="U3" s="36">
        <f>IFERROR(__xludf.DUMMYFUNCTION("""COMPUTED_VALUE"""),5520.000000000001)</f>
        <v>5520</v>
      </c>
      <c r="V3" s="36">
        <f>IFERROR(__xludf.DUMMYFUNCTION("""COMPUTED_VALUE"""),101870.05463248886)</f>
        <v>101870.0546</v>
      </c>
      <c r="W3" s="10">
        <f>IFERROR(__xludf.DUMMYFUNCTION("""COMPUTED_VALUE"""),1.0637716700237645)</f>
        <v>1.06377167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IFERROR(__xludf.DUMMYFUNCTION("""COMPUTED_VALUE"""),1704.6193548387087)</f>
        <v>1704.619355</v>
      </c>
      <c r="C4" s="11">
        <f>IFERROR(__xludf.DUMMYFUNCTION("""COMPUTED_VALUE"""),1930.0)</f>
        <v>1930</v>
      </c>
      <c r="D4" s="11">
        <f>IFERROR(__xludf.DUMMYFUNCTION("""COMPUTED_VALUE"""),225.38064516129134)</f>
        <v>225.3806452</v>
      </c>
      <c r="E4" s="10">
        <f>IFERROR(__xludf.DUMMYFUNCTION("""COMPUTED_VALUE"""),0.13221757955612143)</f>
        <v>0.1322175796</v>
      </c>
      <c r="F4" s="10">
        <f>IFERROR(__xludf.DUMMYFUNCTION("""COMPUTED_VALUE"""),0.8334080360633019)</f>
        <v>0.8334080361</v>
      </c>
      <c r="G4" s="10" t="str">
        <f>IFERROR(__xludf.DUMMYFUNCTION("""COMPUTED_VALUE"""),"#REF!")</f>
        <v>#REF!</v>
      </c>
      <c r="H4" s="35" t="str">
        <f>IFERROR(__xludf.DUMMYFUNCTION("""COMPUTED_VALUE"""),"#REF!")</f>
        <v>#REF!</v>
      </c>
      <c r="I4" s="11">
        <f>IFERROR(__xludf.DUMMYFUNCTION("""COMPUTED_VALUE"""),1420.643468751621)</f>
        <v>1420.643469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IFERROR(__xludf.DUMMYFUNCTION("""COMPUTED_VALUE"""),0.3224063344180109)</f>
        <v>0.3224063344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IFERROR(__xludf.DUMMYFUNCTION("""COMPUTED_VALUE"""),458.02445327509815)</f>
        <v>458.0244533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IFERROR(__xludf.DUMMYFUNCTION("""COMPUTED_VALUE"""),2490111.329014455)</f>
        <v>2490111.329</v>
      </c>
      <c r="U4" s="36">
        <f>IFERROR(__xludf.DUMMYFUNCTION("""COMPUTED_VALUE"""),5844.167295568762)</f>
        <v>5844.167296</v>
      </c>
      <c r="V4" s="36">
        <f>IFERROR(__xludf.DUMMYFUNCTION("""COMPUTED_VALUE"""),1121470.8900788194)</f>
        <v>1121470.89</v>
      </c>
      <c r="W4" s="10">
        <f>IFERROR(__xludf.DUMMYFUNCTION("""COMPUTED_VALUE"""),0.45036977945989226)</f>
        <v>0.4503697795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IFERROR(__xludf.DUMMYFUNCTION("""COMPUTED_VALUE"""),1062.1935483870961)</f>
        <v>1062.193548</v>
      </c>
      <c r="C5" s="11">
        <f>IFERROR(__xludf.DUMMYFUNCTION("""COMPUTED_VALUE"""),1123.0)</f>
        <v>1123</v>
      </c>
      <c r="D5" s="11">
        <f>IFERROR(__xludf.DUMMYFUNCTION("""COMPUTED_VALUE"""),60.80645161290386)</f>
        <v>60.80645161</v>
      </c>
      <c r="E5" s="10">
        <f>IFERROR(__xludf.DUMMYFUNCTION("""COMPUTED_VALUE"""),0.057246112730807236)</f>
        <v>0.05724611273</v>
      </c>
      <c r="F5" s="10">
        <f>IFERROR(__xludf.DUMMYFUNCTION("""COMPUTED_VALUE"""),0.8426624896062617)</f>
        <v>0.8426624896</v>
      </c>
      <c r="G5" s="10">
        <f>IFERROR(__xludf.DUMMYFUNCTION("""COMPUTED_VALUE"""),0.8441674087266251)</f>
        <v>0.8441674087</v>
      </c>
      <c r="H5" s="35">
        <f>IFERROR(__xludf.DUMMYFUNCTION("""COMPUTED_VALUE"""),0.1504919120363435)</f>
        <v>0.150491912</v>
      </c>
      <c r="I5" s="11">
        <f>IFERROR(__xludf.DUMMYFUNCTION("""COMPUTED_VALUE"""),895.0706599275796)</f>
        <v>895.0706599</v>
      </c>
      <c r="J5" s="11">
        <f>IFERROR(__xludf.DUMMYFUNCTION("""COMPUTED_VALUE"""),948.0)</f>
        <v>948</v>
      </c>
      <c r="K5" s="11">
        <f>IFERROR(__xludf.DUMMYFUNCTION("""COMPUTED_VALUE"""),52.92934007242036)</f>
        <v>52.92934007</v>
      </c>
      <c r="L5" s="10">
        <f>IFERROR(__xludf.DUMMYFUNCTION("""COMPUTED_VALUE"""),0.059134258826786794)</f>
        <v>0.05913425883</v>
      </c>
      <c r="M5" s="10">
        <f>IFERROR(__xludf.DUMMYFUNCTION("""COMPUTED_VALUE"""),0.32937500000000025)</f>
        <v>0.329375</v>
      </c>
      <c r="N5" s="10">
        <f>IFERROR(__xludf.DUMMYFUNCTION("""COMPUTED_VALUE"""),0.32489451476793246)</f>
        <v>0.3248945148</v>
      </c>
      <c r="O5" s="35">
        <f>IFERROR(__xludf.DUMMYFUNCTION("""COMPUTED_VALUE"""),-0.4480485232067788)</f>
        <v>-0.4480485232</v>
      </c>
      <c r="P5" s="11">
        <f>IFERROR(__xludf.DUMMYFUNCTION("""COMPUTED_VALUE"""),294.81389861364676)</f>
        <v>294.8138986</v>
      </c>
      <c r="Q5" s="11">
        <f>IFERROR(__xludf.DUMMYFUNCTION("""COMPUTED_VALUE"""),308.0)</f>
        <v>308</v>
      </c>
      <c r="R5" s="11">
        <f>IFERROR(__xludf.DUMMYFUNCTION("""COMPUTED_VALUE"""),13.186101386353243)</f>
        <v>13.18610139</v>
      </c>
      <c r="S5" s="10">
        <f>IFERROR(__xludf.DUMMYFUNCTION("""COMPUTED_VALUE"""),0.044726864806443924)</f>
        <v>0.04472686481</v>
      </c>
      <c r="T5" s="11">
        <f>IFERROR(__xludf.DUMMYFUNCTION("""COMPUTED_VALUE"""),1667473.6999219565)</f>
        <v>1667473.7</v>
      </c>
      <c r="U5" s="36">
        <f>IFERROR(__xludf.DUMMYFUNCTION("""COMPUTED_VALUE"""),6080.000000000001)</f>
        <v>6080</v>
      </c>
      <c r="V5" s="36">
        <f>IFERROR(__xludf.DUMMYFUNCTION("""COMPUTED_VALUE"""),321810.3876403158)</f>
        <v>321810.3876</v>
      </c>
      <c r="W5" s="10">
        <f>IFERROR(__xludf.DUMMYFUNCTION("""COMPUTED_VALUE"""),0.19299278162850642)</f>
        <v>0.1929927816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IFERROR(__xludf.DUMMYFUNCTION("""COMPUTED_VALUE"""),135.0)</f>
        <v>135</v>
      </c>
      <c r="D6" s="9"/>
      <c r="E6" s="9"/>
      <c r="F6" s="9"/>
      <c r="G6" s="10">
        <f>IFERROR(__xludf.DUMMYFUNCTION("""COMPUTED_VALUE"""),0.8814814814814815)</f>
        <v>0.8814814815</v>
      </c>
      <c r="H6" s="9"/>
      <c r="I6" s="9"/>
      <c r="J6" s="11">
        <f>IFERROR(__xludf.DUMMYFUNCTION("""COMPUTED_VALUE"""),119.0)</f>
        <v>119</v>
      </c>
      <c r="K6" s="9"/>
      <c r="L6" s="9"/>
      <c r="M6" s="10">
        <f>IFERROR(__xludf.DUMMYFUNCTION("""COMPUTED_VALUE"""),0.32937500000000025)</f>
        <v>0.329375</v>
      </c>
      <c r="N6" s="10">
        <f>IFERROR(__xludf.DUMMYFUNCTION("""COMPUTED_VALUE"""),0.3865546218487395)</f>
        <v>0.3865546218</v>
      </c>
      <c r="O6" s="35">
        <f>IFERROR(__xludf.DUMMYFUNCTION("""COMPUTED_VALUE"""),5.717962184873926)</f>
        <v>5.717962185</v>
      </c>
      <c r="P6" s="9"/>
      <c r="Q6" s="11">
        <f>IFERROR(__xludf.DUMMYFUNCTION("""COMPUTED_VALUE"""),46.0)</f>
        <v>46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IFERROR(__xludf.DUMMYFUNCTION("""COMPUTED_VALUE"""),"Pablo Maia")</f>
        <v>Pablo Maia</v>
      </c>
      <c r="B7" s="9"/>
      <c r="C7" s="11">
        <f>IFERROR(__xludf.DUMMYFUNCTION("""COMPUTED_VALUE"""),127.0)</f>
        <v>127</v>
      </c>
      <c r="D7" s="9"/>
      <c r="E7" s="9"/>
      <c r="F7" s="9"/>
      <c r="G7" s="10">
        <f>IFERROR(__xludf.DUMMYFUNCTION("""COMPUTED_VALUE"""),0.8503937007874016)</f>
        <v>0.8503937008</v>
      </c>
      <c r="H7" s="9"/>
      <c r="I7" s="9"/>
      <c r="J7" s="11">
        <f>IFERROR(__xludf.DUMMYFUNCTION("""COMPUTED_VALUE"""),108.0)</f>
        <v>108</v>
      </c>
      <c r="K7" s="9"/>
      <c r="L7" s="9"/>
      <c r="M7" s="10">
        <f>IFERROR(__xludf.DUMMYFUNCTION("""COMPUTED_VALUE"""),0.32937500000000025)</f>
        <v>0.329375</v>
      </c>
      <c r="N7" s="10">
        <f>IFERROR(__xludf.DUMMYFUNCTION("""COMPUTED_VALUE"""),0.3425925925925926)</f>
        <v>0.3425925926</v>
      </c>
      <c r="O7" s="35">
        <f>IFERROR(__xludf.DUMMYFUNCTION("""COMPUTED_VALUE"""),1.3217592592592364)</f>
        <v>1.321759259</v>
      </c>
      <c r="P7" s="9"/>
      <c r="Q7" s="11">
        <f>IFERROR(__xludf.DUMMYFUNCTION("""COMPUTED_VALUE"""),37.0)</f>
        <v>37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IFERROR(__xludf.DUMMYFUNCTION("""COMPUTED_VALUE"""),"Luiz Felipe")</f>
        <v>Luiz Felipe</v>
      </c>
      <c r="B8" s="9"/>
      <c r="C8" s="11">
        <f>IFERROR(__xludf.DUMMYFUNCTION("""COMPUTED_VALUE"""),134.0)</f>
        <v>134</v>
      </c>
      <c r="D8" s="9"/>
      <c r="E8" s="9"/>
      <c r="F8" s="9"/>
      <c r="G8" s="10">
        <f>IFERROR(__xludf.DUMMYFUNCTION("""COMPUTED_VALUE"""),0.8059701492537313)</f>
        <v>0.8059701493</v>
      </c>
      <c r="H8" s="9"/>
      <c r="I8" s="9"/>
      <c r="J8" s="11">
        <f>IFERROR(__xludf.DUMMYFUNCTION("""COMPUTED_VALUE"""),108.0)</f>
        <v>108</v>
      </c>
      <c r="K8" s="9"/>
      <c r="L8" s="9"/>
      <c r="M8" s="10">
        <f>IFERROR(__xludf.DUMMYFUNCTION("""COMPUTED_VALUE"""),0.32937500000000025)</f>
        <v>0.329375</v>
      </c>
      <c r="N8" s="10">
        <f>IFERROR(__xludf.DUMMYFUNCTION("""COMPUTED_VALUE"""),0.3425925925925926)</f>
        <v>0.3425925926</v>
      </c>
      <c r="O8" s="35">
        <f>IFERROR(__xludf.DUMMYFUNCTION("""COMPUTED_VALUE"""),1.3217592592592364)</f>
        <v>1.321759259</v>
      </c>
      <c r="P8" s="9"/>
      <c r="Q8" s="11">
        <f>IFERROR(__xludf.DUMMYFUNCTION("""COMPUTED_VALUE"""),37.0)</f>
        <v>37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IFERROR(__xludf.DUMMYFUNCTION("""COMPUTED_VALUE"""),"Nicolas Miranda")</f>
        <v>Nicolas Miranda</v>
      </c>
      <c r="B9" s="9"/>
      <c r="C9" s="11">
        <f>IFERROR(__xludf.DUMMYFUNCTION("""COMPUTED_VALUE"""),120.0)</f>
        <v>120</v>
      </c>
      <c r="D9" s="9"/>
      <c r="E9" s="9"/>
      <c r="F9" s="9"/>
      <c r="G9" s="10">
        <f>IFERROR(__xludf.DUMMYFUNCTION("""COMPUTED_VALUE"""),0.8666666666666667)</f>
        <v>0.8666666667</v>
      </c>
      <c r="H9" s="9"/>
      <c r="I9" s="9"/>
      <c r="J9" s="11">
        <f>IFERROR(__xludf.DUMMYFUNCTION("""COMPUTED_VALUE"""),104.0)</f>
        <v>104</v>
      </c>
      <c r="K9" s="9"/>
      <c r="L9" s="9"/>
      <c r="M9" s="10">
        <f>IFERROR(__xludf.DUMMYFUNCTION("""COMPUTED_VALUE"""),0.32937500000000025)</f>
        <v>0.329375</v>
      </c>
      <c r="N9" s="10">
        <f>IFERROR(__xludf.DUMMYFUNCTION("""COMPUTED_VALUE"""),0.3269230769230769)</f>
        <v>0.3269230769</v>
      </c>
      <c r="O9" s="35">
        <f>IFERROR(__xludf.DUMMYFUNCTION("""COMPUTED_VALUE"""),-0.24519230769233236)</f>
        <v>-0.2451923077</v>
      </c>
      <c r="P9" s="9"/>
      <c r="Q9" s="11">
        <f>IFERROR(__xludf.DUMMYFUNCTION("""COMPUTED_VALUE"""),34.0)</f>
        <v>34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IFERROR(__xludf.DUMMYFUNCTION("""COMPUTED_VALUE"""),"Leonardo Alencar")</f>
        <v>Leonardo Alencar</v>
      </c>
      <c r="B10" s="9"/>
      <c r="C10" s="11">
        <f>IFERROR(__xludf.DUMMYFUNCTION("""COMPUTED_VALUE"""),122.0)</f>
        <v>122</v>
      </c>
      <c r="D10" s="9"/>
      <c r="E10" s="9"/>
      <c r="F10" s="9"/>
      <c r="G10" s="10">
        <f>IFERROR(__xludf.DUMMYFUNCTION("""COMPUTED_VALUE"""),0.8770491803278688)</f>
        <v>0.8770491803</v>
      </c>
      <c r="H10" s="9"/>
      <c r="I10" s="9"/>
      <c r="J10" s="11">
        <f>IFERROR(__xludf.DUMMYFUNCTION("""COMPUTED_VALUE"""),107.0)</f>
        <v>107</v>
      </c>
      <c r="K10" s="9"/>
      <c r="L10" s="9"/>
      <c r="M10" s="10">
        <f>IFERROR(__xludf.DUMMYFUNCTION("""COMPUTED_VALUE"""),0.32937500000000025)</f>
        <v>0.329375</v>
      </c>
      <c r="N10" s="10">
        <f>IFERROR(__xludf.DUMMYFUNCTION("""COMPUTED_VALUE"""),0.3177570093457944)</f>
        <v>0.3177570093</v>
      </c>
      <c r="O10" s="35">
        <f>IFERROR(__xludf.DUMMYFUNCTION("""COMPUTED_VALUE"""),-1.1617990654205879)</f>
        <v>-1.161799065</v>
      </c>
      <c r="P10" s="9"/>
      <c r="Q10" s="11">
        <f>IFERROR(__xludf.DUMMYFUNCTION("""COMPUTED_VALUE"""),34.0)</f>
        <v>34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IFERROR(__xludf.DUMMYFUNCTION("""COMPUTED_VALUE"""),128.0)</f>
        <v>128</v>
      </c>
      <c r="D11" s="9"/>
      <c r="E11" s="9"/>
      <c r="F11" s="9"/>
      <c r="G11" s="10">
        <f>IFERROR(__xludf.DUMMYFUNCTION("""COMPUTED_VALUE"""),0.8046875)</f>
        <v>0.8046875</v>
      </c>
      <c r="H11" s="9"/>
      <c r="I11" s="9"/>
      <c r="J11" s="11">
        <f>IFERROR(__xludf.DUMMYFUNCTION("""COMPUTED_VALUE"""),103.0)</f>
        <v>103</v>
      </c>
      <c r="K11" s="9"/>
      <c r="L11" s="9"/>
      <c r="M11" s="10">
        <f>IFERROR(__xludf.DUMMYFUNCTION("""COMPUTED_VALUE"""),0.32937500000000025)</f>
        <v>0.329375</v>
      </c>
      <c r="N11" s="10">
        <f>IFERROR(__xludf.DUMMYFUNCTION("""COMPUTED_VALUE"""),0.32038834951456313)</f>
        <v>0.3203883495</v>
      </c>
      <c r="O11" s="35">
        <f>IFERROR(__xludf.DUMMYFUNCTION("""COMPUTED_VALUE"""),-0.898665048543712)</f>
        <v>-0.8986650485</v>
      </c>
      <c r="P11" s="9"/>
      <c r="Q11" s="11">
        <f>IFERROR(__xludf.DUMMYFUNCTION("""COMPUTED_VALUE"""),33.0)</f>
        <v>33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IFERROR(__xludf.DUMMYFUNCTION("""COMPUTED_VALUE"""),101.0)</f>
        <v>101</v>
      </c>
      <c r="D12" s="9"/>
      <c r="E12" s="9"/>
      <c r="F12" s="9"/>
      <c r="G12" s="10">
        <f>IFERROR(__xludf.DUMMYFUNCTION("""COMPUTED_VALUE"""),0.8811881188118812)</f>
        <v>0.8811881188</v>
      </c>
      <c r="H12" s="9"/>
      <c r="I12" s="9"/>
      <c r="J12" s="11">
        <f>IFERROR(__xludf.DUMMYFUNCTION("""COMPUTED_VALUE"""),89.0)</f>
        <v>89</v>
      </c>
      <c r="K12" s="9"/>
      <c r="L12" s="9"/>
      <c r="M12" s="10">
        <f>IFERROR(__xludf.DUMMYFUNCTION("""COMPUTED_VALUE"""),0.32937500000000025)</f>
        <v>0.329375</v>
      </c>
      <c r="N12" s="10">
        <f>IFERROR(__xludf.DUMMYFUNCTION("""COMPUTED_VALUE"""),0.24719101123595505)</f>
        <v>0.2471910112</v>
      </c>
      <c r="O12" s="35">
        <f>IFERROR(__xludf.DUMMYFUNCTION("""COMPUTED_VALUE"""),-8.218398876404521)</f>
        <v>-8.218398876</v>
      </c>
      <c r="P12" s="9"/>
      <c r="Q12" s="11">
        <f>IFERROR(__xludf.DUMMYFUNCTION("""COMPUTED_VALUE"""),22.0)</f>
        <v>22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IFERROR(__xludf.DUMMYFUNCTION("""COMPUTED_VALUE"""),124.0)</f>
        <v>124</v>
      </c>
      <c r="D13" s="9"/>
      <c r="E13" s="9"/>
      <c r="F13" s="9"/>
      <c r="G13" s="10">
        <f>IFERROR(__xludf.DUMMYFUNCTION("""COMPUTED_VALUE"""),0.8145161290322581)</f>
        <v>0.814516129</v>
      </c>
      <c r="H13" s="9"/>
      <c r="I13" s="9"/>
      <c r="J13" s="11">
        <f>IFERROR(__xludf.DUMMYFUNCTION("""COMPUTED_VALUE"""),101.0)</f>
        <v>101</v>
      </c>
      <c r="K13" s="9"/>
      <c r="L13" s="9"/>
      <c r="M13" s="10">
        <f>IFERROR(__xludf.DUMMYFUNCTION("""COMPUTED_VALUE"""),0.32937500000000025)</f>
        <v>0.329375</v>
      </c>
      <c r="N13" s="10">
        <f>IFERROR(__xludf.DUMMYFUNCTION("""COMPUTED_VALUE"""),0.2079207920792079)</f>
        <v>0.2079207921</v>
      </c>
      <c r="O13" s="35">
        <f>IFERROR(__xludf.DUMMYFUNCTION("""COMPUTED_VALUE"""),-12.145420792079234)</f>
        <v>-12.14542079</v>
      </c>
      <c r="P13" s="9"/>
      <c r="Q13" s="11">
        <f>IFERROR(__xludf.DUMMYFUNCTION("""COMPUTED_VALUE"""),21.0)</f>
        <v>21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IFERROR(__xludf.DUMMYFUNCTION("""COMPUTED_VALUE"""),"João Vitor Nascimento")</f>
        <v>João Vitor Nascimento</v>
      </c>
      <c r="B14" s="9"/>
      <c r="C14" s="11">
        <f>IFERROR(__xludf.DUMMYFUNCTION("""COMPUTED_VALUE"""),75.0)</f>
        <v>75</v>
      </c>
      <c r="D14" s="9"/>
      <c r="E14" s="9"/>
      <c r="F14" s="9"/>
      <c r="G14" s="10">
        <f>IFERROR(__xludf.DUMMYFUNCTION("""COMPUTED_VALUE"""),0.84)</f>
        <v>0.84</v>
      </c>
      <c r="H14" s="9"/>
      <c r="I14" s="9"/>
      <c r="J14" s="11">
        <f>IFERROR(__xludf.DUMMYFUNCTION("""COMPUTED_VALUE"""),63.0)</f>
        <v>63</v>
      </c>
      <c r="K14" s="9"/>
      <c r="L14" s="9"/>
      <c r="M14" s="10">
        <f>IFERROR(__xludf.DUMMYFUNCTION("""COMPUTED_VALUE"""),0.32937500000000025)</f>
        <v>0.329375</v>
      </c>
      <c r="N14" s="10">
        <f>IFERROR(__xludf.DUMMYFUNCTION("""COMPUTED_VALUE"""),0.31746031746031744)</f>
        <v>0.3174603175</v>
      </c>
      <c r="O14" s="35">
        <f>IFERROR(__xludf.DUMMYFUNCTION("""COMPUTED_VALUE"""),-1.1914682539682808)</f>
        <v>-1.191468254</v>
      </c>
      <c r="P14" s="9"/>
      <c r="Q14" s="11">
        <f>IFERROR(__xludf.DUMMYFUNCTION("""COMPUTED_VALUE"""),20.0)</f>
        <v>20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IFERROR(__xludf.DUMMYFUNCTION("""COMPUTED_VALUE"""),"Bruno Xavier")</f>
        <v>Bruno Xavier</v>
      </c>
      <c r="B15" s="9"/>
      <c r="C15" s="11">
        <f>IFERROR(__xludf.DUMMYFUNCTION("""COMPUTED_VALUE"""),114.0)</f>
        <v>114</v>
      </c>
      <c r="D15" s="9"/>
      <c r="E15" s="9"/>
      <c r="F15" s="9"/>
      <c r="G15" s="10">
        <f>IFERROR(__xludf.DUMMYFUNCTION("""COMPUTED_VALUE"""),0.6929824561403509)</f>
        <v>0.6929824561</v>
      </c>
      <c r="H15" s="9"/>
      <c r="I15" s="9"/>
      <c r="J15" s="11">
        <f>IFERROR(__xludf.DUMMYFUNCTION("""COMPUTED_VALUE"""),79.0)</f>
        <v>79</v>
      </c>
      <c r="K15" s="9"/>
      <c r="L15" s="9"/>
      <c r="M15" s="10">
        <f>IFERROR(__xludf.DUMMYFUNCTION("""COMPUTED_VALUE"""),0.32937500000000025)</f>
        <v>0.329375</v>
      </c>
      <c r="N15" s="10">
        <f>IFERROR(__xludf.DUMMYFUNCTION("""COMPUTED_VALUE"""),0.21518987341772153)</f>
        <v>0.2151898734</v>
      </c>
      <c r="O15" s="35">
        <f>IFERROR(__xludf.DUMMYFUNCTION("""COMPUTED_VALUE"""),-11.418512658227872)</f>
        <v>-11.41851266</v>
      </c>
      <c r="P15" s="9"/>
      <c r="Q15" s="11">
        <f>IFERROR(__xludf.DUMMYFUNCTION("""COMPUTED_VALUE"""),17.0)</f>
        <v>17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IFERROR(__xludf.DUMMYFUNCTION("""COMPUTED_VALUE"""),0.32937500000000025)</f>
        <v>0.329375</v>
      </c>
      <c r="N16" s="10">
        <f>IFERROR(__xludf.DUMMYFUNCTION("""COMPUTED_VALUE"""),0.8888888888888888)</f>
        <v>0.8888888889</v>
      </c>
      <c r="O16" s="35">
        <f>IFERROR(__xludf.DUMMYFUNCTION("""COMPUTED_VALUE"""),55.951388888888864)</f>
        <v>55.95138889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IFERROR(__xludf.DUMMYFUNCTION("""COMPUTED_VALUE"""),"Jefferson Da Silva Santos")</f>
        <v>Jefferson Da Silva Santos</v>
      </c>
      <c r="B17" s="9"/>
      <c r="C17" s="11">
        <f>IFERROR(__xludf.DUMMYFUNCTION("""COMPUTED_VALUE"""),46.0)</f>
        <v>46</v>
      </c>
      <c r="D17" s="9"/>
      <c r="E17" s="9"/>
      <c r="F17" s="9"/>
      <c r="G17" s="10">
        <f>IFERROR(__xludf.DUMMYFUNCTION("""COMPUTED_VALUE"""),0.8043478260869565)</f>
        <v>0.8043478261</v>
      </c>
      <c r="H17" s="9"/>
      <c r="I17" s="9"/>
      <c r="J17" s="11">
        <f>IFERROR(__xludf.DUMMYFUNCTION("""COMPUTED_VALUE"""),37.0)</f>
        <v>37</v>
      </c>
      <c r="K17" s="9"/>
      <c r="L17" s="9"/>
      <c r="M17" s="10">
        <f>IFERROR(__xludf.DUMMYFUNCTION("""COMPUTED_VALUE"""),0.32937500000000025)</f>
        <v>0.329375</v>
      </c>
      <c r="N17" s="10">
        <f>IFERROR(__xludf.DUMMYFUNCTION("""COMPUTED_VALUE"""),0.21621621621621623)</f>
        <v>0.2162162162</v>
      </c>
      <c r="O17" s="35">
        <f>IFERROR(__xludf.DUMMYFUNCTION("""COMPUTED_VALUE"""),-11.315878378378402)</f>
        <v>-11.31587838</v>
      </c>
      <c r="P17" s="9"/>
      <c r="Q17" s="11">
        <f>IFERROR(__xludf.DUMMYFUNCTION("""COMPUTED_VALUE"""),8.0)</f>
        <v>8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IFERROR(__xludf.DUMMYFUNCTION("""COMPUTED_VALUE"""),0.32937500000000025)</f>
        <v>0.329375</v>
      </c>
      <c r="N18" s="10">
        <f>IFERROR(__xludf.DUMMYFUNCTION("""COMPUTED_VALUE"""),0.6666666666666666)</f>
        <v>0.6666666667</v>
      </c>
      <c r="O18" s="35">
        <f>IFERROR(__xludf.DUMMYFUNCTION("""COMPUTED_VALUE"""),33.729166666666636)</f>
        <v>33.72916667</v>
      </c>
      <c r="P18" s="9"/>
      <c r="Q18" s="11">
        <f>IFERROR(__xludf.DUMMYFUNCTION("""COMPUTED_VALUE"""),6.0)</f>
        <v>6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IFERROR(__xludf.DUMMYFUNCTION("""COMPUTED_VALUE"""),9.0)</f>
        <v>9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IFERROR(__xludf.DUMMYFUNCTION("""COMPUTED_VALUE"""),9.0)</f>
        <v>9</v>
      </c>
      <c r="K19" s="9"/>
      <c r="L19" s="9"/>
      <c r="M19" s="10">
        <f>IFERROR(__xludf.DUMMYFUNCTION("""COMPUTED_VALUE"""),0.32937500000000025)</f>
        <v>0.329375</v>
      </c>
      <c r="N19" s="10">
        <f>IFERROR(__xludf.DUMMYFUNCTION("""COMPUTED_VALUE"""),0.5555555555555556)</f>
        <v>0.5555555556</v>
      </c>
      <c r="O19" s="35">
        <f>IFERROR(__xludf.DUMMYFUNCTION("""COMPUTED_VALUE"""),22.618055555555532)</f>
        <v>22.61805556</v>
      </c>
      <c r="P19" s="9"/>
      <c r="Q19" s="11">
        <f>IFERROR(__xludf.DUMMYFUNCTION("""COMPUTED_VALUE"""),5.0)</f>
        <v>5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IFERROR(__xludf.DUMMYFUNCTION("""COMPUTED_VALUE"""),0.32937500000000025)</f>
        <v>0.329375</v>
      </c>
      <c r="N20" s="10">
        <f>IFERROR(__xludf.DUMMYFUNCTION("""COMPUTED_VALUE"""),1.0)</f>
        <v>1</v>
      </c>
      <c r="O20" s="35">
        <f>IFERROR(__xludf.DUMMYFUNCTION("""COMPUTED_VALUE"""),67.06249999999999)</f>
        <v>67.0625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IFERROR(__xludf.DUMMYFUNCTION("""COMPUTED_VALUE"""),0.32937500000000025)</f>
        <v>0.329375</v>
      </c>
      <c r="N21" s="10">
        <f>IFERROR(__xludf.DUMMYFUNCTION("""COMPUTED_VALUE"""),1.0)</f>
        <v>1</v>
      </c>
      <c r="O21" s="35">
        <f>IFERROR(__xludf.DUMMYFUNCTION("""COMPUTED_VALUE"""),67.06249999999999)</f>
        <v>67.0625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IFERROR(__xludf.DUMMYFUNCTION("""COMPUTED_VALUE"""),0.32937500000000025)</f>
        <v>0.329375</v>
      </c>
      <c r="N22" s="10">
        <f>IFERROR(__xludf.DUMMYFUNCTION("""COMPUTED_VALUE"""),0.0)</f>
        <v>0</v>
      </c>
      <c r="O22" s="35">
        <f>IFERROR(__xludf.DUMMYFUNCTION("""COMPUTED_VALUE"""),-32.93750000000003)</f>
        <v>-32.9375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IFERROR(__xludf.DUMMYFUNCTION("""COMPUTED_VALUE"""),0.32937500000000025)</f>
        <v>0.329375</v>
      </c>
      <c r="N23" s="10">
        <f>IFERROR(__xludf.DUMMYFUNCTION("""COMPUTED_VALUE"""),0.0)</f>
        <v>0</v>
      </c>
      <c r="O23" s="35">
        <f>IFERROR(__xludf.DUMMYFUNCTION("""COMPUTED_VALUE"""),-32.93750000000003)</f>
        <v>-32.9375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IFERROR(__xludf.DUMMYFUNCTION("""COMPUTED_VALUE"""),309.67741935483855)</f>
        <v>309.6774194</v>
      </c>
      <c r="C24" s="11">
        <f>IFERROR(__xludf.DUMMYFUNCTION("""COMPUTED_VALUE"""),345.0)</f>
        <v>345</v>
      </c>
      <c r="D24" s="11">
        <f>IFERROR(__xludf.DUMMYFUNCTION("""COMPUTED_VALUE"""),35.32258064516145)</f>
        <v>35.32258065</v>
      </c>
      <c r="E24" s="10">
        <f>IFERROR(__xludf.DUMMYFUNCTION("""COMPUTED_VALUE"""),0.11406250000000058)</f>
        <v>0.1140625</v>
      </c>
      <c r="F24" s="10">
        <f>IFERROR(__xludf.DUMMYFUNCTION("""COMPUTED_VALUE"""),0.820698804996366)</f>
        <v>0.820698805</v>
      </c>
      <c r="G24" s="10">
        <f>IFERROR(__xludf.DUMMYFUNCTION("""COMPUTED_VALUE"""),0.8782608695652174)</f>
        <v>0.8782608696</v>
      </c>
      <c r="H24" s="35">
        <f>IFERROR(__xludf.DUMMYFUNCTION("""COMPUTED_VALUE"""),5.756206456885138)</f>
        <v>5.756206457</v>
      </c>
      <c r="I24" s="11">
        <f>IFERROR(__xludf.DUMMYFUNCTION("""COMPUTED_VALUE"""),254.1518879988745)</f>
        <v>254.151888</v>
      </c>
      <c r="J24" s="11">
        <f>IFERROR(__xludf.DUMMYFUNCTION("""COMPUTED_VALUE"""),303.0)</f>
        <v>303</v>
      </c>
      <c r="K24" s="11">
        <f>IFERROR(__xludf.DUMMYFUNCTION("""COMPUTED_VALUE"""),48.848112001125486)</f>
        <v>48.848112</v>
      </c>
      <c r="L24" s="10">
        <f>IFERROR(__xludf.DUMMYFUNCTION("""COMPUTED_VALUE"""),0.1922004687265664)</f>
        <v>0.1922004687</v>
      </c>
      <c r="M24" s="10">
        <f>IFERROR(__xludf.DUMMYFUNCTION("""COMPUTED_VALUE"""),0.3003125000000002)</f>
        <v>0.3003125</v>
      </c>
      <c r="N24" s="10">
        <f>IFERROR(__xludf.DUMMYFUNCTION("""COMPUTED_VALUE"""),0.3102310231023102)</f>
        <v>0.3102310231</v>
      </c>
      <c r="O24" s="35">
        <f>IFERROR(__xludf.DUMMYFUNCTION("""COMPUTED_VALUE"""),0.9918523102310006)</f>
        <v>0.9918523102</v>
      </c>
      <c r="P24" s="11">
        <f>IFERROR(__xludf.DUMMYFUNCTION("""COMPUTED_VALUE"""),76.32498886466206)</f>
        <v>76.32498886</v>
      </c>
      <c r="Q24" s="11">
        <f>IFERROR(__xludf.DUMMYFUNCTION("""COMPUTED_VALUE"""),94.0)</f>
        <v>94</v>
      </c>
      <c r="R24" s="11">
        <f>IFERROR(__xludf.DUMMYFUNCTION("""COMPUTED_VALUE"""),17.67501113533794)</f>
        <v>17.67501114</v>
      </c>
      <c r="S24" s="10">
        <f>IFERROR(__xludf.DUMMYFUNCTION("""COMPUTED_VALUE"""),0.23157567918783342)</f>
        <v>0.2315756792</v>
      </c>
      <c r="T24" s="11">
        <f>IFERROR(__xludf.DUMMYFUNCTION("""COMPUTED_VALUE"""),434535.86900393764)</f>
        <v>434535.869</v>
      </c>
      <c r="U24" s="36">
        <f>IFERROR(__xludf.DUMMYFUNCTION("""COMPUTED_VALUE"""),6120.000000000001)</f>
        <v>6120</v>
      </c>
      <c r="V24" s="36">
        <f>IFERROR(__xludf.DUMMYFUNCTION("""COMPUTED_VALUE"""),298950.44544688804)</f>
        <v>298950.4454</v>
      </c>
      <c r="W24" s="10">
        <f>IFERROR(__xludf.DUMMYFUNCTION("""COMPUTED_VALUE"""),0.687976452052521)</f>
        <v>0.6879764521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IFERROR(__xludf.DUMMYFUNCTION("""COMPUTED_VALUE"""),47.0)</f>
        <v>47</v>
      </c>
      <c r="D25" s="9"/>
      <c r="E25" s="9"/>
      <c r="F25" s="9"/>
      <c r="G25" s="10">
        <f>IFERROR(__xludf.DUMMYFUNCTION("""COMPUTED_VALUE"""),0.7659574468085106)</f>
        <v>0.7659574468</v>
      </c>
      <c r="H25" s="9"/>
      <c r="I25" s="9"/>
      <c r="J25" s="11">
        <f>IFERROR(__xludf.DUMMYFUNCTION("""COMPUTED_VALUE"""),36.0)</f>
        <v>36</v>
      </c>
      <c r="K25" s="9"/>
      <c r="L25" s="9"/>
      <c r="M25" s="9"/>
      <c r="N25" s="10">
        <f>IFERROR(__xludf.DUMMYFUNCTION("""COMPUTED_VALUE"""),0.4166666666666667)</f>
        <v>0.4166666667</v>
      </c>
      <c r="O25" s="9"/>
      <c r="P25" s="9"/>
      <c r="Q25" s="11">
        <f>IFERROR(__xludf.DUMMYFUNCTION("""COMPUTED_VALUE"""),15.0)</f>
        <v>15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IFERROR(__xludf.DUMMYFUNCTION("""COMPUTED_VALUE"""),45.0)</f>
        <v>45</v>
      </c>
      <c r="D26" s="9"/>
      <c r="E26" s="9"/>
      <c r="F26" s="9"/>
      <c r="G26" s="10">
        <f>IFERROR(__xludf.DUMMYFUNCTION("""COMPUTED_VALUE"""),0.8222222222222222)</f>
        <v>0.8222222222</v>
      </c>
      <c r="H26" s="9"/>
      <c r="I26" s="9"/>
      <c r="J26" s="11">
        <f>IFERROR(__xludf.DUMMYFUNCTION("""COMPUTED_VALUE"""),37.0)</f>
        <v>37</v>
      </c>
      <c r="K26" s="9"/>
      <c r="L26" s="9"/>
      <c r="M26" s="9"/>
      <c r="N26" s="10">
        <f>IFERROR(__xludf.DUMMYFUNCTION("""COMPUTED_VALUE"""),0.3783783783783784)</f>
        <v>0.3783783784</v>
      </c>
      <c r="O26" s="9"/>
      <c r="P26" s="9"/>
      <c r="Q26" s="11">
        <f>IFERROR(__xludf.DUMMYFUNCTION("""COMPUTED_VALUE"""),14.0)</f>
        <v>14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IFERROR(__xludf.DUMMYFUNCTION("""COMPUTED_VALUE"""),46.0)</f>
        <v>46</v>
      </c>
      <c r="D27" s="9"/>
      <c r="E27" s="9"/>
      <c r="F27" s="9"/>
      <c r="G27" s="10">
        <f>IFERROR(__xludf.DUMMYFUNCTION("""COMPUTED_VALUE"""),0.8478260869565217)</f>
        <v>0.847826087</v>
      </c>
      <c r="H27" s="9"/>
      <c r="I27" s="9"/>
      <c r="J27" s="11">
        <f>IFERROR(__xludf.DUMMYFUNCTION("""COMPUTED_VALUE"""),39.0)</f>
        <v>39</v>
      </c>
      <c r="K27" s="9"/>
      <c r="L27" s="9"/>
      <c r="M27" s="9"/>
      <c r="N27" s="10">
        <f>IFERROR(__xludf.DUMMYFUNCTION("""COMPUTED_VALUE"""),0.3333333333333333)</f>
        <v>0.3333333333</v>
      </c>
      <c r="O27" s="9"/>
      <c r="P27" s="9"/>
      <c r="Q27" s="11">
        <f>IFERROR(__xludf.DUMMYFUNCTION("""COMPUTED_VALUE"""),13.0)</f>
        <v>13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IFERROR(__xludf.DUMMYFUNCTION("""COMPUTED_VALUE"""),30.0)</f>
        <v>30</v>
      </c>
      <c r="D28" s="9"/>
      <c r="E28" s="9"/>
      <c r="F28" s="9"/>
      <c r="G28" s="10">
        <f>IFERROR(__xludf.DUMMYFUNCTION("""COMPUTED_VALUE"""),0.9333333333333333)</f>
        <v>0.9333333333</v>
      </c>
      <c r="H28" s="9"/>
      <c r="I28" s="9"/>
      <c r="J28" s="11">
        <f>IFERROR(__xludf.DUMMYFUNCTION("""COMPUTED_VALUE"""),28.0)</f>
        <v>28</v>
      </c>
      <c r="K28" s="9"/>
      <c r="L28" s="9"/>
      <c r="M28" s="9"/>
      <c r="N28" s="10">
        <f>IFERROR(__xludf.DUMMYFUNCTION("""COMPUTED_VALUE"""),0.42857142857142855)</f>
        <v>0.4285714286</v>
      </c>
      <c r="O28" s="9"/>
      <c r="P28" s="9"/>
      <c r="Q28" s="11">
        <f>IFERROR(__xludf.DUMMYFUNCTION("""COMPUTED_VALUE"""),12.0)</f>
        <v>12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IFERROR(__xludf.DUMMYFUNCTION("""COMPUTED_VALUE"""),35.0)</f>
        <v>35</v>
      </c>
      <c r="D29" s="9"/>
      <c r="E29" s="9"/>
      <c r="F29" s="9"/>
      <c r="G29" s="10">
        <f>IFERROR(__xludf.DUMMYFUNCTION("""COMPUTED_VALUE"""),0.8)</f>
        <v>0.8</v>
      </c>
      <c r="H29" s="9"/>
      <c r="I29" s="9"/>
      <c r="J29" s="11">
        <f>IFERROR(__xludf.DUMMYFUNCTION("""COMPUTED_VALUE"""),28.0)</f>
        <v>28</v>
      </c>
      <c r="K29" s="9"/>
      <c r="L29" s="9"/>
      <c r="M29" s="9"/>
      <c r="N29" s="10">
        <f>IFERROR(__xludf.DUMMYFUNCTION("""COMPUTED_VALUE"""),0.35714285714285715)</f>
        <v>0.3571428571</v>
      </c>
      <c r="O29" s="9"/>
      <c r="P29" s="9"/>
      <c r="Q29" s="11">
        <f>IFERROR(__xludf.DUMMYFUNCTION("""COMPUTED_VALUE"""),10.0)</f>
        <v>10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IFERROR(__xludf.DUMMYFUNCTION("""COMPUTED_VALUE"""),37.0)</f>
        <v>37</v>
      </c>
      <c r="D30" s="9"/>
      <c r="E30" s="9"/>
      <c r="F30" s="9"/>
      <c r="G30" s="10">
        <f>IFERROR(__xludf.DUMMYFUNCTION("""COMPUTED_VALUE"""),0.7837837837837838)</f>
        <v>0.7837837838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IFERROR(__xludf.DUMMYFUNCTION("""COMPUTED_VALUE"""),40.0)</f>
        <v>40</v>
      </c>
      <c r="D31" s="9"/>
      <c r="E31" s="9"/>
      <c r="F31" s="9"/>
      <c r="G31" s="10">
        <f>IFERROR(__xludf.DUMMYFUNCTION("""COMPUTED_VALUE"""),0.925)</f>
        <v>0.925</v>
      </c>
      <c r="H31" s="9"/>
      <c r="I31" s="9"/>
      <c r="J31" s="11">
        <f>IFERROR(__xludf.DUMMYFUNCTION("""COMPUTED_VALUE"""),37.0)</f>
        <v>37</v>
      </c>
      <c r="K31" s="9"/>
      <c r="L31" s="9"/>
      <c r="M31" s="9"/>
      <c r="N31" s="10">
        <f>IFERROR(__xludf.DUMMYFUNCTION("""COMPUTED_VALUE"""),0.21621621621621623)</f>
        <v>0.2162162162</v>
      </c>
      <c r="O31" s="9"/>
      <c r="P31" s="9"/>
      <c r="Q31" s="11">
        <f>IFERROR(__xludf.DUMMYFUNCTION("""COMPUTED_VALUE"""),8.0)</f>
        <v>8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IFERROR(__xludf.DUMMYFUNCTION("""COMPUTED_VALUE"""),30.0)</f>
        <v>30</v>
      </c>
      <c r="D32" s="9"/>
      <c r="E32" s="9"/>
      <c r="F32" s="9"/>
      <c r="G32" s="10">
        <f>IFERROR(__xludf.DUMMYFUNCTION("""COMPUTED_VALUE"""),0.9666666666666667)</f>
        <v>0.9666666667</v>
      </c>
      <c r="H32" s="9"/>
      <c r="I32" s="9"/>
      <c r="J32" s="11">
        <f>IFERROR(__xludf.DUMMYFUNCTION("""COMPUTED_VALUE"""),29.0)</f>
        <v>29</v>
      </c>
      <c r="K32" s="9"/>
      <c r="L32" s="9"/>
      <c r="M32" s="9"/>
      <c r="N32" s="10">
        <f>IFERROR(__xludf.DUMMYFUNCTION("""COMPUTED_VALUE"""),0.2413793103448276)</f>
        <v>0.2413793103</v>
      </c>
      <c r="O32" s="9"/>
      <c r="P32" s="9"/>
      <c r="Q32" s="11">
        <f>IFERROR(__xludf.DUMMYFUNCTION("""COMPUTED_VALUE"""),7.0)</f>
        <v>7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IFERROR(__xludf.DUMMYFUNCTION("""COMPUTED_VALUE"""),"Bruno Xavier")</f>
        <v>Bruno Xavier</v>
      </c>
      <c r="B33" s="9"/>
      <c r="C33" s="11">
        <f>IFERROR(__xludf.DUMMYFUNCTION("""COMPUTED_VALUE"""),35.0)</f>
        <v>35</v>
      </c>
      <c r="D33" s="9"/>
      <c r="E33" s="9"/>
      <c r="F33" s="9"/>
      <c r="G33" s="10">
        <f>IFERROR(__xludf.DUMMYFUNCTION("""COMPUTED_VALUE"""),0.7714285714285715)</f>
        <v>0.7714285714</v>
      </c>
      <c r="H33" s="9"/>
      <c r="I33" s="9"/>
      <c r="J33" s="11">
        <f>IFERROR(__xludf.DUMMYFUNCTION("""COMPUTED_VALUE"""),27.0)</f>
        <v>27</v>
      </c>
      <c r="K33" s="9"/>
      <c r="L33" s="9"/>
      <c r="M33" s="9"/>
      <c r="N33" s="10">
        <f>IFERROR(__xludf.DUMMYFUNCTION("""COMPUTED_VALUE"""),0.2222222222222222)</f>
        <v>0.2222222222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IFERROR(__xludf.DUMMYFUNCTION("""COMPUTED_VALUE"""),6.0)</f>
        <v>6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IFERROR(__xludf.DUMMYFUNCTION("""COMPUTED_VALUE"""),6.0)</f>
        <v>6</v>
      </c>
      <c r="K34" s="9"/>
      <c r="L34" s="9"/>
      <c r="M34" s="9"/>
      <c r="N34" s="10">
        <f>IFERROR(__xludf.DUMMYFUNCTION("""COMPUTED_VALUE"""),0.5)</f>
        <v>0.5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IFERROR(__xludf.DUMMYFUNCTION("""COMPUTED_VALUE"""),24.0)</f>
        <v>24</v>
      </c>
      <c r="D36" s="9"/>
      <c r="E36" s="9"/>
      <c r="F36" s="9"/>
      <c r="G36" s="10">
        <f>IFERROR(__xludf.DUMMYFUNCTION("""COMPUTED_VALUE"""),0.625)</f>
        <v>0.625</v>
      </c>
      <c r="H36" s="9"/>
      <c r="I36" s="9"/>
      <c r="J36" s="11">
        <f>IFERROR(__xludf.DUMMYFUNCTION("""COMPUTED_VALUE"""),15.0)</f>
        <v>15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IFERROR(__xludf.DUMMYFUNCTION("""COMPUTED_VALUE"""),270.96774193548373)</f>
        <v>270.9677419</v>
      </c>
      <c r="C37" s="11">
        <f>IFERROR(__xludf.DUMMYFUNCTION("""COMPUTED_VALUE"""),386.0)</f>
        <v>386</v>
      </c>
      <c r="D37" s="11">
        <f>IFERROR(__xludf.DUMMYFUNCTION("""COMPUTED_VALUE"""),115.03225806451627)</f>
        <v>115.0322581</v>
      </c>
      <c r="E37" s="10">
        <f>IFERROR(__xludf.DUMMYFUNCTION("""COMPUTED_VALUE"""),0.42452380952381025)</f>
        <v>0.4245238095</v>
      </c>
      <c r="F37" s="10">
        <f>IFERROR(__xludf.DUMMYFUNCTION("""COMPUTED_VALUE"""),0.8420724459024017)</f>
        <v>0.8420724459</v>
      </c>
      <c r="G37" s="10">
        <f>IFERROR(__xludf.DUMMYFUNCTION("""COMPUTED_VALUE"""),0.8316062176165803)</f>
        <v>0.8316062176</v>
      </c>
      <c r="H37" s="35">
        <f>IFERROR(__xludf.DUMMYFUNCTION("""COMPUTED_VALUE"""),-1.0466228285821444)</f>
        <v>-1.046622829</v>
      </c>
      <c r="I37" s="11">
        <f>IFERROR(__xludf.DUMMYFUNCTION("""COMPUTED_VALUE"""),228.17446921226357)</f>
        <v>228.1744692</v>
      </c>
      <c r="J37" s="11">
        <f>IFERROR(__xludf.DUMMYFUNCTION("""COMPUTED_VALUE"""),321.0)</f>
        <v>321</v>
      </c>
      <c r="K37" s="11">
        <f>IFERROR(__xludf.DUMMYFUNCTION("""COMPUTED_VALUE"""),92.82553078773643)</f>
        <v>92.82553079</v>
      </c>
      <c r="L37" s="10">
        <f>IFERROR(__xludf.DUMMYFUNCTION("""COMPUTED_VALUE"""),0.4068182172536742)</f>
        <v>0.4068182173</v>
      </c>
      <c r="M37" s="10">
        <f>IFERROR(__xludf.DUMMYFUNCTION("""COMPUTED_VALUE"""),0.3293750000000003)</f>
        <v>0.329375</v>
      </c>
      <c r="N37" s="10">
        <f>IFERROR(__xludf.DUMMYFUNCTION("""COMPUTED_VALUE"""),0.42679127725856697)</f>
        <v>0.4267912773</v>
      </c>
      <c r="O37" s="35">
        <f>IFERROR(__xludf.DUMMYFUNCTION("""COMPUTED_VALUE"""),9.741627725856667)</f>
        <v>9.741627726</v>
      </c>
      <c r="P37" s="11">
        <f>IFERROR(__xludf.DUMMYFUNCTION("""COMPUTED_VALUE"""),75.15496579678938)</f>
        <v>75.1549658</v>
      </c>
      <c r="Q37" s="11">
        <f>IFERROR(__xludf.DUMMYFUNCTION("""COMPUTED_VALUE"""),137.0)</f>
        <v>137</v>
      </c>
      <c r="R37" s="11">
        <f>IFERROR(__xludf.DUMMYFUNCTION("""COMPUTED_VALUE"""),61.845034203210616)</f>
        <v>61.8450342</v>
      </c>
      <c r="S37" s="10">
        <f>IFERROR(__xludf.DUMMYFUNCTION("""COMPUTED_VALUE"""),0.8229001709671809)</f>
        <v>0.822900171</v>
      </c>
      <c r="T37" s="11">
        <f>IFERROR(__xludf.DUMMYFUNCTION("""COMPUTED_VALUE"""),296436.03634456074)</f>
        <v>296436.0363</v>
      </c>
      <c r="U37" s="36">
        <f>IFERROR(__xludf.DUMMYFUNCTION("""COMPUTED_VALUE"""),4240.0)</f>
        <v>4240</v>
      </c>
      <c r="V37" s="36">
        <f>IFERROR(__xludf.DUMMYFUNCTION("""COMPUTED_VALUE"""),393580.2505400024)</f>
        <v>393580.2505</v>
      </c>
      <c r="W37" s="10">
        <f>IFERROR(__xludf.DUMMYFUNCTION("""COMPUTED_VALUE"""),1.3277071687820257)</f>
        <v>1.327707169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IFERROR(__xludf.DUMMYFUNCTION("""COMPUTED_VALUE"""),61.78064516129028)</f>
        <v>61.78064516</v>
      </c>
      <c r="C49" s="11">
        <f>IFERROR(__xludf.DUMMYFUNCTION("""COMPUTED_VALUE"""),76.0)</f>
        <v>76</v>
      </c>
      <c r="D49" s="11">
        <f>IFERROR(__xludf.DUMMYFUNCTION("""COMPUTED_VALUE"""),14.21935483870972)</f>
        <v>14.21935484</v>
      </c>
      <c r="E49" s="10">
        <f>IFERROR(__xludf.DUMMYFUNCTION("""COMPUTED_VALUE"""),0.230158730158731)</f>
        <v>0.2301587302</v>
      </c>
      <c r="F49" s="10">
        <f>IFERROR(__xludf.DUMMYFUNCTION("""COMPUTED_VALUE"""),0.7)</f>
        <v>0.7</v>
      </c>
      <c r="G49" s="10">
        <f>IFERROR(__xludf.DUMMYFUNCTION("""COMPUTED_VALUE"""),0.7368421052631579)</f>
        <v>0.7368421053</v>
      </c>
      <c r="H49" s="35">
        <f>IFERROR(__xludf.DUMMYFUNCTION("""COMPUTED_VALUE"""),3.68421052631579)</f>
        <v>3.684210526</v>
      </c>
      <c r="I49" s="11">
        <f>IFERROR(__xludf.DUMMYFUNCTION("""COMPUTED_VALUE"""),43.24645161290319)</f>
        <v>43.24645161</v>
      </c>
      <c r="J49" s="11">
        <f>IFERROR(__xludf.DUMMYFUNCTION("""COMPUTED_VALUE"""),56.0)</f>
        <v>56</v>
      </c>
      <c r="K49" s="11">
        <f>IFERROR(__xludf.DUMMYFUNCTION("""COMPUTED_VALUE"""),12.753548387096806)</f>
        <v>12.75354839</v>
      </c>
      <c r="L49" s="10">
        <f>IFERROR(__xludf.DUMMYFUNCTION("""COMPUTED_VALUE"""),0.29490392648287483)</f>
        <v>0.2949039265</v>
      </c>
      <c r="M49" s="10">
        <f>IFERROR(__xludf.DUMMYFUNCTION("""COMPUTED_VALUE"""),0.2712500000000002)</f>
        <v>0.27125</v>
      </c>
      <c r="N49" s="10">
        <f>IFERROR(__xludf.DUMMYFUNCTION("""COMPUTED_VALUE"""),0.17857142857142858)</f>
        <v>0.1785714286</v>
      </c>
      <c r="O49" s="35">
        <f>IFERROR(__xludf.DUMMYFUNCTION("""COMPUTED_VALUE"""),-9.267857142857164)</f>
        <v>-9.267857143</v>
      </c>
      <c r="P49" s="11">
        <f>IFERROR(__xludf.DUMMYFUNCTION("""COMPUTED_VALUE"""),11.7306)</f>
        <v>11.7306</v>
      </c>
      <c r="Q49" s="11">
        <f>IFERROR(__xludf.DUMMYFUNCTION("""COMPUTED_VALUE"""),10.0)</f>
        <v>10</v>
      </c>
      <c r="R49" s="11">
        <f>IFERROR(__xludf.DUMMYFUNCTION("""COMPUTED_VALUE"""),-1.7306000000000008)</f>
        <v>-1.7306</v>
      </c>
      <c r="S49" s="10">
        <f>IFERROR(__xludf.DUMMYFUNCTION("""COMPUTED_VALUE"""),-0.1475286856597276)</f>
        <v>-0.1475286857</v>
      </c>
      <c r="T49" s="11">
        <f>IFERROR(__xludf.DUMMYFUNCTION("""COMPUTED_VALUE"""),91665.723744)</f>
        <v>91665.72374</v>
      </c>
      <c r="U49" s="36">
        <f>IFERROR(__xludf.DUMMYFUNCTION("""COMPUTED_VALUE"""),8400.0)</f>
        <v>8400</v>
      </c>
      <c r="V49" s="36">
        <f>IFERROR(__xludf.DUMMYFUNCTION("""COMPUTED_VALUE"""),107129.80645161317)</f>
        <v>107129.8065</v>
      </c>
      <c r="W49" s="10">
        <f>IFERROR(__xludf.DUMMYFUNCTION("""COMPUTED_VALUE"""),1.1687008194120692)</f>
        <v>1.168700819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IFERROR(__xludf.DUMMYFUNCTION("""COMPUTED_VALUE"""),7.0)</f>
        <v>7</v>
      </c>
      <c r="D50" s="9"/>
      <c r="E50" s="9"/>
      <c r="F50" s="9"/>
      <c r="G50" s="10">
        <f>IFERROR(__xludf.DUMMYFUNCTION("""COMPUTED_VALUE"""),0.5714285714285714)</f>
        <v>0.5714285714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IFERROR(__xludf.DUMMYFUNCTION("""COMPUTED_VALUE"""),9.0)</f>
        <v>9</v>
      </c>
      <c r="D51" s="9"/>
      <c r="E51" s="9"/>
      <c r="F51" s="9"/>
      <c r="G51" s="10">
        <f>IFERROR(__xludf.DUMMYFUNCTION("""COMPUTED_VALUE"""),0.7777777777777778)</f>
        <v>0.7777777778</v>
      </c>
      <c r="H51" s="9"/>
      <c r="I51" s="9"/>
      <c r="J51" s="11">
        <f>IFERROR(__xludf.DUMMYFUNCTION("""COMPUTED_VALUE"""),7.0)</f>
        <v>7</v>
      </c>
      <c r="K51" s="9"/>
      <c r="L51" s="9"/>
      <c r="M51" s="9"/>
      <c r="N51" s="10">
        <f>IFERROR(__xludf.DUMMYFUNCTION("""COMPUTED_VALUE"""),0.2857142857142857)</f>
        <v>0.2857142857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IFERROR(__xludf.DUMMYFUNCTION("""COMPUTED_VALUE"""),11.0)</f>
        <v>11</v>
      </c>
      <c r="D53" s="9"/>
      <c r="E53" s="9"/>
      <c r="F53" s="9"/>
      <c r="G53" s="10">
        <f>IFERROR(__xludf.DUMMYFUNCTION("""COMPUTED_VALUE"""),0.45454545454545453)</f>
        <v>0.4545454545</v>
      </c>
      <c r="H53" s="9"/>
      <c r="I53" s="9"/>
      <c r="J53" s="11">
        <f>IFERROR(__xludf.DUMMYFUNCTION("""COMPUTED_VALUE"""),5.0)</f>
        <v>5</v>
      </c>
      <c r="K53" s="9"/>
      <c r="L53" s="9"/>
      <c r="M53" s="9"/>
      <c r="N53" s="10">
        <f>IFERROR(__xludf.DUMMYFUNCTION("""COMPUTED_VALUE"""),0.2)</f>
        <v>0.2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IFERROR(__xludf.DUMMYFUNCTION("""COMPUTED_VALUE"""),8.0)</f>
        <v>8</v>
      </c>
      <c r="D54" s="9"/>
      <c r="E54" s="9"/>
      <c r="F54" s="9"/>
      <c r="G54" s="10">
        <f>IFERROR(__xludf.DUMMYFUNCTION("""COMPUTED_VALUE"""),0.75)</f>
        <v>0.75</v>
      </c>
      <c r="H54" s="9"/>
      <c r="I54" s="9"/>
      <c r="J54" s="11">
        <f>IFERROR(__xludf.DUMMYFUNCTION("""COMPUTED_VALUE"""),6.0)</f>
        <v>6</v>
      </c>
      <c r="K54" s="9"/>
      <c r="L54" s="9"/>
      <c r="M54" s="9"/>
      <c r="N54" s="10">
        <f>IFERROR(__xludf.DUMMYFUNCTION("""COMPUTED_VALUE"""),0.16666666666666666)</f>
        <v>0.1666666667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IFERROR(__xludf.DUMMYFUNCTION("""COMPUTED_VALUE"""),"Leonardo Alencar")</f>
        <v>Leonardo Alencar</v>
      </c>
      <c r="B55" s="9"/>
      <c r="C55" s="11">
        <f>IFERROR(__xludf.DUMMYFUNCTION("""COMPUTED_VALUE"""),6.0)</f>
        <v>6</v>
      </c>
      <c r="D55" s="9"/>
      <c r="E55" s="9"/>
      <c r="F55" s="9"/>
      <c r="G55" s="10">
        <f>IFERROR(__xludf.DUMMYFUNCTION("""COMPUTED_VALUE"""),1.0)</f>
        <v>1</v>
      </c>
      <c r="H55" s="9"/>
      <c r="I55" s="9"/>
      <c r="J55" s="11">
        <f>IFERROR(__xludf.DUMMYFUNCTION("""COMPUTED_VALUE"""),6.0)</f>
        <v>6</v>
      </c>
      <c r="K55" s="9"/>
      <c r="L55" s="9"/>
      <c r="M55" s="9"/>
      <c r="N55" s="10">
        <f>IFERROR(__xludf.DUMMYFUNCTION("""COMPUTED_VALUE"""),0.16666666666666666)</f>
        <v>0.1666666667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IFERROR(__xludf.DUMMYFUNCTION("""COMPUTED_VALUE"""),"João Vitor Nascimento")</f>
        <v>João Vitor Nascimento</v>
      </c>
      <c r="B56" s="9"/>
      <c r="C56" s="11">
        <f>IFERROR(__xludf.DUMMYFUNCTION("""COMPUTED_VALUE"""),6.0)</f>
        <v>6</v>
      </c>
      <c r="D56" s="9"/>
      <c r="E56" s="9"/>
      <c r="F56" s="9"/>
      <c r="G56" s="10">
        <f>IFERROR(__xludf.DUMMYFUNCTION("""COMPUTED_VALUE"""),1.0)</f>
        <v>1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IFERROR(__xludf.DUMMYFUNCTION("""COMPUTED_VALUE"""),"Bruno Xavier")</f>
        <v>Bruno Xavier</v>
      </c>
      <c r="B57" s="9"/>
      <c r="C57" s="11">
        <f>IFERROR(__xludf.DUMMYFUNCTION("""COMPUTED_VALUE"""),7.0)</f>
        <v>7</v>
      </c>
      <c r="D57" s="9"/>
      <c r="E57" s="9"/>
      <c r="F57" s="9"/>
      <c r="G57" s="10">
        <f>IFERROR(__xludf.DUMMYFUNCTION("""COMPUTED_VALUE"""),1.0)</f>
        <v>1</v>
      </c>
      <c r="H57" s="9"/>
      <c r="I57" s="9"/>
      <c r="J57" s="11">
        <f>IFERROR(__xludf.DUMMYFUNCTION("""COMPUTED_VALUE"""),7.0)</f>
        <v>7</v>
      </c>
      <c r="K57" s="9"/>
      <c r="L57" s="9"/>
      <c r="M57" s="9"/>
      <c r="N57" s="10">
        <f>IFERROR(__xludf.DUMMYFUNCTION("""COMPUTED_VALUE"""),0.14285714285714285)</f>
        <v>0.1428571429</v>
      </c>
      <c r="O57" s="9"/>
      <c r="P57" s="9"/>
      <c r="Q57" s="11">
        <f>IFERROR(__xludf.DUMMYFUNCTION("""COMPUTED_VALUE"""),1.0)</f>
        <v>1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IFERROR(__xludf.DUMMYFUNCTION("""COMPUTED_VALUE"""),"Nicolas Miranda")</f>
        <v>Nicolas Miranda</v>
      </c>
      <c r="B58" s="9"/>
      <c r="C58" s="11">
        <f>IFERROR(__xludf.DUMMYFUNCTION("""COMPUTED_VALUE"""),7.0)</f>
        <v>7</v>
      </c>
      <c r="D58" s="9"/>
      <c r="E58" s="9"/>
      <c r="F58" s="9"/>
      <c r="G58" s="10">
        <f>IFERROR(__xludf.DUMMYFUNCTION("""COMPUTED_VALUE"""),0.7142857142857143)</f>
        <v>0.7142857143</v>
      </c>
      <c r="H58" s="9"/>
      <c r="I58" s="9"/>
      <c r="J58" s="11">
        <f>IFERROR(__xludf.DUMMYFUNCTION("""COMPUTED_VALUE"""),5.0)</f>
        <v>5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IFERROR(__xludf.DUMMYFUNCTION("""COMPUTED_VALUE"""),"Luiz Felipe")</f>
        <v>Luiz Felipe</v>
      </c>
      <c r="B59" s="9"/>
      <c r="C59" s="11">
        <f>IFERROR(__xludf.DUMMYFUNCTION("""COMPUTED_VALUE"""),5.0)</f>
        <v>5</v>
      </c>
      <c r="D59" s="9"/>
      <c r="E59" s="9"/>
      <c r="F59" s="9"/>
      <c r="G59" s="10">
        <f>IFERROR(__xludf.DUMMYFUNCTION("""COMPUTED_VALUE"""),0.4)</f>
        <v>0.4</v>
      </c>
      <c r="H59" s="9"/>
      <c r="I59" s="9"/>
      <c r="J59" s="11">
        <f>IFERROR(__xludf.DUMMYFUNCTION("""COMPUTED_VALUE"""),2.0)</f>
        <v>2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IFERROR(__xludf.DUMMYFUNCTION("""COMPUTED_VALUE"""),1174.6064516129024)</f>
        <v>1174.606452</v>
      </c>
      <c r="C60" s="11">
        <f>IFERROR(__xludf.DUMMYFUNCTION("""COMPUTED_VALUE"""),2805.0)</f>
        <v>2805</v>
      </c>
      <c r="D60" s="11">
        <f>IFERROR(__xludf.DUMMYFUNCTION("""COMPUTED_VALUE"""),1630.3935483870976)</f>
        <v>1630.393548</v>
      </c>
      <c r="E60" s="10">
        <f>IFERROR(__xludf.DUMMYFUNCTION("""COMPUTED_VALUE"""),1.3880338781966797)</f>
        <v>1.388033878</v>
      </c>
      <c r="F60" s="10">
        <f>IFERROR(__xludf.DUMMYFUNCTION("""COMPUTED_VALUE"""),0.7391240265256913)</f>
        <v>0.7391240265</v>
      </c>
      <c r="G60" s="10">
        <f>IFERROR(__xludf.DUMMYFUNCTION("""COMPUTED_VALUE"""),0.6998217468805704)</f>
        <v>0.6998217469</v>
      </c>
      <c r="H60" s="35">
        <f>IFERROR(__xludf.DUMMYFUNCTION("""COMPUTED_VALUE"""),-3.9302279645120897)</f>
        <v>-3.930227965</v>
      </c>
      <c r="I60" s="11">
        <f>IFERROR(__xludf.DUMMYFUNCTION("""COMPUTED_VALUE"""),868.1798500991831)</f>
        <v>868.1798501</v>
      </c>
      <c r="J60" s="11">
        <f>IFERROR(__xludf.DUMMYFUNCTION("""COMPUTED_VALUE"""),1963.0)</f>
        <v>1963</v>
      </c>
      <c r="K60" s="11">
        <f>IFERROR(__xludf.DUMMYFUNCTION("""COMPUTED_VALUE"""),1094.820149900817)</f>
        <v>1094.82015</v>
      </c>
      <c r="L60" s="10">
        <f>IFERROR(__xludf.DUMMYFUNCTION("""COMPUTED_VALUE"""),1.261052246001496)</f>
        <v>1.261052246</v>
      </c>
      <c r="M60" s="10">
        <f>IFERROR(__xludf.DUMMYFUNCTION("""COMPUTED_VALUE"""),0.33573164743115086)</f>
        <v>0.3357316474</v>
      </c>
      <c r="N60" s="10">
        <f>IFERROR(__xludf.DUMMYFUNCTION("""COMPUTED_VALUE"""),0.3937850229240958)</f>
        <v>0.3937850229</v>
      </c>
      <c r="O60" s="35">
        <f>IFERROR(__xludf.DUMMYFUNCTION("""COMPUTED_VALUE"""),5.805337549294492)</f>
        <v>5.805337549</v>
      </c>
      <c r="P60" s="11">
        <f>IFERROR(__xludf.DUMMYFUNCTION("""COMPUTED_VALUE"""),291.47545134032833)</f>
        <v>291.4754513</v>
      </c>
      <c r="Q60" s="11">
        <f>IFERROR(__xludf.DUMMYFUNCTION("""COMPUTED_VALUE"""),773.0)</f>
        <v>773</v>
      </c>
      <c r="R60" s="11">
        <f>IFERROR(__xludf.DUMMYFUNCTION("""COMPUTED_VALUE"""),481.52454865967167)</f>
        <v>481.5245487</v>
      </c>
      <c r="S60" s="10">
        <f>IFERROR(__xludf.DUMMYFUNCTION("""COMPUTED_VALUE"""),1.652024369275068)</f>
        <v>1.652024369</v>
      </c>
      <c r="T60" s="11">
        <f>IFERROR(__xludf.DUMMYFUNCTION("""COMPUTED_VALUE"""),1587389.8286786797)</f>
        <v>1587389.829</v>
      </c>
      <c r="U60" s="36">
        <f>IFERROR(__xludf.DUMMYFUNCTION("""COMPUTED_VALUE"""),5854.288896925282)</f>
        <v>5854.288897</v>
      </c>
      <c r="V60" s="36">
        <f>IFERROR(__xludf.DUMMYFUNCTION("""COMPUTED_VALUE"""),358768.83253602753)</f>
        <v>358768.8325</v>
      </c>
      <c r="W60" s="10">
        <f>IFERROR(__xludf.DUMMYFUNCTION("""COMPUTED_VALUE"""),0.22601180003443863)</f>
        <v>0.2260118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IFERROR(__xludf.DUMMYFUNCTION("""COMPUTED_VALUE"""),357.6774193548385)</f>
        <v>357.6774194</v>
      </c>
      <c r="C61" s="11">
        <f>IFERROR(__xludf.DUMMYFUNCTION("""COMPUTED_VALUE"""),362.0)</f>
        <v>362</v>
      </c>
      <c r="D61" s="11">
        <f>IFERROR(__xludf.DUMMYFUNCTION("""COMPUTED_VALUE"""),4.3225806451615085)</f>
        <v>4.322580645</v>
      </c>
      <c r="E61" s="10">
        <f>IFERROR(__xludf.DUMMYFUNCTION("""COMPUTED_VALUE"""),0.012085137085137702)</f>
        <v>0.01208513709</v>
      </c>
      <c r="F61" s="10">
        <f>IFERROR(__xludf.DUMMYFUNCTION("""COMPUTED_VALUE"""),0.8681746999803265)</f>
        <v>0.8681747</v>
      </c>
      <c r="G61" s="10">
        <f>IFERROR(__xludf.DUMMYFUNCTION("""COMPUTED_VALUE"""),0.7016574585635359)</f>
        <v>0.7016574586</v>
      </c>
      <c r="H61" s="35">
        <f>IFERROR(__xludf.DUMMYFUNCTION("""COMPUTED_VALUE"""),-16.651724141679058)</f>
        <v>-16.65172414</v>
      </c>
      <c r="I61" s="11">
        <f>IFERROR(__xludf.DUMMYFUNCTION("""COMPUTED_VALUE"""),310.52648623812433)</f>
        <v>310.5264862</v>
      </c>
      <c r="J61" s="11">
        <f>IFERROR(__xludf.DUMMYFUNCTION("""COMPUTED_VALUE"""),254.0)</f>
        <v>254</v>
      </c>
      <c r="K61" s="11">
        <f>IFERROR(__xludf.DUMMYFUNCTION("""COMPUTED_VALUE"""),-56.526486238124335)</f>
        <v>-56.52648624</v>
      </c>
      <c r="L61" s="10">
        <f>IFERROR(__xludf.DUMMYFUNCTION("""COMPUTED_VALUE"""),-0.1820343472884227)</f>
        <v>-0.1820343473</v>
      </c>
      <c r="M61" s="10">
        <f>IFERROR(__xludf.DUMMYFUNCTION("""COMPUTED_VALUE"""),0.3100000000000003)</f>
        <v>0.31</v>
      </c>
      <c r="N61" s="10">
        <f>IFERROR(__xludf.DUMMYFUNCTION("""COMPUTED_VALUE"""),0.43700787401574803)</f>
        <v>0.437007874</v>
      </c>
      <c r="O61" s="35">
        <f>IFERROR(__xludf.DUMMYFUNCTION("""COMPUTED_VALUE"""),12.700787401574775)</f>
        <v>12.7007874</v>
      </c>
      <c r="P61" s="11">
        <f>IFERROR(__xludf.DUMMYFUNCTION("""COMPUTED_VALUE"""),96.26321073381862)</f>
        <v>96.26321073</v>
      </c>
      <c r="Q61" s="11">
        <f>IFERROR(__xludf.DUMMYFUNCTION("""COMPUTED_VALUE"""),111.0)</f>
        <v>111</v>
      </c>
      <c r="R61" s="11">
        <f>IFERROR(__xludf.DUMMYFUNCTION("""COMPUTED_VALUE"""),14.736789266181376)</f>
        <v>14.73678927</v>
      </c>
      <c r="S61" s="10">
        <f>IFERROR(__xludf.DUMMYFUNCTION("""COMPUTED_VALUE"""),0.15308848680448317)</f>
        <v>0.1530884868</v>
      </c>
      <c r="T61" s="11">
        <f>IFERROR(__xludf.DUMMYFUNCTION("""COMPUTED_VALUE"""),454468.5650728001)</f>
        <v>454468.5651</v>
      </c>
      <c r="U61" s="36">
        <f>IFERROR(__xludf.DUMMYFUNCTION("""COMPUTED_VALUE"""),5074.999999999999)</f>
        <v>5075</v>
      </c>
      <c r="V61" s="36">
        <f>IFERROR(__xludf.DUMMYFUNCTION("""COMPUTED_VALUE"""),-286871.91765848093)</f>
        <v>-286871.9177</v>
      </c>
      <c r="W61" s="10">
        <f>IFERROR(__xludf.DUMMYFUNCTION("""COMPUTED_VALUE"""),-0.6312249948740188)</f>
        <v>-0.6312249949</v>
      </c>
      <c r="X61" s="9"/>
      <c r="Y61" s="9"/>
      <c r="Z61" s="9"/>
    </row>
    <row r="62">
      <c r="A62" s="9" t="str">
        <f>IFERROR(__xludf.DUMMYFUNCTION("""COMPUTED_VALUE"""),"Mariana Jovenato")</f>
        <v>Mariana Jovenato</v>
      </c>
      <c r="B62" s="9"/>
      <c r="C62" s="11">
        <f>IFERROR(__xludf.DUMMYFUNCTION("""COMPUTED_VALUE"""),43.0)</f>
        <v>43</v>
      </c>
      <c r="D62" s="9"/>
      <c r="E62" s="9"/>
      <c r="F62" s="9"/>
      <c r="G62" s="10">
        <f>IFERROR(__xludf.DUMMYFUNCTION("""COMPUTED_VALUE"""),0.8372093023255814)</f>
        <v>0.8372093023</v>
      </c>
      <c r="H62" s="9"/>
      <c r="I62" s="9"/>
      <c r="J62" s="11">
        <f>IFERROR(__xludf.DUMMYFUNCTION("""COMPUTED_VALUE"""),36.0)</f>
        <v>36</v>
      </c>
      <c r="K62" s="9"/>
      <c r="L62" s="9"/>
      <c r="M62" s="9"/>
      <c r="N62" s="10">
        <f>IFERROR(__xludf.DUMMYFUNCTION("""COMPUTED_VALUE"""),0.4444444444444444)</f>
        <v>0.4444444444</v>
      </c>
      <c r="O62" s="9"/>
      <c r="P62" s="9"/>
      <c r="Q62" s="11">
        <f>IFERROR(__xludf.DUMMYFUNCTION("""COMPUTED_VALUE"""),16.0)</f>
        <v>16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IFERROR(__xludf.DUMMYFUNCTION("""COMPUTED_VALUE"""),"Cauã Andrade")</f>
        <v>Cauã Andrade</v>
      </c>
      <c r="B63" s="9"/>
      <c r="C63" s="11">
        <f>IFERROR(__xludf.DUMMYFUNCTION("""COMPUTED_VALUE"""),44.0)</f>
        <v>44</v>
      </c>
      <c r="D63" s="9"/>
      <c r="E63" s="9"/>
      <c r="F63" s="9"/>
      <c r="G63" s="10">
        <f>IFERROR(__xludf.DUMMYFUNCTION("""COMPUTED_VALUE"""),0.75)</f>
        <v>0.75</v>
      </c>
      <c r="H63" s="9"/>
      <c r="I63" s="9"/>
      <c r="J63" s="11">
        <f>IFERROR(__xludf.DUMMYFUNCTION("""COMPUTED_VALUE"""),33.0)</f>
        <v>33</v>
      </c>
      <c r="K63" s="9"/>
      <c r="L63" s="9"/>
      <c r="M63" s="9"/>
      <c r="N63" s="10">
        <f>IFERROR(__xludf.DUMMYFUNCTION("""COMPUTED_VALUE"""),0.42424242424242425)</f>
        <v>0.4242424242</v>
      </c>
      <c r="O63" s="9"/>
      <c r="P63" s="9"/>
      <c r="Q63" s="11">
        <f>IFERROR(__xludf.DUMMYFUNCTION("""COMPUTED_VALUE"""),14.0)</f>
        <v>14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IFERROR(__xludf.DUMMYFUNCTION("""COMPUTED_VALUE"""),"Thalita Lopes")</f>
        <v>Thalita Lopes</v>
      </c>
      <c r="B64" s="9"/>
      <c r="C64" s="11">
        <f>IFERROR(__xludf.DUMMYFUNCTION("""COMPUTED_VALUE"""),44.0)</f>
        <v>44</v>
      </c>
      <c r="D64" s="9"/>
      <c r="E64" s="9"/>
      <c r="F64" s="9"/>
      <c r="G64" s="10">
        <f>IFERROR(__xludf.DUMMYFUNCTION("""COMPUTED_VALUE"""),0.6136363636363636)</f>
        <v>0.6136363636</v>
      </c>
      <c r="H64" s="9"/>
      <c r="I64" s="9"/>
      <c r="J64" s="11">
        <f>IFERROR(__xludf.DUMMYFUNCTION("""COMPUTED_VALUE"""),27.0)</f>
        <v>27</v>
      </c>
      <c r="K64" s="9"/>
      <c r="L64" s="9"/>
      <c r="M64" s="9"/>
      <c r="N64" s="10">
        <f>IFERROR(__xludf.DUMMYFUNCTION("""COMPUTED_VALUE"""),0.48148148148148145)</f>
        <v>0.4814814815</v>
      </c>
      <c r="O64" s="9"/>
      <c r="P64" s="9"/>
      <c r="Q64" s="11">
        <f>IFERROR(__xludf.DUMMYFUNCTION("""COMPUTED_VALUE"""),13.0)</f>
        <v>13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IFERROR(__xludf.DUMMYFUNCTION("""COMPUTED_VALUE"""),"Marcio Lucas")</f>
        <v>Marcio Lucas</v>
      </c>
      <c r="B65" s="9"/>
      <c r="C65" s="11">
        <f>IFERROR(__xludf.DUMMYFUNCTION("""COMPUTED_VALUE"""),51.0)</f>
        <v>51</v>
      </c>
      <c r="D65" s="9"/>
      <c r="E65" s="9"/>
      <c r="F65" s="9"/>
      <c r="G65" s="10">
        <f>IFERROR(__xludf.DUMMYFUNCTION("""COMPUTED_VALUE"""),0.803921568627451)</f>
        <v>0.8039215686</v>
      </c>
      <c r="H65" s="9"/>
      <c r="I65" s="9"/>
      <c r="J65" s="11">
        <f>IFERROR(__xludf.DUMMYFUNCTION("""COMPUTED_VALUE"""),41.0)</f>
        <v>41</v>
      </c>
      <c r="K65" s="9"/>
      <c r="L65" s="9"/>
      <c r="M65" s="9"/>
      <c r="N65" s="10">
        <f>IFERROR(__xludf.DUMMYFUNCTION("""COMPUTED_VALUE"""),0.3170731707317073)</f>
        <v>0.3170731707</v>
      </c>
      <c r="O65" s="9"/>
      <c r="P65" s="9"/>
      <c r="Q65" s="11">
        <f>IFERROR(__xludf.DUMMYFUNCTION("""COMPUTED_VALUE"""),13.0)</f>
        <v>13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IFERROR(__xludf.DUMMYFUNCTION("""COMPUTED_VALUE"""),45.0)</f>
        <v>45</v>
      </c>
      <c r="D66" s="9"/>
      <c r="E66" s="9"/>
      <c r="F66" s="9"/>
      <c r="G66" s="10">
        <f>IFERROR(__xludf.DUMMYFUNCTION("""COMPUTED_VALUE"""),0.6444444444444445)</f>
        <v>0.6444444444</v>
      </c>
      <c r="H66" s="9"/>
      <c r="I66" s="9"/>
      <c r="J66" s="11">
        <f>IFERROR(__xludf.DUMMYFUNCTION("""COMPUTED_VALUE"""),29.0)</f>
        <v>29</v>
      </c>
      <c r="K66" s="9"/>
      <c r="L66" s="9"/>
      <c r="M66" s="9"/>
      <c r="N66" s="10">
        <f>IFERROR(__xludf.DUMMYFUNCTION("""COMPUTED_VALUE"""),0.3793103448275862)</f>
        <v>0.3793103448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IFERROR(__xludf.DUMMYFUNCTION("""COMPUTED_VALUE"""),"João Rios")</f>
        <v>João Rios</v>
      </c>
      <c r="B67" s="9"/>
      <c r="C67" s="11">
        <f>IFERROR(__xludf.DUMMYFUNCTION("""COMPUTED_VALUE"""),43.0)</f>
        <v>43</v>
      </c>
      <c r="D67" s="9"/>
      <c r="E67" s="9"/>
      <c r="F67" s="9"/>
      <c r="G67" s="10">
        <f>IFERROR(__xludf.DUMMYFUNCTION("""COMPUTED_VALUE"""),0.627906976744186)</f>
        <v>0.6279069767</v>
      </c>
      <c r="H67" s="9"/>
      <c r="I67" s="9"/>
      <c r="J67" s="11">
        <f>IFERROR(__xludf.DUMMYFUNCTION("""COMPUTED_VALUE"""),27.0)</f>
        <v>27</v>
      </c>
      <c r="K67" s="9"/>
      <c r="L67" s="9"/>
      <c r="M67" s="9"/>
      <c r="N67" s="10">
        <f>IFERROR(__xludf.DUMMYFUNCTION("""COMPUTED_VALUE"""),0.37037037037037035)</f>
        <v>0.3703703704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IFERROR(__xludf.DUMMYFUNCTION("""COMPUTED_VALUE"""),"Felipe Maximo")</f>
        <v>Felipe Maximo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IFERROR(__xludf.DUMMYFUNCTION("""COMPUTED_VALUE"""),0.75)</f>
        <v>0.75</v>
      </c>
      <c r="H68" s="9"/>
      <c r="I68" s="9"/>
      <c r="J68" s="11">
        <f>IFERROR(__xludf.DUMMYFUNCTION("""COMPUTED_VALUE"""),27.0)</f>
        <v>27</v>
      </c>
      <c r="K68" s="9"/>
      <c r="L68" s="9"/>
      <c r="M68" s="9"/>
      <c r="N68" s="10">
        <f>IFERROR(__xludf.DUMMYFUNCTION("""COMPUTED_VALUE"""),0.37037037037037035)</f>
        <v>0.3703703704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IFERROR(__xludf.DUMMYFUNCTION("""COMPUTED_VALUE"""),"Mylena Reis")</f>
        <v>Mylena Reis</v>
      </c>
      <c r="B69" s="9"/>
      <c r="C69" s="11">
        <f>IFERROR(__xludf.DUMMYFUNCTION("""COMPUTED_VALUE"""),36.0)</f>
        <v>36</v>
      </c>
      <c r="D69" s="9"/>
      <c r="E69" s="9"/>
      <c r="F69" s="9"/>
      <c r="G69" s="10">
        <f>IFERROR(__xludf.DUMMYFUNCTION("""COMPUTED_VALUE"""),0.7777777777777778)</f>
        <v>0.7777777778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IFERROR(__xludf.DUMMYFUNCTION("""COMPUTED_VALUE"""),0.35714285714285715)</f>
        <v>0.3571428571</v>
      </c>
      <c r="O69" s="9"/>
      <c r="P69" s="9"/>
      <c r="Q69" s="11">
        <f>IFERROR(__xludf.DUMMYFUNCTION("""COMPUTED_VALUE"""),10.0)</f>
        <v>10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IFERROR(__xludf.DUMMYFUNCTION("""COMPUTED_VALUE"""),"Gustavo Pereira")</f>
        <v>Gustavo Pereira</v>
      </c>
      <c r="B70" s="9"/>
      <c r="C70" s="11">
        <f>IFERROR(__xludf.DUMMYFUNCTION("""COMPUTED_VALUE"""),43.0)</f>
        <v>43</v>
      </c>
      <c r="D70" s="9"/>
      <c r="E70" s="9"/>
      <c r="F70" s="9"/>
      <c r="G70" s="10">
        <f>IFERROR(__xludf.DUMMYFUNCTION("""COMPUTED_VALUE"""),0.6511627906976745)</f>
        <v>0.6511627907</v>
      </c>
      <c r="H70" s="9"/>
      <c r="I70" s="9"/>
      <c r="J70" s="11">
        <f>IFERROR(__xludf.DUMMYFUNCTION("""COMPUTED_VALUE"""),28.0)</f>
        <v>28</v>
      </c>
      <c r="K70" s="9"/>
      <c r="L70" s="9"/>
      <c r="M70" s="9"/>
      <c r="N70" s="10">
        <f>IFERROR(__xludf.DUMMYFUNCTION("""COMPUTED_VALUE"""),0.35714285714285715)</f>
        <v>0.3571428571</v>
      </c>
      <c r="O70" s="9"/>
      <c r="P70" s="9"/>
      <c r="Q70" s="11">
        <f>IFERROR(__xludf.DUMMYFUNCTION("""COMPUTED_VALUE"""),10.0)</f>
        <v>10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IFERROR(__xludf.DUMMYFUNCTION("""COMPUTED_VALUE"""),139.35483870967732)</f>
        <v>139.3548387</v>
      </c>
      <c r="C72" s="11">
        <f>IFERROR(__xludf.DUMMYFUNCTION("""COMPUTED_VALUE"""),183.0)</f>
        <v>183</v>
      </c>
      <c r="D72" s="11">
        <f>IFERROR(__xludf.DUMMYFUNCTION("""COMPUTED_VALUE"""),43.645161290322676)</f>
        <v>43.64516129</v>
      </c>
      <c r="E72" s="10">
        <f>IFERROR(__xludf.DUMMYFUNCTION("""COMPUTED_VALUE"""),0.31319444444444533)</f>
        <v>0.3131944444</v>
      </c>
      <c r="F72" s="10">
        <f>IFERROR(__xludf.DUMMYFUNCTION("""COMPUTED_VALUE"""),0.7488125590778879)</f>
        <v>0.7488125591</v>
      </c>
      <c r="G72" s="10">
        <f>IFERROR(__xludf.DUMMYFUNCTION("""COMPUTED_VALUE"""),0.6557377049180327)</f>
        <v>0.6557377049</v>
      </c>
      <c r="H72" s="35">
        <f>IFERROR(__xludf.DUMMYFUNCTION("""COMPUTED_VALUE"""),-9.307485415985518)</f>
        <v>-9.307485416</v>
      </c>
      <c r="I72" s="11">
        <f>IFERROR(__xludf.DUMMYFUNCTION("""COMPUTED_VALUE"""),104.35065339407979)</f>
        <v>104.3506534</v>
      </c>
      <c r="J72" s="11">
        <f>IFERROR(__xludf.DUMMYFUNCTION("""COMPUTED_VALUE"""),120.0)</f>
        <v>120</v>
      </c>
      <c r="K72" s="11">
        <f>IFERROR(__xludf.DUMMYFUNCTION("""COMPUTED_VALUE"""),15.649346605920215)</f>
        <v>15.64934661</v>
      </c>
      <c r="L72" s="10">
        <f>IFERROR(__xludf.DUMMYFUNCTION("""COMPUTED_VALUE"""),0.14996884156365103)</f>
        <v>0.1499688416</v>
      </c>
      <c r="M72" s="10">
        <f>IFERROR(__xludf.DUMMYFUNCTION("""COMPUTED_VALUE"""),0.26156250000000025)</f>
        <v>0.2615625</v>
      </c>
      <c r="N72" s="10">
        <f>IFERROR(__xludf.DUMMYFUNCTION("""COMPUTED_VALUE"""),0.25833333333333336)</f>
        <v>0.2583333333</v>
      </c>
      <c r="O72" s="35">
        <f>IFERROR(__xludf.DUMMYFUNCTION("""COMPUTED_VALUE"""),-0.3229166666666894)</f>
        <v>-0.3229166667</v>
      </c>
      <c r="P72" s="11">
        <f>IFERROR(__xludf.DUMMYFUNCTION("""COMPUTED_VALUE"""),27.29421777838902)</f>
        <v>27.29421778</v>
      </c>
      <c r="Q72" s="11">
        <f>IFERROR(__xludf.DUMMYFUNCTION("""COMPUTED_VALUE"""),31.0)</f>
        <v>31</v>
      </c>
      <c r="R72" s="11">
        <f>IFERROR(__xludf.DUMMYFUNCTION("""COMPUTED_VALUE"""),3.7057822216109813)</f>
        <v>3.705782222</v>
      </c>
      <c r="S72" s="10">
        <f>IFERROR(__xludf.DUMMYFUNCTION("""COMPUTED_VALUE"""),0.13577169537150616)</f>
        <v>0.1357716954</v>
      </c>
      <c r="T72" s="11">
        <f>IFERROR(__xludf.DUMMYFUNCTION("""COMPUTED_VALUE"""),81758.70119416279)</f>
        <v>81758.70119</v>
      </c>
      <c r="U72" s="36">
        <f>IFERROR(__xludf.DUMMYFUNCTION("""COMPUTED_VALUE"""),3220.0)</f>
        <v>3220</v>
      </c>
      <c r="V72" s="36">
        <f>IFERROR(__xludf.DUMMYFUNCTION("""COMPUTED_VALUE"""),50390.89607106309)</f>
        <v>50390.89607</v>
      </c>
      <c r="W72" s="10">
        <f>IFERROR(__xludf.DUMMYFUNCTION("""COMPUTED_VALUE"""),0.6163367976136683)</f>
        <v>0.6163367976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1">
        <f>IFERROR(__xludf.DUMMYFUNCTION("""COMPUTED_VALUE"""),30.0)</f>
        <v>30</v>
      </c>
      <c r="D73" s="9"/>
      <c r="E73" s="9"/>
      <c r="F73" s="9"/>
      <c r="G73" s="10">
        <f>IFERROR(__xludf.DUMMYFUNCTION("""COMPUTED_VALUE"""),0.7333333333333333)</f>
        <v>0.7333333333</v>
      </c>
      <c r="H73" s="9"/>
      <c r="I73" s="9"/>
      <c r="J73" s="11">
        <f>IFERROR(__xludf.DUMMYFUNCTION("""COMPUTED_VALUE"""),22.0)</f>
        <v>22</v>
      </c>
      <c r="K73" s="9"/>
      <c r="L73" s="9"/>
      <c r="M73" s="9"/>
      <c r="N73" s="10">
        <f>IFERROR(__xludf.DUMMYFUNCTION("""COMPUTED_VALUE"""),0.4090909090909091)</f>
        <v>0.4090909091</v>
      </c>
      <c r="O73" s="9"/>
      <c r="P73" s="9"/>
      <c r="Q73" s="11">
        <f>IFERROR(__xludf.DUMMYFUNCTION("""COMPUTED_VALUE"""),9.0)</f>
        <v>9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1">
        <f>IFERROR(__xludf.DUMMYFUNCTION("""COMPUTED_VALUE"""),29.0)</f>
        <v>29</v>
      </c>
      <c r="D74" s="9"/>
      <c r="E74" s="9"/>
      <c r="F74" s="9"/>
      <c r="G74" s="10">
        <f>IFERROR(__xludf.DUMMYFUNCTION("""COMPUTED_VALUE"""),0.6896551724137931)</f>
        <v>0.6896551724</v>
      </c>
      <c r="H74" s="9"/>
      <c r="I74" s="9"/>
      <c r="J74" s="11">
        <f>IFERROR(__xludf.DUMMYFUNCTION("""COMPUTED_VALUE"""),20.0)</f>
        <v>20</v>
      </c>
      <c r="K74" s="9"/>
      <c r="L74" s="9"/>
      <c r="M74" s="9"/>
      <c r="N74" s="10">
        <f>IFERROR(__xludf.DUMMYFUNCTION("""COMPUTED_VALUE"""),0.35)</f>
        <v>0.35</v>
      </c>
      <c r="O74" s="9"/>
      <c r="P74" s="9"/>
      <c r="Q74" s="11">
        <f>IFERROR(__xludf.DUMMYFUNCTION("""COMPUTED_VALUE"""),7.0)</f>
        <v>7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IFERROR(__xludf.DUMMYFUNCTION("""COMPUTED_VALUE"""),30.0)</f>
        <v>30</v>
      </c>
      <c r="D75" s="9"/>
      <c r="E75" s="9"/>
      <c r="F75" s="9"/>
      <c r="G75" s="10">
        <f>IFERROR(__xludf.DUMMYFUNCTION("""COMPUTED_VALUE"""),0.7666666666666667)</f>
        <v>0.7666666667</v>
      </c>
      <c r="H75" s="9"/>
      <c r="I75" s="9"/>
      <c r="J75" s="11">
        <f>IFERROR(__xludf.DUMMYFUNCTION("""COMPUTED_VALUE"""),23.0)</f>
        <v>23</v>
      </c>
      <c r="K75" s="9"/>
      <c r="L75" s="9"/>
      <c r="M75" s="9"/>
      <c r="N75" s="10">
        <f>IFERROR(__xludf.DUMMYFUNCTION("""COMPUTED_VALUE"""),0.30434782608695654)</f>
        <v>0.3043478261</v>
      </c>
      <c r="O75" s="9"/>
      <c r="P75" s="9"/>
      <c r="Q75" s="11">
        <f>IFERROR(__xludf.DUMMYFUNCTION("""COMPUTED_VALUE"""),7.0)</f>
        <v>7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IFERROR(__xludf.DUMMYFUNCTION("""COMPUTED_VALUE"""),26.0)</f>
        <v>26</v>
      </c>
      <c r="D76" s="9"/>
      <c r="E76" s="9"/>
      <c r="F76" s="9"/>
      <c r="G76" s="10">
        <f>IFERROR(__xludf.DUMMYFUNCTION("""COMPUTED_VALUE"""),0.6538461538461539)</f>
        <v>0.6538461538</v>
      </c>
      <c r="H76" s="9"/>
      <c r="I76" s="9"/>
      <c r="J76" s="11">
        <f>IFERROR(__xludf.DUMMYFUNCTION("""COMPUTED_VALUE"""),17.0)</f>
        <v>17</v>
      </c>
      <c r="K76" s="9"/>
      <c r="L76" s="9"/>
      <c r="M76" s="9"/>
      <c r="N76" s="10">
        <f>IFERROR(__xludf.DUMMYFUNCTION("""COMPUTED_VALUE"""),0.23529411764705882)</f>
        <v>0.2352941176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IFERROR(__xludf.DUMMYFUNCTION("""COMPUTED_VALUE"""),"Ilson Costa Lima")</f>
        <v>Ilson Costa Lima</v>
      </c>
      <c r="B77" s="9"/>
      <c r="C77" s="11">
        <f>IFERROR(__xludf.DUMMYFUNCTION("""COMPUTED_VALUE"""),30.0)</f>
        <v>30</v>
      </c>
      <c r="D77" s="9"/>
      <c r="E77" s="9"/>
      <c r="F77" s="9"/>
      <c r="G77" s="10">
        <f>IFERROR(__xludf.DUMMYFUNCTION("""COMPUTED_VALUE"""),0.6)</f>
        <v>0.6</v>
      </c>
      <c r="H77" s="9"/>
      <c r="I77" s="9"/>
      <c r="J77" s="11">
        <f>IFERROR(__xludf.DUMMYFUNCTION("""COMPUTED_VALUE"""),18.0)</f>
        <v>18</v>
      </c>
      <c r="K77" s="9"/>
      <c r="L77" s="9"/>
      <c r="M77" s="9"/>
      <c r="N77" s="10">
        <f>IFERROR(__xludf.DUMMYFUNCTION("""COMPUTED_VALUE"""),0.16666666666666666)</f>
        <v>0.1666666667</v>
      </c>
      <c r="O77" s="9"/>
      <c r="P77" s="9"/>
      <c r="Q77" s="11">
        <f>IFERROR(__xludf.DUMMYFUNCTION("""COMPUTED_VALUE"""),3.0)</f>
        <v>3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IFERROR(__xludf.DUMMYFUNCTION("""COMPUTED_VALUE"""),"Marcio Lucas")</f>
        <v>Marcio Lucas</v>
      </c>
      <c r="B78" s="9"/>
      <c r="C78" s="11">
        <f>IFERROR(__xludf.DUMMYFUNCTION("""COMPUTED_VALUE"""),28.0)</f>
        <v>28</v>
      </c>
      <c r="D78" s="9"/>
      <c r="E78" s="9"/>
      <c r="F78" s="9"/>
      <c r="G78" s="10">
        <f>IFERROR(__xludf.DUMMYFUNCTION("""COMPUTED_VALUE"""),0.7142857142857143)</f>
        <v>0.7142857143</v>
      </c>
      <c r="H78" s="9"/>
      <c r="I78" s="9"/>
      <c r="J78" s="11">
        <f>IFERROR(__xludf.DUMMYFUNCTION("""COMPUTED_VALUE"""),20.0)</f>
        <v>20</v>
      </c>
      <c r="K78" s="9"/>
      <c r="L78" s="9"/>
      <c r="M78" s="9"/>
      <c r="N78" s="10">
        <f>IFERROR(__xludf.DUMMYFUNCTION("""COMPUTED_VALUE"""),0.15)</f>
        <v>0.15</v>
      </c>
      <c r="O78" s="9"/>
      <c r="P78" s="9"/>
      <c r="Q78" s="11">
        <f>IFERROR(__xludf.DUMMYFUNCTION("""COMPUTED_VALUE"""),3.0)</f>
        <v>3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IFERROR(__xludf.DUMMYFUNCTION("""COMPUTED_VALUE"""),"Cauã Andrade")</f>
        <v>Cauã Andrade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IFERROR(__xludf.DUMMYFUNCTION("""COMPUTED_VALUE"""),0.8275862068965517)</f>
        <v>0.8275862069</v>
      </c>
      <c r="H79" s="9"/>
      <c r="I79" s="9"/>
      <c r="J79" s="11">
        <f>IFERROR(__xludf.DUMMYFUNCTION("""COMPUTED_VALUE"""),24.0)</f>
        <v>24</v>
      </c>
      <c r="K79" s="9"/>
      <c r="L79" s="9"/>
      <c r="M79" s="9"/>
      <c r="N79" s="10">
        <f>IFERROR(__xludf.DUMMYFUNCTION("""COMPUTED_VALUE"""),0.08333333333333333)</f>
        <v>0.08333333333</v>
      </c>
      <c r="O79" s="9"/>
      <c r="P79" s="9"/>
      <c r="Q79" s="11">
        <f>IFERROR(__xludf.DUMMYFUNCTION("""COMPUTED_VALUE"""),2.0)</f>
        <v>2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IFERROR(__xludf.DUMMYFUNCTION("""COMPUTED_VALUE"""),"João Vitor Nascimento")</f>
        <v>João Vitor Nascimento</v>
      </c>
      <c r="B80" s="9"/>
      <c r="C80" s="11">
        <f>IFERROR(__xludf.DUMMYFUNCTION("""COMPUTED_VALUE"""),1.0)</f>
        <v>1</v>
      </c>
      <c r="D80" s="9"/>
      <c r="E80" s="9"/>
      <c r="F80" s="9"/>
      <c r="G80" s="10">
        <f>IFERROR(__xludf.DUMMYFUNCTION("""COMPUTED_VALUE"""),1.0)</f>
        <v>1</v>
      </c>
      <c r="H80" s="9"/>
      <c r="I80" s="9"/>
      <c r="J80" s="11">
        <f>IFERROR(__xludf.DUMMYFUNCTION("""COMPUTED_VALUE"""),1.0)</f>
        <v>1</v>
      </c>
      <c r="K80" s="9"/>
      <c r="L80" s="9"/>
      <c r="M80" s="9"/>
      <c r="N80" s="10">
        <f>IFERROR(__xludf.DUMMYFUNCTION("""COMPUTED_VALUE"""),1.0)</f>
        <v>1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IFERROR(__xludf.DUMMYFUNCTION("""COMPUTED_VALUE"""),"Mylena Reis")</f>
        <v>Mylena Reis</v>
      </c>
      <c r="B81" s="9"/>
      <c r="C81" s="11">
        <f>IFERROR(__xludf.DUMMYFUNCTION("""COMPUTED_VALUE"""),7.0)</f>
        <v>7</v>
      </c>
      <c r="D81" s="9"/>
      <c r="E81" s="9"/>
      <c r="F81" s="9"/>
      <c r="G81" s="10">
        <f>IFERROR(__xludf.DUMMYFUNCTION("""COMPUTED_VALUE"""),0.8571428571428571)</f>
        <v>0.8571428571</v>
      </c>
      <c r="H81" s="9"/>
      <c r="I81" s="9"/>
      <c r="J81" s="11">
        <f>IFERROR(__xludf.DUMMYFUNCTION("""COMPUTED_VALUE"""),6.0)</f>
        <v>6</v>
      </c>
      <c r="K81" s="9"/>
      <c r="L81" s="9"/>
      <c r="M81" s="9"/>
      <c r="N81" s="10">
        <f>IFERROR(__xludf.DUMMYFUNCTION("""COMPUTED_VALUE"""),0.16666666666666666)</f>
        <v>0.1666666667</v>
      </c>
      <c r="O81" s="9"/>
      <c r="P81" s="9"/>
      <c r="Q81" s="11">
        <f>IFERROR(__xludf.DUMMYFUNCTION("""COMPUTED_VALUE"""),1.0)</f>
        <v>1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IFERROR(__xludf.DUMMYFUNCTION("""COMPUTED_VALUE"""),"Nicolas Miranda")</f>
        <v>Nicolas Miranda</v>
      </c>
      <c r="B82" s="9"/>
      <c r="C82" s="11">
        <f>IFERROR(__xludf.DUMMYFUNCTION("""COMPUTED_VALUE"""),1.0)</f>
        <v>1</v>
      </c>
      <c r="D82" s="9"/>
      <c r="E82" s="9"/>
      <c r="F82" s="9"/>
      <c r="G82" s="10">
        <f>IFERROR(__xludf.DUMMYFUNCTION("""COMPUTED_VALUE"""),1.0)</f>
        <v>1</v>
      </c>
      <c r="H82" s="9"/>
      <c r="I82" s="9"/>
      <c r="J82" s="11">
        <f>IFERROR(__xludf.DUMMYFUNCTION("""COMPUTED_VALUE"""),1.0)</f>
        <v>1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IFERROR(__xludf.DUMMYFUNCTION("""COMPUTED_VALUE"""),"Felipe Maximo")</f>
        <v>Felipe Maximo</v>
      </c>
      <c r="B83" s="9"/>
      <c r="C83" s="11">
        <f>IFERROR(__xludf.DUMMYFUNCTION("""COMPUTED_VALUE"""),23.0)</f>
        <v>23</v>
      </c>
      <c r="D83" s="9"/>
      <c r="E83" s="9"/>
      <c r="F83" s="9"/>
      <c r="G83" s="10">
        <f>IFERROR(__xludf.DUMMYFUNCTION("""COMPUTED_VALUE"""),0.6956521739130435)</f>
        <v>0.6956521739</v>
      </c>
      <c r="H83" s="9"/>
      <c r="I83" s="9"/>
      <c r="J83" s="11">
        <f>IFERROR(__xludf.DUMMYFUNCTION("""COMPUTED_VALUE"""),16.0)</f>
        <v>16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IFERROR(__xludf.DUMMYFUNCTION("""COMPUTED_VALUE"""),112.25806451612897)</f>
        <v>112.2580645</v>
      </c>
      <c r="C84" s="11">
        <f>IFERROR(__xludf.DUMMYFUNCTION("""COMPUTED_VALUE"""),236.0)</f>
        <v>236</v>
      </c>
      <c r="D84" s="11">
        <f>IFERROR(__xludf.DUMMYFUNCTION("""COMPUTED_VALUE"""),123.74193548387103)</f>
        <v>123.7419355</v>
      </c>
      <c r="E84" s="10">
        <f>IFERROR(__xludf.DUMMYFUNCTION("""COMPUTED_VALUE"""),1.1022988505747138)</f>
        <v>1.102298851</v>
      </c>
      <c r="F84" s="10">
        <f>IFERROR(__xludf.DUMMYFUNCTION("""COMPUTED_VALUE"""),0.5893855762154737)</f>
        <v>0.5893855762</v>
      </c>
      <c r="G84" s="10">
        <f>IFERROR(__xludf.DUMMYFUNCTION("""COMPUTED_VALUE"""),0.7923728813559322)</f>
        <v>0.7923728814</v>
      </c>
      <c r="H84" s="35">
        <f>IFERROR(__xludf.DUMMYFUNCTION("""COMPUTED_VALUE"""),20.29873051404585)</f>
        <v>20.29873051</v>
      </c>
      <c r="I84" s="11">
        <f>IFERROR(__xludf.DUMMYFUNCTION("""COMPUTED_VALUE"""),66.16328403967249)</f>
        <v>66.16328404</v>
      </c>
      <c r="J84" s="11">
        <f>IFERROR(__xludf.DUMMYFUNCTION("""COMPUTED_VALUE"""),187.0)</f>
        <v>187</v>
      </c>
      <c r="K84" s="11">
        <f>IFERROR(__xludf.DUMMYFUNCTION("""COMPUTED_VALUE"""),120.83671596032751)</f>
        <v>120.836716</v>
      </c>
      <c r="L84" s="10">
        <f>IFERROR(__xludf.DUMMYFUNCTION("""COMPUTED_VALUE"""),1.8263409640892676)</f>
        <v>1.826340964</v>
      </c>
      <c r="M84" s="10">
        <f>IFERROR(__xludf.DUMMYFUNCTION("""COMPUTED_VALUE"""),0.35843750000000024)</f>
        <v>0.3584375</v>
      </c>
      <c r="N84" s="10">
        <f>IFERROR(__xludf.DUMMYFUNCTION("""COMPUTED_VALUE"""),0.42245989304812837)</f>
        <v>0.422459893</v>
      </c>
      <c r="O84" s="35">
        <f>IFERROR(__xludf.DUMMYFUNCTION("""COMPUTED_VALUE"""),6.402239304812812)</f>
        <v>6.402239305</v>
      </c>
      <c r="P84" s="11">
        <f>IFERROR(__xludf.DUMMYFUNCTION("""COMPUTED_VALUE"""),23.715402122970126)</f>
        <v>23.71540212</v>
      </c>
      <c r="Q84" s="11">
        <f>IFERROR(__xludf.DUMMYFUNCTION("""COMPUTED_VALUE"""),79.0)</f>
        <v>79</v>
      </c>
      <c r="R84" s="11">
        <f>IFERROR(__xludf.DUMMYFUNCTION("""COMPUTED_VALUE"""),55.284597877029874)</f>
        <v>55.28459788</v>
      </c>
      <c r="S84" s="10">
        <f>IFERROR(__xludf.DUMMYFUNCTION("""COMPUTED_VALUE"""),2.331168478205252)</f>
        <v>2.331168478</v>
      </c>
      <c r="T84" s="11">
        <f>IFERROR(__xludf.DUMMYFUNCTION("""COMPUTED_VALUE"""),121780.29741040444)</f>
        <v>121780.2974</v>
      </c>
      <c r="U84" s="36">
        <f>IFERROR(__xludf.DUMMYFUNCTION("""COMPUTED_VALUE"""),5520.0)</f>
        <v>5520</v>
      </c>
      <c r="V84" s="36">
        <f>IFERROR(__xludf.DUMMYFUNCTION("""COMPUTED_VALUE"""),667018.6721010079)</f>
        <v>667018.6721</v>
      </c>
      <c r="W84" s="10">
        <f>IFERROR(__xludf.DUMMYFUNCTION("""COMPUTED_VALUE"""),5.477229784167208)</f>
        <v>5.477229784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IFERROR(__xludf.DUMMYFUNCTION("""COMPUTED_VALUE"""),36.0)</f>
        <v>36</v>
      </c>
      <c r="D85" s="9"/>
      <c r="E85" s="9"/>
      <c r="F85" s="9"/>
      <c r="G85" s="10">
        <f>IFERROR(__xludf.DUMMYFUNCTION("""COMPUTED_VALUE"""),0.6944444444444444)</f>
        <v>0.6944444444</v>
      </c>
      <c r="H85" s="9"/>
      <c r="I85" s="9"/>
      <c r="J85" s="11">
        <f>IFERROR(__xludf.DUMMYFUNCTION("""COMPUTED_VALUE"""),25.0)</f>
        <v>25</v>
      </c>
      <c r="K85" s="9"/>
      <c r="L85" s="9"/>
      <c r="M85" s="9"/>
      <c r="N85" s="10">
        <f>IFERROR(__xludf.DUMMYFUNCTION("""COMPUTED_VALUE"""),0.52)</f>
        <v>0.52</v>
      </c>
      <c r="O85" s="9"/>
      <c r="P85" s="9"/>
      <c r="Q85" s="11">
        <f>IFERROR(__xludf.DUMMYFUNCTION("""COMPUTED_VALUE"""),13.0)</f>
        <v>13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IFERROR(__xludf.DUMMYFUNCTION("""COMPUTED_VALUE"""),19.0)</f>
        <v>19</v>
      </c>
      <c r="D86" s="9"/>
      <c r="E86" s="9"/>
      <c r="F86" s="9"/>
      <c r="G86" s="10">
        <f>IFERROR(__xludf.DUMMYFUNCTION("""COMPUTED_VALUE"""),0.8947368421052632)</f>
        <v>0.8947368421</v>
      </c>
      <c r="H86" s="9"/>
      <c r="I86" s="9"/>
      <c r="J86" s="11">
        <f>IFERROR(__xludf.DUMMYFUNCTION("""COMPUTED_VALUE"""),17.0)</f>
        <v>17</v>
      </c>
      <c r="K86" s="9"/>
      <c r="L86" s="9"/>
      <c r="M86" s="9"/>
      <c r="N86" s="10">
        <f>IFERROR(__xludf.DUMMYFUNCTION("""COMPUTED_VALUE"""),0.6470588235294118)</f>
        <v>0.6470588235</v>
      </c>
      <c r="O86" s="9"/>
      <c r="P86" s="9"/>
      <c r="Q86" s="11">
        <f>IFERROR(__xludf.DUMMYFUNCTION("""COMPUTED_VALUE"""),11.0)</f>
        <v>11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IFERROR(__xludf.DUMMYFUNCTION("""COMPUTED_VALUE"""),"Gustavo Pereira")</f>
        <v>Gustavo Pereira</v>
      </c>
      <c r="B87" s="9"/>
      <c r="C87" s="11">
        <f>IFERROR(__xludf.DUMMYFUNCTION("""COMPUTED_VALUE"""),44.0)</f>
        <v>44</v>
      </c>
      <c r="D87" s="9"/>
      <c r="E87" s="9"/>
      <c r="F87" s="9"/>
      <c r="G87" s="10">
        <f>IFERROR(__xludf.DUMMYFUNCTION("""COMPUTED_VALUE"""),0.7727272727272727)</f>
        <v>0.7727272727</v>
      </c>
      <c r="H87" s="9"/>
      <c r="I87" s="9"/>
      <c r="J87" s="11">
        <f>IFERROR(__xludf.DUMMYFUNCTION("""COMPUTED_VALUE"""),34.0)</f>
        <v>34</v>
      </c>
      <c r="K87" s="9"/>
      <c r="L87" s="9"/>
      <c r="M87" s="9"/>
      <c r="N87" s="10">
        <f>IFERROR(__xludf.DUMMYFUNCTION("""COMPUTED_VALUE"""),0.29411764705882354)</f>
        <v>0.2941176471</v>
      </c>
      <c r="O87" s="9"/>
      <c r="P87" s="9"/>
      <c r="Q87" s="11">
        <f>IFERROR(__xludf.DUMMYFUNCTION("""COMPUTED_VALUE"""),10.0)</f>
        <v>10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IFERROR(__xludf.DUMMYFUNCTION("""COMPUTED_VALUE"""),"João Rios")</f>
        <v>João Rios</v>
      </c>
      <c r="B88" s="9"/>
      <c r="C88" s="11">
        <f>IFERROR(__xludf.DUMMYFUNCTION("""COMPUTED_VALUE"""),19.0)</f>
        <v>19</v>
      </c>
      <c r="D88" s="9"/>
      <c r="E88" s="9"/>
      <c r="F88" s="9"/>
      <c r="G88" s="10">
        <f>IFERROR(__xludf.DUMMYFUNCTION("""COMPUTED_VALUE"""),0.8421052631578947)</f>
        <v>0.8421052632</v>
      </c>
      <c r="H88" s="9"/>
      <c r="I88" s="9"/>
      <c r="J88" s="11">
        <f>IFERROR(__xludf.DUMMYFUNCTION("""COMPUTED_VALUE"""),16.0)</f>
        <v>16</v>
      </c>
      <c r="K88" s="9"/>
      <c r="L88" s="9"/>
      <c r="M88" s="9"/>
      <c r="N88" s="10">
        <f>IFERROR(__xludf.DUMMYFUNCTION("""COMPUTED_VALUE"""),0.5625)</f>
        <v>0.5625</v>
      </c>
      <c r="O88" s="9"/>
      <c r="P88" s="9"/>
      <c r="Q88" s="11">
        <f>IFERROR(__xludf.DUMMYFUNCTION("""COMPUTED_VALUE"""),9.0)</f>
        <v>9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IFERROR(__xludf.DUMMYFUNCTION("""COMPUTED_VALUE"""),"Marcio Lucas")</f>
        <v>Marcio Lucas</v>
      </c>
      <c r="B89" s="9"/>
      <c r="C89" s="11">
        <f>IFERROR(__xludf.DUMMYFUNCTION("""COMPUTED_VALUE"""),33.0)</f>
        <v>33</v>
      </c>
      <c r="D89" s="9"/>
      <c r="E89" s="9"/>
      <c r="F89" s="9"/>
      <c r="G89" s="10">
        <f>IFERROR(__xludf.DUMMYFUNCTION("""COMPUTED_VALUE"""),0.7272727272727273)</f>
        <v>0.7272727273</v>
      </c>
      <c r="H89" s="9"/>
      <c r="I89" s="9"/>
      <c r="J89" s="11">
        <f>IFERROR(__xludf.DUMMYFUNCTION("""COMPUTED_VALUE"""),24.0)</f>
        <v>24</v>
      </c>
      <c r="K89" s="9"/>
      <c r="L89" s="9"/>
      <c r="M89" s="9"/>
      <c r="N89" s="10">
        <f>IFERROR(__xludf.DUMMYFUNCTION("""COMPUTED_VALUE"""),0.375)</f>
        <v>0.375</v>
      </c>
      <c r="O89" s="9"/>
      <c r="P89" s="9"/>
      <c r="Q89" s="11">
        <f>IFERROR(__xludf.DUMMYFUNCTION("""COMPUTED_VALUE"""),9.0)</f>
        <v>9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IFERROR(__xludf.DUMMYFUNCTION("""COMPUTED_VALUE"""),"Ilson Costa Lima")</f>
        <v>Ilson Costa Lima</v>
      </c>
      <c r="B90" s="9"/>
      <c r="C90" s="11">
        <f>IFERROR(__xludf.DUMMYFUNCTION("""COMPUTED_VALUE"""),26.0)</f>
        <v>26</v>
      </c>
      <c r="D90" s="9"/>
      <c r="E90" s="9"/>
      <c r="F90" s="9"/>
      <c r="G90" s="10">
        <f>IFERROR(__xludf.DUMMYFUNCTION("""COMPUTED_VALUE"""),0.6538461538461539)</f>
        <v>0.6538461538</v>
      </c>
      <c r="H90" s="9"/>
      <c r="I90" s="9"/>
      <c r="J90" s="11">
        <f>IFERROR(__xludf.DUMMYFUNCTION("""COMPUTED_VALUE"""),17.0)</f>
        <v>17</v>
      </c>
      <c r="K90" s="9"/>
      <c r="L90" s="9"/>
      <c r="M90" s="9"/>
      <c r="N90" s="10">
        <f>IFERROR(__xludf.DUMMYFUNCTION("""COMPUTED_VALUE"""),0.47058823529411764)</f>
        <v>0.4705882353</v>
      </c>
      <c r="O90" s="9"/>
      <c r="P90" s="9"/>
      <c r="Q90" s="11">
        <f>IFERROR(__xludf.DUMMYFUNCTION("""COMPUTED_VALUE"""),8.0)</f>
        <v>8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IFERROR(__xludf.DUMMYFUNCTION("""COMPUTED_VALUE"""),"Mylena Reis")</f>
        <v>Mylena Reis</v>
      </c>
      <c r="B91" s="9"/>
      <c r="C91" s="11">
        <f>IFERROR(__xludf.DUMMYFUNCTION("""COMPUTED_VALUE"""),27.0)</f>
        <v>27</v>
      </c>
      <c r="D91" s="9"/>
      <c r="E91" s="9"/>
      <c r="F91" s="9"/>
      <c r="G91" s="10">
        <f>IFERROR(__xludf.DUMMYFUNCTION("""COMPUTED_VALUE"""),0.9629629629629629)</f>
        <v>0.962962963</v>
      </c>
      <c r="H91" s="9"/>
      <c r="I91" s="9"/>
      <c r="J91" s="11">
        <f>IFERROR(__xludf.DUMMYFUNCTION("""COMPUTED_VALUE"""),26.0)</f>
        <v>26</v>
      </c>
      <c r="K91" s="9"/>
      <c r="L91" s="9"/>
      <c r="M91" s="9"/>
      <c r="N91" s="10">
        <f>IFERROR(__xludf.DUMMYFUNCTION("""COMPUTED_VALUE"""),0.2692307692307692)</f>
        <v>0.2692307692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IFERROR(__xludf.DUMMYFUNCTION("""COMPUTED_VALUE"""),"Cauã Andrade")</f>
        <v>Cauã Andrade</v>
      </c>
      <c r="B92" s="9"/>
      <c r="C92" s="11">
        <f>IFERROR(__xludf.DUMMYFUNCTION("""COMPUTED_VALUE"""),20.0)</f>
        <v>20</v>
      </c>
      <c r="D92" s="9"/>
      <c r="E92" s="9"/>
      <c r="F92" s="9"/>
      <c r="G92" s="10">
        <f>IFERROR(__xludf.DUMMYFUNCTION("""COMPUTED_VALUE"""),0.9)</f>
        <v>0.9</v>
      </c>
      <c r="H92" s="9"/>
      <c r="I92" s="9"/>
      <c r="J92" s="11">
        <f>IFERROR(__xludf.DUMMYFUNCTION("""COMPUTED_VALUE"""),18.0)</f>
        <v>18</v>
      </c>
      <c r="K92" s="9"/>
      <c r="L92" s="9"/>
      <c r="M92" s="9"/>
      <c r="N92" s="10">
        <f>IFERROR(__xludf.DUMMYFUNCTION("""COMPUTED_VALUE"""),0.3333333333333333)</f>
        <v>0.3333333333</v>
      </c>
      <c r="O92" s="9"/>
      <c r="P92" s="9"/>
      <c r="Q92" s="11">
        <f>IFERROR(__xludf.DUMMYFUNCTION("""COMPUTED_VALUE"""),6.0)</f>
        <v>6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IFERROR(__xludf.DUMMYFUNCTION("""COMPUTED_VALUE"""),"Felipe Maximo")</f>
        <v>Felipe Maximo</v>
      </c>
      <c r="B93" s="9"/>
      <c r="C93" s="11">
        <f>IFERROR(__xludf.DUMMYFUNCTION("""COMPUTED_VALUE"""),24.0)</f>
        <v>24</v>
      </c>
      <c r="D93" s="9"/>
      <c r="E93" s="9"/>
      <c r="F93" s="9"/>
      <c r="G93" s="10">
        <f>IFERROR(__xludf.DUMMYFUNCTION("""COMPUTED_VALUE"""),0.7916666666666666)</f>
        <v>0.7916666667</v>
      </c>
      <c r="H93" s="9"/>
      <c r="I93" s="9"/>
      <c r="J93" s="11">
        <f>IFERROR(__xludf.DUMMYFUNCTION("""COMPUTED_VALUE"""),19.0)</f>
        <v>19</v>
      </c>
      <c r="K93" s="9"/>
      <c r="L93" s="9"/>
      <c r="M93" s="9"/>
      <c r="N93" s="10">
        <f>IFERROR(__xludf.DUMMYFUNCTION("""COMPUTED_VALUE"""),0.3157894736842105)</f>
        <v>0.3157894737</v>
      </c>
      <c r="O93" s="9"/>
      <c r="P93" s="9"/>
      <c r="Q93" s="11">
        <f>IFERROR(__xludf.DUMMYFUNCTION("""COMPUTED_VALUE"""),6.0)</f>
        <v>6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IFERROR(__xludf.DUMMYFUNCTION("""COMPUTED_VALUE"""),397.9354838709675)</f>
        <v>397.9354839</v>
      </c>
      <c r="C99" s="11">
        <f>IFERROR(__xludf.DUMMYFUNCTION("""COMPUTED_VALUE"""),421.0)</f>
        <v>421</v>
      </c>
      <c r="D99" s="11">
        <f>IFERROR(__xludf.DUMMYFUNCTION("""COMPUTED_VALUE"""),23.064516129032484)</f>
        <v>23.06451613</v>
      </c>
      <c r="E99" s="10">
        <f>IFERROR(__xludf.DUMMYFUNCTION("""COMPUTED_VALUE"""),0.057960440985733414)</f>
        <v>0.05796044099</v>
      </c>
      <c r="F99" s="10">
        <f>IFERROR(__xludf.DUMMYFUNCTION("""COMPUTED_VALUE"""),0.6293553918193087)</f>
        <v>0.6293553918</v>
      </c>
      <c r="G99" s="10">
        <f>IFERROR(__xludf.DUMMYFUNCTION("""COMPUTED_VALUE"""),0.6342042755344418)</f>
        <v>0.6342042755</v>
      </c>
      <c r="H99" s="35">
        <f>IFERROR(__xludf.DUMMYFUNCTION("""COMPUTED_VALUE"""),0.48488837151331454)</f>
        <v>0.4848883715</v>
      </c>
      <c r="I99" s="11">
        <f>IFERROR(__xludf.DUMMYFUNCTION("""COMPUTED_VALUE"""),250.44284237041893)</f>
        <v>250.4428424</v>
      </c>
      <c r="J99" s="11">
        <f>IFERROR(__xludf.DUMMYFUNCTION("""COMPUTED_VALUE"""),267.0)</f>
        <v>267</v>
      </c>
      <c r="K99" s="11">
        <f>IFERROR(__xludf.DUMMYFUNCTION("""COMPUTED_VALUE"""),16.55715762958107)</f>
        <v>16.55715763</v>
      </c>
      <c r="L99" s="10">
        <f>IFERROR(__xludf.DUMMYFUNCTION("""COMPUTED_VALUE"""),0.0661115225848304)</f>
        <v>0.06611152258</v>
      </c>
      <c r="M99" s="10">
        <f>IFERROR(__xludf.DUMMYFUNCTION("""COMPUTED_VALUE"""),0.40687500000000026)</f>
        <v>0.406875</v>
      </c>
      <c r="N99" s="10">
        <f>IFERROR(__xludf.DUMMYFUNCTION("""COMPUTED_VALUE"""),0.47191011235955055)</f>
        <v>0.4719101124</v>
      </c>
      <c r="O99" s="35">
        <f>IFERROR(__xludf.DUMMYFUNCTION("""COMPUTED_VALUE"""),6.5035112359550284)</f>
        <v>6.503511236</v>
      </c>
      <c r="P99" s="11">
        <f>IFERROR(__xludf.DUMMYFUNCTION("""COMPUTED_VALUE"""),101.89893148946427)</f>
        <v>101.8989315</v>
      </c>
      <c r="Q99" s="11">
        <f>IFERROR(__xludf.DUMMYFUNCTION("""COMPUTED_VALUE"""),126.0)</f>
        <v>126</v>
      </c>
      <c r="R99" s="11">
        <f>IFERROR(__xludf.DUMMYFUNCTION("""COMPUTED_VALUE"""),24.101068510535725)</f>
        <v>24.10106851</v>
      </c>
      <c r="S99" s="10">
        <f>IFERROR(__xludf.DUMMYFUNCTION("""COMPUTED_VALUE"""),0.23651934478849396)</f>
        <v>0.2365193448</v>
      </c>
      <c r="T99" s="11">
        <f>IFERROR(__xludf.DUMMYFUNCTION("""COMPUTED_VALUE"""),659760.5281618485)</f>
        <v>659760.5282</v>
      </c>
      <c r="U99" s="36">
        <f>IFERROR(__xludf.DUMMYFUNCTION("""COMPUTED_VALUE"""),6959.999999999999)</f>
        <v>6960</v>
      </c>
      <c r="V99" s="36">
        <f>IFERROR(__xludf.DUMMYFUNCTION("""COMPUTED_VALUE"""),115237.81710188423)</f>
        <v>115237.8171</v>
      </c>
      <c r="W99" s="10">
        <f>IFERROR(__xludf.DUMMYFUNCTION("""COMPUTED_VALUE"""),0.17466612836470685)</f>
        <v>0.1746661284</v>
      </c>
      <c r="X99" s="9"/>
      <c r="Y99" s="9"/>
      <c r="Z99" s="9"/>
    </row>
    <row r="100">
      <c r="A100" s="9" t="str">
        <f>IFERROR(__xludf.DUMMYFUNCTION("""COMPUTED_VALUE"""),"Gustavo Pereira")</f>
        <v>Gustavo Pereira</v>
      </c>
      <c r="B100" s="9"/>
      <c r="C100" s="11">
        <f>IFERROR(__xludf.DUMMYFUNCTION("""COMPUTED_VALUE"""),47.0)</f>
        <v>47</v>
      </c>
      <c r="D100" s="9"/>
      <c r="E100" s="9"/>
      <c r="F100" s="9"/>
      <c r="G100" s="10">
        <f>IFERROR(__xludf.DUMMYFUNCTION("""COMPUTED_VALUE"""),0.6382978723404256)</f>
        <v>0.6382978723</v>
      </c>
      <c r="H100" s="9"/>
      <c r="I100" s="9"/>
      <c r="J100" s="11">
        <f>IFERROR(__xludf.DUMMYFUNCTION("""COMPUTED_VALUE"""),30.0)</f>
        <v>30</v>
      </c>
      <c r="K100" s="9"/>
      <c r="L100" s="9"/>
      <c r="M100" s="9"/>
      <c r="N100" s="10">
        <f>IFERROR(__xludf.DUMMYFUNCTION("""COMPUTED_VALUE"""),0.5333333333333333)</f>
        <v>0.5333333333</v>
      </c>
      <c r="O100" s="9"/>
      <c r="P100" s="9"/>
      <c r="Q100" s="11">
        <f>IFERROR(__xludf.DUMMYFUNCTION("""COMPUTED_VALUE"""),16.0)</f>
        <v>16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IFERROR(__xludf.DUMMYFUNCTION("""COMPUTED_VALUE"""),"Felipe Maximo")</f>
        <v>Felipe Maximo</v>
      </c>
      <c r="B101" s="9"/>
      <c r="C101" s="11">
        <f>IFERROR(__xludf.DUMMYFUNCTION("""COMPUTED_VALUE"""),51.0)</f>
        <v>51</v>
      </c>
      <c r="D101" s="9"/>
      <c r="E101" s="9"/>
      <c r="F101" s="9"/>
      <c r="G101" s="10">
        <f>IFERROR(__xludf.DUMMYFUNCTION("""COMPUTED_VALUE"""),0.6078431372549019)</f>
        <v>0.6078431373</v>
      </c>
      <c r="H101" s="9"/>
      <c r="I101" s="9"/>
      <c r="J101" s="11">
        <f>IFERROR(__xludf.DUMMYFUNCTION("""COMPUTED_VALUE"""),31.0)</f>
        <v>31</v>
      </c>
      <c r="K101" s="9"/>
      <c r="L101" s="9"/>
      <c r="M101" s="9"/>
      <c r="N101" s="10">
        <f>IFERROR(__xludf.DUMMYFUNCTION("""COMPUTED_VALUE"""),0.5161290322580645)</f>
        <v>0.5161290323</v>
      </c>
      <c r="O101" s="9"/>
      <c r="P101" s="9"/>
      <c r="Q101" s="11">
        <f>IFERROR(__xludf.DUMMYFUNCTION("""COMPUTED_VALUE"""),16.0)</f>
        <v>16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IFERROR(__xludf.DUMMYFUNCTION("""COMPUTED_VALUE"""),"Mariana Jovenato")</f>
        <v>Mariana Jovenato</v>
      </c>
      <c r="B102" s="9"/>
      <c r="C102" s="11">
        <f>IFERROR(__xludf.DUMMYFUNCTION("""COMPUTED_VALUE"""),51.0)</f>
        <v>51</v>
      </c>
      <c r="D102" s="9"/>
      <c r="E102" s="9"/>
      <c r="F102" s="9"/>
      <c r="G102" s="10">
        <f>IFERROR(__xludf.DUMMYFUNCTION("""COMPUTED_VALUE"""),0.6274509803921569)</f>
        <v>0.6274509804</v>
      </c>
      <c r="H102" s="9"/>
      <c r="I102" s="9"/>
      <c r="J102" s="11">
        <f>IFERROR(__xludf.DUMMYFUNCTION("""COMPUTED_VALUE"""),32.0)</f>
        <v>32</v>
      </c>
      <c r="K102" s="9"/>
      <c r="L102" s="9"/>
      <c r="M102" s="9"/>
      <c r="N102" s="10">
        <f>IFERROR(__xludf.DUMMYFUNCTION("""COMPUTED_VALUE"""),0.5)</f>
        <v>0.5</v>
      </c>
      <c r="O102" s="9"/>
      <c r="P102" s="9"/>
      <c r="Q102" s="11">
        <f>IFERROR(__xludf.DUMMYFUNCTION("""COMPUTED_VALUE"""),16.0)</f>
        <v>16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IFERROR(__xludf.DUMMYFUNCTION("""COMPUTED_VALUE"""),"Cauã Andrade")</f>
        <v>Cauã Andrade</v>
      </c>
      <c r="B103" s="9"/>
      <c r="C103" s="11">
        <f>IFERROR(__xludf.DUMMYFUNCTION("""COMPUTED_VALUE"""),50.0)</f>
        <v>50</v>
      </c>
      <c r="D103" s="9"/>
      <c r="E103" s="9"/>
      <c r="F103" s="9"/>
      <c r="G103" s="10">
        <f>IFERROR(__xludf.DUMMYFUNCTION("""COMPUTED_VALUE"""),0.7)</f>
        <v>0.7</v>
      </c>
      <c r="H103" s="9"/>
      <c r="I103" s="9"/>
      <c r="J103" s="11">
        <f>IFERROR(__xludf.DUMMYFUNCTION("""COMPUTED_VALUE"""),35.0)</f>
        <v>35</v>
      </c>
      <c r="K103" s="9"/>
      <c r="L103" s="9"/>
      <c r="M103" s="9"/>
      <c r="N103" s="10">
        <f>IFERROR(__xludf.DUMMYFUNCTION("""COMPUTED_VALUE"""),0.45714285714285713)</f>
        <v>0.4571428571</v>
      </c>
      <c r="O103" s="9"/>
      <c r="P103" s="9"/>
      <c r="Q103" s="11">
        <f>IFERROR(__xludf.DUMMYFUNCTION("""COMPUTED_VALUE"""),16.0)</f>
        <v>16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IFERROR(__xludf.DUMMYFUNCTION("""COMPUTED_VALUE"""),"Marcio Lucas")</f>
        <v>Marcio Lucas</v>
      </c>
      <c r="B104" s="9"/>
      <c r="C104" s="11">
        <f>IFERROR(__xludf.DUMMYFUNCTION("""COMPUTED_VALUE"""),58.0)</f>
        <v>58</v>
      </c>
      <c r="D104" s="9"/>
      <c r="E104" s="9"/>
      <c r="F104" s="9"/>
      <c r="G104" s="10">
        <f>IFERROR(__xludf.DUMMYFUNCTION("""COMPUTED_VALUE"""),0.6206896551724138)</f>
        <v>0.6206896552</v>
      </c>
      <c r="H104" s="9"/>
      <c r="I104" s="9"/>
      <c r="J104" s="11">
        <f>IFERROR(__xludf.DUMMYFUNCTION("""COMPUTED_VALUE"""),36.0)</f>
        <v>36</v>
      </c>
      <c r="K104" s="9"/>
      <c r="L104" s="9"/>
      <c r="M104" s="9"/>
      <c r="N104" s="10">
        <f>IFERROR(__xludf.DUMMYFUNCTION("""COMPUTED_VALUE"""),0.4444444444444444)</f>
        <v>0.4444444444</v>
      </c>
      <c r="O104" s="9"/>
      <c r="P104" s="9"/>
      <c r="Q104" s="11">
        <f>IFERROR(__xludf.DUMMYFUNCTION("""COMPUTED_VALUE"""),16.0)</f>
        <v>16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IFERROR(__xludf.DUMMYFUNCTION("""COMPUTED_VALUE"""),"Thalita Lopes")</f>
        <v>Thalita Lopes</v>
      </c>
      <c r="B105" s="9"/>
      <c r="C105" s="11">
        <f>IFERROR(__xludf.DUMMYFUNCTION("""COMPUTED_VALUE"""),42.0)</f>
        <v>42</v>
      </c>
      <c r="D105" s="9"/>
      <c r="E105" s="9"/>
      <c r="F105" s="9"/>
      <c r="G105" s="10">
        <f>IFERROR(__xludf.DUMMYFUNCTION("""COMPUTED_VALUE"""),0.5952380952380952)</f>
        <v>0.5952380952</v>
      </c>
      <c r="H105" s="9"/>
      <c r="I105" s="9"/>
      <c r="J105" s="11">
        <f>IFERROR(__xludf.DUMMYFUNCTION("""COMPUTED_VALUE"""),25.0)</f>
        <v>25</v>
      </c>
      <c r="K105" s="9"/>
      <c r="L105" s="9"/>
      <c r="M105" s="9"/>
      <c r="N105" s="10">
        <f>IFERROR(__xludf.DUMMYFUNCTION("""COMPUTED_VALUE"""),0.56)</f>
        <v>0.56</v>
      </c>
      <c r="O105" s="9"/>
      <c r="P105" s="9"/>
      <c r="Q105" s="11">
        <f>IFERROR(__xludf.DUMMYFUNCTION("""COMPUTED_VALUE"""),14.0)</f>
        <v>14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IFERROR(__xludf.DUMMYFUNCTION("""COMPUTED_VALUE"""),"João Rios")</f>
        <v>João Rios</v>
      </c>
      <c r="B106" s="9"/>
      <c r="C106" s="11">
        <f>IFERROR(__xludf.DUMMYFUNCTION("""COMPUTED_VALUE"""),54.0)</f>
        <v>54</v>
      </c>
      <c r="D106" s="9"/>
      <c r="E106" s="9"/>
      <c r="F106" s="9"/>
      <c r="G106" s="10">
        <f>IFERROR(__xludf.DUMMYFUNCTION("""COMPUTED_VALUE"""),0.5740740740740741)</f>
        <v>0.5740740741</v>
      </c>
      <c r="H106" s="9"/>
      <c r="I106" s="9"/>
      <c r="J106" s="11">
        <f>IFERROR(__xludf.DUMMYFUNCTION("""COMPUTED_VALUE"""),31.0)</f>
        <v>31</v>
      </c>
      <c r="K106" s="9"/>
      <c r="L106" s="9"/>
      <c r="M106" s="9"/>
      <c r="N106" s="10">
        <f>IFERROR(__xludf.DUMMYFUNCTION("""COMPUTED_VALUE"""),0.41935483870967744)</f>
        <v>0.4193548387</v>
      </c>
      <c r="O106" s="9"/>
      <c r="P106" s="9"/>
      <c r="Q106" s="11">
        <f>IFERROR(__xludf.DUMMYFUNCTION("""COMPUTED_VALUE"""),13.0)</f>
        <v>13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1">
        <f>IFERROR(__xludf.DUMMYFUNCTION("""COMPUTED_VALUE"""),60.0)</f>
        <v>60</v>
      </c>
      <c r="D107" s="9"/>
      <c r="E107" s="9"/>
      <c r="F107" s="9"/>
      <c r="G107" s="10">
        <f>IFERROR(__xludf.DUMMYFUNCTION("""COMPUTED_VALUE"""),0.5833333333333334)</f>
        <v>0.5833333333</v>
      </c>
      <c r="H107" s="9"/>
      <c r="I107" s="9"/>
      <c r="J107" s="11">
        <f>IFERROR(__xludf.DUMMYFUNCTION("""COMPUTED_VALUE"""),35.0)</f>
        <v>35</v>
      </c>
      <c r="K107" s="9"/>
      <c r="L107" s="9"/>
      <c r="M107" s="9"/>
      <c r="N107" s="10">
        <f>IFERROR(__xludf.DUMMYFUNCTION("""COMPUTED_VALUE"""),0.2571428571428571)</f>
        <v>0.2571428571</v>
      </c>
      <c r="O107" s="9"/>
      <c r="P107" s="9"/>
      <c r="Q107" s="11">
        <f>IFERROR(__xludf.DUMMYFUNCTION("""COMPUTED_VALUE"""),9.0)</f>
        <v>9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1">
        <f>IFERROR(__xludf.DUMMYFUNCTION("""COMPUTED_VALUE"""),31.0)</f>
        <v>31</v>
      </c>
      <c r="D108" s="9"/>
      <c r="E108" s="9"/>
      <c r="F108" s="9"/>
      <c r="G108" s="10">
        <f>IFERROR(__xludf.DUMMYFUNCTION("""COMPUTED_VALUE"""),0.5806451612903226)</f>
        <v>0.5806451613</v>
      </c>
      <c r="H108" s="9"/>
      <c r="I108" s="9"/>
      <c r="J108" s="11">
        <f>IFERROR(__xludf.DUMMYFUNCTION("""COMPUTED_VALUE"""),18.0)</f>
        <v>18</v>
      </c>
      <c r="K108" s="9"/>
      <c r="L108" s="9"/>
      <c r="M108" s="9"/>
      <c r="N108" s="10">
        <f>IFERROR(__xludf.DUMMYFUNCTION("""COMPUTED_VALUE"""),0.3888888888888889)</f>
        <v>0.3888888889</v>
      </c>
      <c r="O108" s="9"/>
      <c r="P108" s="9"/>
      <c r="Q108" s="11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1">
        <f>IFERROR(__xludf.DUMMYFUNCTION("""COMPUTED_VALUE"""),12.0)</f>
        <v>12</v>
      </c>
      <c r="D109" s="9"/>
      <c r="E109" s="9"/>
      <c r="F109" s="9"/>
      <c r="G109" s="10">
        <f>IFERROR(__xludf.DUMMYFUNCTION("""COMPUTED_VALUE"""),0.75)</f>
        <v>0.75</v>
      </c>
      <c r="H109" s="9"/>
      <c r="I109" s="9"/>
      <c r="J109" s="11">
        <f>IFERROR(__xludf.DUMMYFUNCTION("""COMPUTED_VALUE"""),9.0)</f>
        <v>9</v>
      </c>
      <c r="K109" s="9"/>
      <c r="L109" s="9"/>
      <c r="M109" s="9"/>
      <c r="N109" s="10">
        <f>IFERROR(__xludf.DUMMYFUNCTION("""COMPUTED_VALUE"""),0.6666666666666666)</f>
        <v>0.6666666667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IFERROR(__xludf.DUMMYFUNCTION("""COMPUTED_VALUE"""),126.1935483870967)</f>
        <v>126.1935484</v>
      </c>
      <c r="C117" s="11">
        <f>IFERROR(__xludf.DUMMYFUNCTION("""COMPUTED_VALUE"""),92.0)</f>
        <v>92</v>
      </c>
      <c r="D117" s="11">
        <f>IFERROR(__xludf.DUMMYFUNCTION("""COMPUTED_VALUE"""),-34.1935483870967)</f>
        <v>-34.19354839</v>
      </c>
      <c r="E117" s="10">
        <f>IFERROR(__xludf.DUMMYFUNCTION("""COMPUTED_VALUE"""),-0.2709611451942736)</f>
        <v>-0.2709611452</v>
      </c>
      <c r="F117" s="10">
        <f>IFERROR(__xludf.DUMMYFUNCTION("""COMPUTED_VALUE"""),0.8547633194692019)</f>
        <v>0.8547633195</v>
      </c>
      <c r="G117" s="10">
        <f>IFERROR(__xludf.DUMMYFUNCTION("""COMPUTED_VALUE"""),0.8152173913043478)</f>
        <v>0.8152173913</v>
      </c>
      <c r="H117" s="35">
        <f>IFERROR(__xludf.DUMMYFUNCTION("""COMPUTED_VALUE"""),-3.954592816485414)</f>
        <v>-3.954592816</v>
      </c>
      <c r="I117" s="11">
        <f>IFERROR(__xludf.DUMMYFUNCTION("""COMPUTED_VALUE"""),107.86561631495212)</f>
        <v>107.8656163</v>
      </c>
      <c r="J117" s="11">
        <f>IFERROR(__xludf.DUMMYFUNCTION("""COMPUTED_VALUE"""),75.0)</f>
        <v>75</v>
      </c>
      <c r="K117" s="11">
        <f>IFERROR(__xludf.DUMMYFUNCTION("""COMPUTED_VALUE"""),-32.86561631495212)</f>
        <v>-32.86561631</v>
      </c>
      <c r="L117" s="10">
        <f>IFERROR(__xludf.DUMMYFUNCTION("""COMPUTED_VALUE"""),-0.3046903864062598)</f>
        <v>-0.3046903864</v>
      </c>
      <c r="M117" s="10">
        <f>IFERROR(__xludf.DUMMYFUNCTION("""COMPUTED_VALUE"""),0.31968750000000024)</f>
        <v>0.3196875</v>
      </c>
      <c r="N117" s="10">
        <f>IFERROR(__xludf.DUMMYFUNCTION("""COMPUTED_VALUE"""),0.29333333333333333)</f>
        <v>0.2933333333</v>
      </c>
      <c r="O117" s="35">
        <f>IFERROR(__xludf.DUMMYFUNCTION("""COMPUTED_VALUE"""),-2.63541666666669)</f>
        <v>-2.635416667</v>
      </c>
      <c r="P117" s="11">
        <f>IFERROR(__xludf.DUMMYFUNCTION("""COMPUTED_VALUE"""),34.483289215686284)</f>
        <v>34.48328922</v>
      </c>
      <c r="Q117" s="11">
        <f>IFERROR(__xludf.DUMMYFUNCTION("""COMPUTED_VALUE"""),22.0)</f>
        <v>22</v>
      </c>
      <c r="R117" s="11">
        <f>IFERROR(__xludf.DUMMYFUNCTION("""COMPUTED_VALUE"""),-12.483289215686284)</f>
        <v>-12.48328922</v>
      </c>
      <c r="S117" s="10">
        <f>IFERROR(__xludf.DUMMYFUNCTION("""COMPUTED_VALUE"""),-0.3620098169175722)</f>
        <v>-0.3620098169</v>
      </c>
      <c r="T117" s="11">
        <f>IFERROR(__xludf.DUMMYFUNCTION("""COMPUTED_VALUE"""),208511.25434346407)</f>
        <v>208511.2543</v>
      </c>
      <c r="U117" s="36">
        <f>IFERROR(__xludf.DUMMYFUNCTION("""COMPUTED_VALUE"""),6500.0)</f>
        <v>6500</v>
      </c>
      <c r="V117" s="36">
        <f>IFERROR(__xludf.DUMMYFUNCTION("""COMPUTED_VALUE"""),-213626.50604718877)</f>
        <v>-213626.506</v>
      </c>
      <c r="W117" s="10">
        <f>IFERROR(__xludf.DUMMYFUNCTION("""COMPUTED_VALUE"""),-1.024532257118835)</f>
        <v>-1.024532257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IFERROR(__xludf.DUMMYFUNCTION("""COMPUTED_VALUE"""),"Ilson Costa Lima")</f>
        <v>Ilson Costa Lima</v>
      </c>
      <c r="B119" s="9"/>
      <c r="C119" s="11">
        <f>IFERROR(__xludf.DUMMYFUNCTION("""COMPUTED_VALUE"""),8.0)</f>
        <v>8</v>
      </c>
      <c r="D119" s="9"/>
      <c r="E119" s="9"/>
      <c r="F119" s="9"/>
      <c r="G119" s="10">
        <f>IFERROR(__xludf.DUMMYFUNCTION("""COMPUTED_VALUE"""),0.875)</f>
        <v>0.875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IFERROR(__xludf.DUMMYFUNCTION("""COMPUTED_VALUE"""),"Felipe Maximo")</f>
        <v>Felipe Maximo</v>
      </c>
      <c r="B120" s="9"/>
      <c r="C120" s="11">
        <f>IFERROR(__xludf.DUMMYFUNCTION("""COMPUTED_VALUE"""),9.0)</f>
        <v>9</v>
      </c>
      <c r="D120" s="9"/>
      <c r="E120" s="9"/>
      <c r="F120" s="9"/>
      <c r="G120" s="10">
        <f>IFERROR(__xludf.DUMMYFUNCTION("""COMPUTED_VALUE"""),0.7777777777777778)</f>
        <v>0.7777777778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IFERROR(__xludf.DUMMYFUNCTION("""COMPUTED_VALUE"""),0.5714285714285714)</f>
        <v>0.5714285714</v>
      </c>
      <c r="O120" s="9"/>
      <c r="P120" s="9"/>
      <c r="Q120" s="11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IFERROR(__xludf.DUMMYFUNCTION("""COMPUTED_VALUE"""),13.0)</f>
        <v>13</v>
      </c>
      <c r="D121" s="9"/>
      <c r="E121" s="9"/>
      <c r="F121" s="9"/>
      <c r="G121" s="10">
        <f>IFERROR(__xludf.DUMMYFUNCTION("""COMPUTED_VALUE"""),0.46153846153846156)</f>
        <v>0.4615384615</v>
      </c>
      <c r="H121" s="9"/>
      <c r="I121" s="9"/>
      <c r="J121" s="11">
        <f>IFERROR(__xludf.DUMMYFUNCTION("""COMPUTED_VALUE"""),6.0)</f>
        <v>6</v>
      </c>
      <c r="K121" s="9"/>
      <c r="L121" s="9"/>
      <c r="M121" s="9"/>
      <c r="N121" s="10">
        <f>IFERROR(__xludf.DUMMYFUNCTION("""COMPUTED_VALUE"""),0.3333333333333333)</f>
        <v>0.3333333333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IFERROR(__xludf.DUMMYFUNCTION("""COMPUTED_VALUE"""),"Mylena Reis")</f>
        <v>Mylena Reis</v>
      </c>
      <c r="B122" s="9"/>
      <c r="C122" s="11">
        <f>IFERROR(__xludf.DUMMYFUNCTION("""COMPUTED_VALUE"""),8.0)</f>
        <v>8</v>
      </c>
      <c r="D122" s="9"/>
      <c r="E122" s="9"/>
      <c r="F122" s="9"/>
      <c r="G122" s="10">
        <f>IFERROR(__xludf.DUMMYFUNCTION("""COMPUTED_VALUE"""),1.125)</f>
        <v>1.125</v>
      </c>
      <c r="H122" s="9"/>
      <c r="I122" s="9"/>
      <c r="J122" s="11">
        <f>IFERROR(__xludf.DUMMYFUNCTION("""COMPUTED_VALUE"""),9.0)</f>
        <v>9</v>
      </c>
      <c r="K122" s="9"/>
      <c r="L122" s="9"/>
      <c r="M122" s="9"/>
      <c r="N122" s="10">
        <f>IFERROR(__xludf.DUMMYFUNCTION("""COMPUTED_VALUE"""),0.2222222222222222)</f>
        <v>0.2222222222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IFERROR(__xludf.DUMMYFUNCTION("""COMPUTED_VALUE"""),"João Rios")</f>
        <v>João Rios</v>
      </c>
      <c r="B123" s="9"/>
      <c r="C123" s="11">
        <f>IFERROR(__xludf.DUMMYFUNCTION("""COMPUTED_VALUE"""),13.0)</f>
        <v>13</v>
      </c>
      <c r="D123" s="9"/>
      <c r="E123" s="9"/>
      <c r="F123" s="9"/>
      <c r="G123" s="10">
        <f>IFERROR(__xludf.DUMMYFUNCTION("""COMPUTED_VALUE"""),0.6923076923076923)</f>
        <v>0.6923076923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IFERROR(__xludf.DUMMYFUNCTION("""COMPUTED_VALUE"""),13.0)</f>
        <v>13</v>
      </c>
      <c r="D125" s="9"/>
      <c r="E125" s="9"/>
      <c r="F125" s="9"/>
      <c r="G125" s="10">
        <f>IFERROR(__xludf.DUMMYFUNCTION("""COMPUTED_VALUE"""),0.8461538461538461)</f>
        <v>0.8461538462</v>
      </c>
      <c r="H125" s="9"/>
      <c r="I125" s="9"/>
      <c r="J125" s="11">
        <f>IFERROR(__xludf.DUMMYFUNCTION("""COMPUTED_VALUE"""),11.0)</f>
        <v>11</v>
      </c>
      <c r="K125" s="9"/>
      <c r="L125" s="9"/>
      <c r="M125" s="9"/>
      <c r="N125" s="10">
        <f>IFERROR(__xludf.DUMMYFUNCTION("""COMPUTED_VALUE"""),0.09090909090909091)</f>
        <v>0.09090909091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IFERROR(__xludf.DUMMYFUNCTION("""COMPUTED_VALUE"""),8.0)</f>
        <v>8</v>
      </c>
      <c r="D128" s="9"/>
      <c r="E128" s="9"/>
      <c r="F128" s="9"/>
      <c r="G128" s="10">
        <f>IFERROR(__xludf.DUMMYFUNCTION("""COMPUTED_VALUE"""),0.875)</f>
        <v>0.875</v>
      </c>
      <c r="H128" s="9"/>
      <c r="I128" s="9"/>
      <c r="J128" s="11">
        <f>IFERROR(__xludf.DUMMYFUNCTION("""COMPUTED_VALUE"""),7.0)</f>
        <v>7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IFERROR(__xludf.DUMMYFUNCTION("""COMPUTED_VALUE"""),41.18709677419353)</f>
        <v>41.18709677</v>
      </c>
      <c r="C129" s="11">
        <f>IFERROR(__xludf.DUMMYFUNCTION("""COMPUTED_VALUE"""),58.0)</f>
        <v>58</v>
      </c>
      <c r="D129" s="11">
        <f>IFERROR(__xludf.DUMMYFUNCTION("""COMPUTED_VALUE"""),16.812903225806473)</f>
        <v>16.81290323</v>
      </c>
      <c r="E129" s="10">
        <f>IFERROR(__xludf.DUMMYFUNCTION("""COMPUTED_VALUE"""),0.408208020050126)</f>
        <v>0.4082080201</v>
      </c>
      <c r="F129" s="10">
        <f>IFERROR(__xludf.DUMMYFUNCTION("""COMPUTED_VALUE"""),0.7)</f>
        <v>0.7</v>
      </c>
      <c r="G129" s="10">
        <f>IFERROR(__xludf.DUMMYFUNCTION("""COMPUTED_VALUE"""),0.5517241379310345)</f>
        <v>0.5517241379</v>
      </c>
      <c r="H129" s="35">
        <f>IFERROR(__xludf.DUMMYFUNCTION("""COMPUTED_VALUE"""),-14.827586206896548)</f>
        <v>-14.82758621</v>
      </c>
      <c r="I129" s="11">
        <f>IFERROR(__xludf.DUMMYFUNCTION("""COMPUTED_VALUE"""),28.830967741935467)</f>
        <v>28.83096774</v>
      </c>
      <c r="J129" s="11">
        <f>IFERROR(__xludf.DUMMYFUNCTION("""COMPUTED_VALUE"""),32.0)</f>
        <v>32</v>
      </c>
      <c r="K129" s="11">
        <f>IFERROR(__xludf.DUMMYFUNCTION("""COMPUTED_VALUE"""),3.169032258064533)</f>
        <v>3.169032258</v>
      </c>
      <c r="L129" s="10">
        <f>IFERROR(__xludf.DUMMYFUNCTION("""COMPUTED_VALUE"""),0.10991765127103538)</f>
        <v>0.1099176513</v>
      </c>
      <c r="M129" s="10">
        <f>IFERROR(__xludf.DUMMYFUNCTION("""COMPUTED_VALUE"""),0.2712500000000002)</f>
        <v>0.27125</v>
      </c>
      <c r="N129" s="10">
        <f>IFERROR(__xludf.DUMMYFUNCTION("""COMPUTED_VALUE"""),0.375)</f>
        <v>0.375</v>
      </c>
      <c r="O129" s="35">
        <f>IFERROR(__xludf.DUMMYFUNCTION("""COMPUTED_VALUE"""),10.374999999999979)</f>
        <v>10.375</v>
      </c>
      <c r="P129" s="11">
        <f>IFERROR(__xludf.DUMMYFUNCTION("""COMPUTED_VALUE"""),7.820400000000002)</f>
        <v>7.8204</v>
      </c>
      <c r="Q129" s="11">
        <f>IFERROR(__xludf.DUMMYFUNCTION("""COMPUTED_VALUE"""),12.0)</f>
        <v>12</v>
      </c>
      <c r="R129" s="11">
        <f>IFERROR(__xludf.DUMMYFUNCTION("""COMPUTED_VALUE"""),4.179599999999998)</f>
        <v>4.1796</v>
      </c>
      <c r="S129" s="10">
        <f>IFERROR(__xludf.DUMMYFUNCTION("""COMPUTED_VALUE"""),0.53444836581249)</f>
        <v>0.5344483658</v>
      </c>
      <c r="T129" s="11">
        <f>IFERROR(__xludf.DUMMYFUNCTION("""COMPUTED_VALUE"""),61110.482496000004)</f>
        <v>61110.4825</v>
      </c>
      <c r="U129" s="36">
        <f>IFERROR(__xludf.DUMMYFUNCTION("""COMPUTED_VALUE"""),8400.0)</f>
        <v>8400</v>
      </c>
      <c r="V129" s="36">
        <f>IFERROR(__xludf.DUMMYFUNCTION("""COMPUTED_VALUE"""),26619.870967742077)</f>
        <v>26619.87097</v>
      </c>
      <c r="W129" s="10">
        <f>IFERROR(__xludf.DUMMYFUNCTION("""COMPUTED_VALUE"""),0.4356023693559364)</f>
        <v>0.4356023694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IFERROR(__xludf.DUMMYFUNCTION("""COMPUTED_VALUE"""),7.0)</f>
        <v>7</v>
      </c>
      <c r="D130" s="9"/>
      <c r="E130" s="9"/>
      <c r="F130" s="9"/>
      <c r="G130" s="10">
        <f>IFERROR(__xludf.DUMMYFUNCTION("""COMPUTED_VALUE"""),0.7142857142857143)</f>
        <v>0.7142857143</v>
      </c>
      <c r="H130" s="9"/>
      <c r="I130" s="9"/>
      <c r="J130" s="11">
        <f>IFERROR(__xludf.DUMMYFUNCTION("""COMPUTED_VALUE"""),5.0)</f>
        <v>5</v>
      </c>
      <c r="K130" s="9"/>
      <c r="L130" s="9"/>
      <c r="M130" s="9"/>
      <c r="N130" s="10">
        <f>IFERROR(__xludf.DUMMYFUNCTION("""COMPUTED_VALUE"""),0.6)</f>
        <v>0.6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IFERROR(__xludf.DUMMYFUNCTION("""COMPUTED_VALUE"""),7.0)</f>
        <v>7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IFERROR(__xludf.DUMMYFUNCTION("""COMPUTED_VALUE"""),7.0)</f>
        <v>7</v>
      </c>
      <c r="K131" s="9"/>
      <c r="L131" s="9"/>
      <c r="M131" s="9"/>
      <c r="N131" s="10">
        <f>IFERROR(__xludf.DUMMYFUNCTION("""COMPUTED_VALUE"""),0.2857142857142857)</f>
        <v>0.2857142857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IFERROR(__xludf.DUMMYFUNCTION("""COMPUTED_VALUE"""),5.0)</f>
        <v>5</v>
      </c>
      <c r="D133" s="9"/>
      <c r="E133" s="9"/>
      <c r="F133" s="9"/>
      <c r="G133" s="10">
        <f>IFERROR(__xludf.DUMMYFUNCTION("""COMPUTED_VALUE"""),0.2)</f>
        <v>0.2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IFERROR(__xludf.DUMMYFUNCTION("""COMPUTED_VALUE"""),7.0)</f>
        <v>7</v>
      </c>
      <c r="D135" s="9"/>
      <c r="E135" s="9"/>
      <c r="F135" s="9"/>
      <c r="G135" s="10">
        <f>IFERROR(__xludf.DUMMYFUNCTION("""COMPUTED_VALUE"""),0.42857142857142855)</f>
        <v>0.4285714286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IFERROR(__xludf.DUMMYFUNCTION("""COMPUTED_VALUE"""),"Gustavo Pereira")</f>
        <v>Gustavo Pereira</v>
      </c>
      <c r="B136" s="9"/>
      <c r="C136" s="11">
        <f>IFERROR(__xludf.DUMMYFUNCTION("""COMPUTED_VALUE"""),7.0)</f>
        <v>7</v>
      </c>
      <c r="D136" s="9"/>
      <c r="E136" s="9"/>
      <c r="F136" s="9"/>
      <c r="G136" s="10">
        <f>IFERROR(__xludf.DUMMYFUNCTION("""COMPUTED_VALUE"""),0.42857142857142855)</f>
        <v>0.4285714286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1">
        <f>IFERROR(__xludf.DUMMYFUNCTION("""COMPUTED_VALUE"""),6.0)</f>
        <v>6</v>
      </c>
      <c r="D137" s="9"/>
      <c r="E137" s="9"/>
      <c r="F137" s="9"/>
      <c r="G137" s="10">
        <f>IFERROR(__xludf.DUMMYFUNCTION("""COMPUTED_VALUE"""),0.6666666666666666)</f>
        <v>0.6666666667</v>
      </c>
      <c r="H137" s="9"/>
      <c r="I137" s="9"/>
      <c r="J137" s="11">
        <f>IFERROR(__xludf.DUMMYFUNCTION("""COMPUTED_VALUE"""),4.0)</f>
        <v>4</v>
      </c>
      <c r="K137" s="9"/>
      <c r="L137" s="9"/>
      <c r="M137" s="9"/>
      <c r="N137" s="10">
        <f>IFERROR(__xludf.DUMMYFUNCTION("""COMPUTED_VALUE"""),0.25)</f>
        <v>0.25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IFERROR(__xludf.DUMMYFUNCTION("""COMPUTED_VALUE"""),6.0)</f>
        <v>6</v>
      </c>
      <c r="D138" s="9"/>
      <c r="E138" s="9"/>
      <c r="F138" s="9"/>
      <c r="G138" s="10">
        <f>IFERROR(__xludf.DUMMYFUNCTION("""COMPUTED_VALUE"""),0.6666666666666666)</f>
        <v>0.6666666667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IFERROR(__xludf.DUMMYFUNCTION("""COMPUTED_VALUE"""),7.0)</f>
        <v>7</v>
      </c>
      <c r="D139" s="9"/>
      <c r="E139" s="9"/>
      <c r="F139" s="9"/>
      <c r="G139" s="10">
        <f>IFERROR(__xludf.DUMMYFUNCTION("""COMPUTED_VALUE"""),0.14285714285714285)</f>
        <v>0.1428571429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4">
        <f>IFERROR(__xludf.DUMMYFUNCTION("""COMPUTED_VALUE"""),623.0)</f>
        <v>623</v>
      </c>
      <c r="D226" s="34">
        <f>IFERROR(__xludf.DUMMYFUNCTION("""COMPUTED_VALUE"""),168.0)</f>
        <v>168</v>
      </c>
      <c r="E226" s="34">
        <f>IFERROR(__xludf.DUMMYFUNCTION("""COMPUTED_VALUE"""),653.2258064516125)</f>
        <v>653.2258065</v>
      </c>
      <c r="F226" s="34">
        <f>IFERROR(__xludf.DUMMYFUNCTION("""COMPUTED_VALUE"""),542.6129032258061)</f>
        <v>542.6129032</v>
      </c>
      <c r="G226" s="34">
        <f>IFERROR(__xludf.DUMMYFUNCTION("""COMPUTED_VALUE"""),134.40000000000003)</f>
        <v>134.4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4">
        <f>IFERROR(__xludf.DUMMYFUNCTION("""COMPUTED_VALUE"""),31.0)</f>
        <v>31</v>
      </c>
      <c r="D227" s="34">
        <f>IFERROR(__xludf.DUMMYFUNCTION("""COMPUTED_VALUE"""),11.0)</f>
        <v>11</v>
      </c>
      <c r="E227" s="34">
        <f>IFERROR(__xludf.DUMMYFUNCTION("""COMPUTED_VALUE"""),26.999999999999982)</f>
        <v>27</v>
      </c>
      <c r="F227" s="34">
        <f>IFERROR(__xludf.DUMMYFUNCTION("""COMPUTED_VALUE"""),26.999999999999982)</f>
        <v>27</v>
      </c>
      <c r="G227" s="34">
        <f>IFERROR(__xludf.DUMMYFUNCTION("""COMPUTED_VALUE"""),8.800000000000002)</f>
        <v>8.8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4">
        <f>IFERROR(__xludf.DUMMYFUNCTION("""COMPUTED_VALUE"""),1514.0)</f>
        <v>1514</v>
      </c>
      <c r="D228" s="34">
        <f>IFERROR(__xludf.DUMMYFUNCTION("""COMPUTED_VALUE"""),529.0)</f>
        <v>529</v>
      </c>
      <c r="E228" s="34">
        <f>IFERROR(__xludf.DUMMYFUNCTION("""COMPUTED_VALUE"""),1720.1612903225796)</f>
        <v>1720.16129</v>
      </c>
      <c r="F228" s="34">
        <f>IFERROR(__xludf.DUMMYFUNCTION("""COMPUTED_VALUE"""),1318.6451612903218)</f>
        <v>1318.645161</v>
      </c>
      <c r="G228" s="34">
        <f>IFERROR(__xludf.DUMMYFUNCTION("""COMPUTED_VALUE"""),423.2000000000001)</f>
        <v>423.2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4">
        <f>IFERROR(__xludf.DUMMYFUNCTION("""COMPUTED_VALUE"""),970.0)</f>
        <v>970</v>
      </c>
      <c r="D229" s="34">
        <f>IFERROR(__xludf.DUMMYFUNCTION("""COMPUTED_VALUE"""),344.0)</f>
        <v>344</v>
      </c>
      <c r="E229" s="34">
        <f>IFERROR(__xludf.DUMMYFUNCTION("""COMPUTED_VALUE"""),1077.387096774193)</f>
        <v>1077.387097</v>
      </c>
      <c r="F229" s="34">
        <f>IFERROR(__xludf.DUMMYFUNCTION("""COMPUTED_VALUE"""),844.8387096774188)</f>
        <v>844.8387097</v>
      </c>
      <c r="G229" s="34">
        <f>IFERROR(__xludf.DUMMYFUNCTION("""COMPUTED_VALUE"""),275.20000000000005)</f>
        <v>275.2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4">
        <f>IFERROR(__xludf.DUMMYFUNCTION("""COMPUTED_VALUE"""),276.0)</f>
        <v>276</v>
      </c>
      <c r="D230" s="34">
        <f>IFERROR(__xludf.DUMMYFUNCTION("""COMPUTED_VALUE"""),85.0)</f>
        <v>85</v>
      </c>
      <c r="E230" s="34">
        <f>IFERROR(__xludf.DUMMYFUNCTION("""COMPUTED_VALUE"""),315.29032258064495)</f>
        <v>315.2903226</v>
      </c>
      <c r="F230" s="34">
        <f>IFERROR(__xludf.DUMMYFUNCTION("""COMPUTED_VALUE"""),240.3870967741934)</f>
        <v>240.3870968</v>
      </c>
      <c r="G230" s="34">
        <f>IFERROR(__xludf.DUMMYFUNCTION("""COMPUTED_VALUE"""),68.00000000000001)</f>
        <v>68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4">
        <f>IFERROR(__xludf.DUMMYFUNCTION("""COMPUTED_VALUE"""),205.0)</f>
        <v>205</v>
      </c>
      <c r="D231" s="34">
        <f>IFERROR(__xludf.DUMMYFUNCTION("""COMPUTED_VALUE"""),80.0)</f>
        <v>80</v>
      </c>
      <c r="E231" s="34">
        <f>IFERROR(__xludf.DUMMYFUNCTION("""COMPUTED_VALUE"""),243.87096774193532)</f>
        <v>243.8709677</v>
      </c>
      <c r="F231" s="34">
        <f>IFERROR(__xludf.DUMMYFUNCTION("""COMPUTED_VALUE"""),178.5483870967741)</f>
        <v>178.5483871</v>
      </c>
      <c r="G231" s="34">
        <f>IFERROR(__xludf.DUMMYFUNCTION("""COMPUTED_VALUE"""),64.00000000000001)</f>
        <v>64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4">
        <f>IFERROR(__xludf.DUMMYFUNCTION("""COMPUTED_VALUE"""),63.0)</f>
        <v>63</v>
      </c>
      <c r="D232" s="34">
        <f>IFERROR(__xludf.DUMMYFUNCTION("""COMPUTED_VALUE"""),20.0)</f>
        <v>20</v>
      </c>
      <c r="E232" s="34">
        <f>IFERROR(__xludf.DUMMYFUNCTION("""COMPUTED_VALUE"""),83.6129032258064)</f>
        <v>83.61290323</v>
      </c>
      <c r="F232" s="34">
        <f>IFERROR(__xludf.DUMMYFUNCTION("""COMPUTED_VALUE"""),54.87096774193545)</f>
        <v>54.87096774</v>
      </c>
      <c r="G232" s="34">
        <f>IFERROR(__xludf.DUMMYFUNCTION("""COMPUTED_VALUE"""),16.000000000000004)</f>
        <v>16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4">
        <f>IFERROR(__xludf.DUMMYFUNCTION("""COMPUTED_VALUE"""),1647.0)</f>
        <v>1647</v>
      </c>
      <c r="D233" s="34">
        <f>IFERROR(__xludf.DUMMYFUNCTION("""COMPUTED_VALUE"""),564.0)</f>
        <v>564</v>
      </c>
      <c r="E233" s="34">
        <f>IFERROR(__xludf.DUMMYFUNCTION("""COMPUTED_VALUE"""),2139.096774193547)</f>
        <v>2139.096774</v>
      </c>
      <c r="F233" s="34">
        <f>IFERROR(__xludf.DUMMYFUNCTION("""COMPUTED_VALUE"""),1434.483870967741)</f>
        <v>1434.483871</v>
      </c>
      <c r="G233" s="34">
        <f>IFERROR(__xludf.DUMMYFUNCTION("""COMPUTED_VALUE"""),451.2000000000001)</f>
        <v>451.2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4">
        <f>IFERROR(__xludf.DUMMYFUNCTION("""COMPUTED_VALUE"""),299.0)</f>
        <v>299</v>
      </c>
      <c r="D234" s="34">
        <f>IFERROR(__xludf.DUMMYFUNCTION("""COMPUTED_VALUE"""),102.0)</f>
        <v>102</v>
      </c>
      <c r="E234" s="34">
        <f>IFERROR(__xludf.DUMMYFUNCTION("""COMPUTED_VALUE"""),323.1290322580643)</f>
        <v>323.1290323</v>
      </c>
      <c r="F234" s="34">
        <f>IFERROR(__xludf.DUMMYFUNCTION("""COMPUTED_VALUE"""),260.4193548387095)</f>
        <v>260.4193548</v>
      </c>
      <c r="G234" s="34">
        <f>IFERROR(__xludf.DUMMYFUNCTION("""COMPUTED_VALUE"""),81.60000000000002)</f>
        <v>81.6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4">
        <f>IFERROR(__xludf.DUMMYFUNCTION("""COMPUTED_VALUE"""),254.0)</f>
        <v>254</v>
      </c>
      <c r="D235" s="34">
        <f>IFERROR(__xludf.DUMMYFUNCTION("""COMPUTED_VALUE"""),58.0)</f>
        <v>58</v>
      </c>
      <c r="E235" s="34">
        <f>IFERROR(__xludf.DUMMYFUNCTION("""COMPUTED_VALUE"""),313.548387096774)</f>
        <v>313.5483871</v>
      </c>
      <c r="F235" s="34">
        <f>IFERROR(__xludf.DUMMYFUNCTION("""COMPUTED_VALUE"""),221.22580645161275)</f>
        <v>221.2258065</v>
      </c>
      <c r="G235" s="34">
        <f>IFERROR(__xludf.DUMMYFUNCTION("""COMPUTED_VALUE"""),46.400000000000006)</f>
        <v>46.4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4">
        <f>IFERROR(__xludf.DUMMYFUNCTION("""COMPUTED_VALUE"""),118.0)</f>
        <v>118</v>
      </c>
      <c r="D236" s="34">
        <f>IFERROR(__xludf.DUMMYFUNCTION("""COMPUTED_VALUE"""),36.0)</f>
        <v>36</v>
      </c>
      <c r="E236" s="34">
        <f>IFERROR(__xludf.DUMMYFUNCTION("""COMPUTED_VALUE"""),192.4838709677418)</f>
        <v>192.483871</v>
      </c>
      <c r="F236" s="34">
        <f>IFERROR(__xludf.DUMMYFUNCTION("""COMPUTED_VALUE"""),102.77419354838703)</f>
        <v>102.7741935</v>
      </c>
      <c r="G236" s="34">
        <f>IFERROR(__xludf.DUMMYFUNCTION("""COMPUTED_VALUE"""),28.800000000000004)</f>
        <v>28.8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4">
        <f>IFERROR(__xludf.DUMMYFUNCTION("""COMPUTED_VALUE"""),934.0)</f>
        <v>934</v>
      </c>
      <c r="D237" s="34">
        <f>IFERROR(__xludf.DUMMYFUNCTION("""COMPUTED_VALUE"""),355.0)</f>
        <v>355</v>
      </c>
      <c r="E237" s="34">
        <f>IFERROR(__xludf.DUMMYFUNCTION("""COMPUTED_VALUE"""),1254.193548387096)</f>
        <v>1254.193548</v>
      </c>
      <c r="F237" s="34">
        <f>IFERROR(__xludf.DUMMYFUNCTION("""COMPUTED_VALUE"""),813.4838709677414)</f>
        <v>813.483871</v>
      </c>
      <c r="G237" s="34">
        <f>IFERROR(__xludf.DUMMYFUNCTION("""COMPUTED_VALUE"""),284.00000000000006)</f>
        <v>284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4">
        <f>IFERROR(__xludf.DUMMYFUNCTION("""COMPUTED_VALUE"""),42.0)</f>
        <v>42</v>
      </c>
      <c r="D238" s="34">
        <f>IFERROR(__xludf.DUMMYFUNCTION("""COMPUTED_VALUE"""),13.0)</f>
        <v>13</v>
      </c>
      <c r="E238" s="34">
        <f>IFERROR(__xludf.DUMMYFUNCTION("""COMPUTED_VALUE"""),55.74193548387093)</f>
        <v>55.74193548</v>
      </c>
      <c r="F238" s="34">
        <f>IFERROR(__xludf.DUMMYFUNCTION("""COMPUTED_VALUE"""),36.5806451612903)</f>
        <v>36.58064516</v>
      </c>
      <c r="G238" s="34">
        <f>IFERROR(__xludf.DUMMYFUNCTION("""COMPUTED_VALUE"""),10.400000000000002)</f>
        <v>10.4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