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<sst xmlns="http://schemas.openxmlformats.org/spreadsheetml/2006/main" count="682" uniqueCount="394">
  <si>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</si>
  <si>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</si>
  <si>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</si>
  <si>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</si>
  <si>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</si>
  <si>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</si>
  <si>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</si>
  <si>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</si>
  <si>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</si>
  <si>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</si>
  <si>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</si>
  <si>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</si>
  <si>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</si>
  <si>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</si>
  <si>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</si>
  <si>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</si>
  <si>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</si>
  <si>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</si>
  <si>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</si>
  <si>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</si>
  <si>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</si>
  <si>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</si>
  <si>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</si>
  <si>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</si>
  <si>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</si>
  <si>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</si>
  <si>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</si>
  <si>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</si>
  <si>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</si>
  <si>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</si>
  <si>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</si>
  <si>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</si>
  <si>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</si>
  <si>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</si>
  <si>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</si>
  <si>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</si>
  <si>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</si>
  <si>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</si>
  <si>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</si>
  <si>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</si>
  <si>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</si>
  <si>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</si>
  <si>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</si>
  <si>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</si>
  <si>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</si>
  <si>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</si>
  <si>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</si>
  <si>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</si>
  <si>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</si>
  <si>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</si>
  <si>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</si>
  <si>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</si>
  <si>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</si>
  <si>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</si>
  <si>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</si>
  <si>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</si>
  <si>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</si>
  <si>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</si>
  <si>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</si>
  <si>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</si>
  <si>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</si>
  <si>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</si>
  <si>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</si>
  <si>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</si>
  <si>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</si>
  <si>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</si>
  <si>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</si>
  <si>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</si>
  <si>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</si>
  <si>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</si>
  <si>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</si>
  <si>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</si>
  <si>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</si>
  <si>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</si>
  <si>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</si>
  <si>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</si>
  <si>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</si>
  <si>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</si>
  <si>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</si>
  <si>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</si>
  <si>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</si>
  <si>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</si>
  <si>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</si>
  <si>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</si>
  <si>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</si>
  <si>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</si>
  <si>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</si>
  <si>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</si>
  <si>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</si>
  <si>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</si>
  <si>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</si>
  <si>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</si>
  <si>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</si>
  <si>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</si>
  <si>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</si>
  <si>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</si>
  <si>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</si>
  <si>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Mari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</si>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</sst>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0" fontId="1" numFmtId="4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Comercial!AE4:AF4"")"),9650087.930015557)</f>
        <v>9650087.93</v>
      </c>
      <c r="B2" s="3">
        <f>IFERROR(__xludf.DUMMYFUNCTION("""COMPUTED_VALUE"""),1.3405208912404785E7)</f>
        <v>13405208.91</v>
      </c>
      <c r="C2" s="3">
        <f>B2-A2</f>
        <v>3755120.982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Chat")</f>
        <v>[ON] Chat</v>
      </c>
      <c r="G2" s="5">
        <f>IFERROR(__xludf.DUMMYFUNCTION("""COMPUTED_VALUE"""),-0.36048951048951017)</f>
        <v>-0.3604895105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IFERROR(__xludf.DUMMYFUNCTION("""COMPUTED_VALUE"""),-0.463399981037566)</f>
        <v>-0.463399981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"),"Aplicativo G4 - Indicação")</f>
        <v>Aplicativo G4 - Indicação</v>
      </c>
      <c r="K2" s="6">
        <f>IFERROR(__xludf.DUMMYFUNCTION("""COMPUTED_VALUE"""),-13.307692307692307)</f>
        <v>-13.30769231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"),0.7872340425531915)</f>
        <v>0.7872340426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"),0.5)</f>
        <v>0.5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IFERROR(__xludf.DUMMYFUNCTION("""COMPUTED_VALUE"""),-0.8434769947582994)</f>
        <v>-0.8434769948</v>
      </c>
      <c r="AC2" s="3">
        <f>IFERROR(__xludf.DUMMYFUNCTION("""COMPUTED_VALUE"""),-3302.375)</f>
        <v>-3302.375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"),"[SKL] CRM - Email")</f>
        <v>[SKL] CRM - Email</v>
      </c>
      <c r="AE2" s="5">
        <f>IFERROR(__xludf.DUMMYFUNCTION("""COMPUTED_VALUE"""),2.2902411915177576)</f>
        <v>2.290241192</v>
      </c>
      <c r="AF2" s="3">
        <f>IFERROR(__xludf.DUMMYFUNCTION("""COMPUTED_VALUE"""),4622.209523809524)</f>
        <v>4622.209524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IFERROR(__xludf.DUMMYFUNCTION("""COMPUTED_VALUE"""),"Form G4 Incompleto Outros")</f>
        <v>Form G4 Incompleto Outros</v>
      </c>
      <c r="G3" s="5">
        <f>IFERROR(__xludf.DUMMYFUNCTION("""COMPUTED_VALUE"""),-0.3489876935291779)</f>
        <v>-0.3489876935</v>
      </c>
      <c r="H3" s="4" t="str">
        <f>IFERROR(__xludf.DUMMYFUNCTION("""COMPUTED_VALUE"""),"[SKL] Site")</f>
        <v>[SKL] Site</v>
      </c>
      <c r="I3" s="5">
        <f>IFERROR(__xludf.DUMMYFUNCTION("""COMPUTED_VALUE"""),-0.40865469495252604)</f>
        <v>-0.408654695</v>
      </c>
      <c r="J3" s="4" t="str">
        <f>IFERROR(__xludf.DUMMYFUNCTION("""COMPUTED_VALUE"""),"[SKL] Outros")</f>
        <v>[SKL] Outros</v>
      </c>
      <c r="K3" s="6">
        <f>IFERROR(__xludf.DUMMYFUNCTION("""COMPUTED_VALUE"""),-11.05263157894737)</f>
        <v>-11.05263158</v>
      </c>
      <c r="L3" s="4" t="str">
        <f>IFERROR(__xludf.DUMMYFUNCTION("""COMPUTED_VALUE"""),"[CM] Form G4 - Instagram")</f>
        <v>[CM] Form G4 - Instagram</v>
      </c>
      <c r="M3" s="6">
        <f>IFERROR(__xludf.DUMMYFUNCTION("""COMPUTED_VALUE"""),-21.0)</f>
        <v>-21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IFERROR(__xludf.DUMMYFUNCTION("""COMPUTED_VALUE"""),"[IM] Form Facebook Ads")</f>
        <v>[IM] Form Facebook Ads</v>
      </c>
      <c r="AB3" s="5">
        <f>IFERROR(__xludf.DUMMYFUNCTION("""COMPUTED_VALUE"""),-0.5788209169608161)</f>
        <v>-0.578820917</v>
      </c>
      <c r="AC3" s="3">
        <f>IFERROR(__xludf.DUMMYFUNCTION("""COMPUTED_VALUE"""),-3381.1262626262615)</f>
        <v>-3381.126263</v>
      </c>
      <c r="AD3" s="4" t="str">
        <f>IFERROR(__xludf.DUMMYFUNCTION("""COMPUTED_VALUE"""),"Form G4 Google")</f>
        <v>Form G4 Google</v>
      </c>
      <c r="AE3" s="5">
        <f>IFERROR(__xludf.DUMMYFUNCTION("""COMPUTED_VALUE"""),1.1947124788907848)</f>
        <v>1.194712479</v>
      </c>
      <c r="AF3" s="3">
        <f>IFERROR(__xludf.DUMMYFUNCTION("""COMPUTED_VALUE"""),4080.523255813954)</f>
        <v>4080.523256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Site")</f>
        <v>[SKL] Site</v>
      </c>
      <c r="G4" s="5">
        <f>IFERROR(__xludf.DUMMYFUNCTION("""COMPUTED_VALUE"""),-0.33903467666354226)</f>
        <v>-0.3390346767</v>
      </c>
      <c r="H4" s="4" t="str">
        <f>IFERROR(__xludf.DUMMYFUNCTION("""COMPUTED_VALUE"""),"[ON] Chat")</f>
        <v>[ON] Chat</v>
      </c>
      <c r="I4" s="5">
        <f>IFERROR(__xludf.DUMMYFUNCTION("""COMPUTED_VALUE"""),-0.36771561771561734)</f>
        <v>-0.3677156177</v>
      </c>
      <c r="J4" s="4" t="str">
        <f>IFERROR(__xludf.DUMMYFUNCTION("""COMPUTED_VALUE"""),"[SKL] CRM - WhatsApp")</f>
        <v>[SKL] CRM - WhatsApp</v>
      </c>
      <c r="K4" s="6">
        <f>IFERROR(__xludf.DUMMYFUNCTION("""COMPUTED_VALUE"""),-9.570175438596491)</f>
        <v>-9.570175439</v>
      </c>
      <c r="L4" s="4" t="str">
        <f>IFERROR(__xludf.DUMMYFUNCTION("""COMPUTED_VALUE"""),"[ON] Abandono de carrinho")</f>
        <v>[ON] Abandono de carrinho</v>
      </c>
      <c r="M4" s="6">
        <f>IFERROR(__xludf.DUMMYFUNCTION("""COMPUTED_VALUE"""),-16.58536585365854)</f>
        <v>-16.58536585</v>
      </c>
      <c r="N4" s="4" t="str">
        <f>IFERROR(__xludf.DUMMYFUNCTION("""COMPUTED_VALUE"""),"Aplicativo G4 - Indicação")</f>
        <v>Aplicativo G4 - Indicação</v>
      </c>
      <c r="O4" s="5">
        <f>IFERROR(__xludf.DUMMYFUNCTION("""COMPUTED_VALUE"""),-0.613)</f>
        <v>-0.613</v>
      </c>
      <c r="P4" s="3">
        <f>IFERROR(__xludf.DUMMYFUNCTION("""COMPUTED_VALUE"""),-17777.0)</f>
        <v>-17777</v>
      </c>
      <c r="S4" s="4"/>
      <c r="T4" s="4"/>
      <c r="AA4" s="4" t="str">
        <f>IFERROR(__xludf.DUMMYFUNCTION("""COMPUTED_VALUE"""),"[IM] Social DM")</f>
        <v>[IM] Social DM</v>
      </c>
      <c r="AB4" s="5">
        <f>IFERROR(__xludf.DUMMYFUNCTION("""COMPUTED_VALUE"""),-0.5627906765920041)</f>
        <v>-0.5627906766</v>
      </c>
      <c r="AC4" s="3">
        <f>IFERROR(__xludf.DUMMYFUNCTION("""COMPUTED_VALUE"""),-7110.389285132998)</f>
        <v>-7110.389285</v>
      </c>
      <c r="AD4" s="4" t="str">
        <f>IFERROR(__xludf.DUMMYFUNCTION("""COMPUTED_VALUE"""),"[SKL] CRM - WhatsApp")</f>
        <v>[SKL] CRM - WhatsApp</v>
      </c>
      <c r="AE4" s="5">
        <f>IFERROR(__xludf.DUMMYFUNCTION("""COMPUTED_VALUE"""),0.961688252818423)</f>
        <v>0.9616882528</v>
      </c>
      <c r="AF4" s="3">
        <f>IFERROR(__xludf.DUMMYFUNCTION("""COMPUTED_VALUE"""),1601.5764734604782)</f>
        <v>1601.576473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IFERROR(__xludf.DUMMYFUNCTION("""COMPUTED_VALUE"""),"Form G4 Outros - Não Orgânico")</f>
        <v>Form G4 Outros - Não Orgânico</v>
      </c>
      <c r="G5" s="5">
        <f>IFERROR(__xludf.DUMMYFUNCTION("""COMPUTED_VALUE"""),-0.13552704963747864)</f>
        <v>-0.1355270496</v>
      </c>
      <c r="H5" s="4" t="str">
        <f>IFERROR(__xludf.DUMMYFUNCTION("""COMPUTED_VALUE"""),"Form G4 Outros - Não Orgânico")</f>
        <v>Form G4 Outros - Não Orgânico</v>
      </c>
      <c r="I5" s="5">
        <f>IFERROR(__xludf.DUMMYFUNCTION("""COMPUTED_VALUE"""),-0.1605716664977391)</f>
        <v>-0.1605716665</v>
      </c>
      <c r="J5" s="4" t="str">
        <f>IFERROR(__xludf.DUMMYFUNCTION("""COMPUTED_VALUE"""),"[SKL] CRM - Email")</f>
        <v>[SKL] CRM - Email</v>
      </c>
      <c r="K5" s="6">
        <f>IFERROR(__xludf.DUMMYFUNCTION("""COMPUTED_VALUE"""),-9.195121951219512)</f>
        <v>-9.195121951</v>
      </c>
      <c r="L5" s="4" t="str">
        <f>IFERROR(__xludf.DUMMYFUNCTION("""COMPUTED_VALUE"""),"Form G4 Outros - Orgânico")</f>
        <v>Form G4 Outros - Orgânico</v>
      </c>
      <c r="M5" s="6">
        <f>IFERROR(__xludf.DUMMYFUNCTION("""COMPUTED_VALUE"""),-13.057971014492754)</f>
        <v>-13.05797101</v>
      </c>
      <c r="N5" s="4" t="str">
        <f>IFERROR(__xludf.DUMMYFUNCTION("""COMPUTED_VALUE"""),"[IM] Social DM")</f>
        <v>[IM] Social DM</v>
      </c>
      <c r="O5" s="5">
        <f>IFERROR(__xludf.DUMMYFUNCTION("""COMPUTED_VALUE"""),-0.5876988280614216)</f>
        <v>-0.5876988281</v>
      </c>
      <c r="P5" s="3">
        <f>IFERROR(__xludf.DUMMYFUNCTION("""COMPUTED_VALUE"""),-18806.362497965492)</f>
        <v>-18806.3625</v>
      </c>
      <c r="S5" s="4"/>
      <c r="T5" s="4"/>
      <c r="AA5" s="4" t="str">
        <f>IFERROR(__xludf.DUMMYFUNCTION("""COMPUTED_VALUE"""),"[SKL] Social")</f>
        <v>[SKL] Social</v>
      </c>
      <c r="AB5" s="5">
        <f>IFERROR(__xludf.DUMMYFUNCTION("""COMPUTED_VALUE"""),-0.5096629761015317)</f>
        <v>-0.5096629761</v>
      </c>
      <c r="AC5" s="3">
        <f>IFERROR(__xludf.DUMMYFUNCTION("""COMPUTED_VALUE"""),-2054.3939393939395)</f>
        <v>-2054.393939</v>
      </c>
      <c r="AD5" s="4" t="str">
        <f>IFERROR(__xludf.DUMMYFUNCTION("""COMPUTED_VALUE"""),"[IM] Form G4 Facebook Ads - K")</f>
        <v>[IM] Form G4 Facebook Ads - K</v>
      </c>
      <c r="AE5" s="5">
        <f>IFERROR(__xludf.DUMMYFUNCTION("""COMPUTED_VALUE"""),0.8201619922938987)</f>
        <v>0.8201619923</v>
      </c>
      <c r="AF5" s="3">
        <f>IFERROR(__xludf.DUMMYFUNCTION("""COMPUTED_VALUE"""),619.0706876960148)</f>
        <v>619.0706877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/>
      <c r="G6" s="4"/>
      <c r="H6" s="4"/>
      <c r="I6" s="4"/>
      <c r="J6" s="4" t="str">
        <f>IFERROR(__xludf.DUMMYFUNCTION("""COMPUTED_VALUE"""),"[CM] Form G4 - Instagram")</f>
        <v>[CM] Form G4 - Instagram</v>
      </c>
      <c r="K6" s="6">
        <f>IFERROR(__xludf.DUMMYFUNCTION("""COMPUTED_VALUE"""),-8.821917808219181)</f>
        <v>-8.821917808</v>
      </c>
      <c r="L6" s="4" t="str">
        <f>IFERROR(__xludf.DUMMYFUNCTION("""COMPUTED_VALUE"""),"Form G4 Instagram Outros")</f>
        <v>Form G4 Instagram Outros</v>
      </c>
      <c r="M6" s="6">
        <f>IFERROR(__xludf.DUMMYFUNCTION("""COMPUTED_VALUE"""),-11.735849056603772)</f>
        <v>-11.73584906</v>
      </c>
      <c r="N6" s="4" t="str">
        <f>IFERROR(__xludf.DUMMYFUNCTION("""COMPUTED_VALUE"""),"[FS] Time de vendas")</f>
        <v>[FS] Time de vendas</v>
      </c>
      <c r="O6" s="5">
        <f>IFERROR(__xludf.DUMMYFUNCTION("""COMPUTED_VALUE"""),-0.5484356527150628)</f>
        <v>-0.5484356527</v>
      </c>
      <c r="P6" s="3">
        <f>IFERROR(__xludf.DUMMYFUNCTION("""COMPUTED_VALUE"""),-29372.09990324409)</f>
        <v>-29372.0999</v>
      </c>
      <c r="Q6" s="7"/>
      <c r="S6" s="4"/>
      <c r="T6" s="4"/>
      <c r="AA6" s="4" t="str">
        <f>IFERROR(__xludf.DUMMYFUNCTION("""COMPUTED_VALUE"""),"Form G4 - K Outros")</f>
        <v>Form G4 - K Outros</v>
      </c>
      <c r="AB6" s="5">
        <f>IFERROR(__xludf.DUMMYFUNCTION("""COMPUTED_VALUE"""),-0.4743454708691005)</f>
        <v>-0.4743454709</v>
      </c>
      <c r="AC6" s="3">
        <f>IFERROR(__xludf.DUMMYFUNCTION("""COMPUTED_VALUE"""),-1175.6295913384884)</f>
        <v>-1175.629591</v>
      </c>
      <c r="AD6" s="4" t="str">
        <f>IFERROR(__xludf.DUMMYFUNCTION("""COMPUTED_VALUE"""),"Form G4 Instagram Tallis")</f>
        <v>Form G4 Instagram Tallis</v>
      </c>
      <c r="AE6" s="5">
        <f>IFERROR(__xludf.DUMMYFUNCTION("""COMPUTED_VALUE"""),0.7256661596781135)</f>
        <v>0.7256661597</v>
      </c>
      <c r="AF6" s="3">
        <f>IFERROR(__xludf.DUMMYFUNCTION("""COMPUTED_VALUE"""),1558.302013422819)</f>
        <v>1558.302013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/>
      <c r="G7" s="4"/>
      <c r="H7" s="4"/>
      <c r="I7" s="4"/>
      <c r="J7" s="4" t="str">
        <f>IFERROR(__xludf.DUMMYFUNCTION("""COMPUTED_VALUE"""),"[IM] Social DM")</f>
        <v>[IM] Social DM</v>
      </c>
      <c r="K7" s="6">
        <f>IFERROR(__xludf.DUMMYFUNCTION("""COMPUTED_VALUE"""),-8.467889908256875)</f>
        <v>-8.467889908</v>
      </c>
      <c r="L7" s="4" t="str">
        <f>IFERROR(__xludf.DUMMYFUNCTION("""COMPUTED_VALUE"""),"[ON] Form G4")</f>
        <v>[ON] Form G4</v>
      </c>
      <c r="M7" s="6">
        <f>IFERROR(__xludf.DUMMYFUNCTION("""COMPUTED_VALUE"""),-11.461538461538462)</f>
        <v>-11.46153846</v>
      </c>
      <c r="N7" s="4" t="str">
        <f>IFERROR(__xludf.DUMMYFUNCTION("""COMPUTED_VALUE"""),"[SKL] Midia Paga - Quente")</f>
        <v>[SKL] Midia Paga - Quente</v>
      </c>
      <c r="O7" s="5">
        <f>IFERROR(__xludf.DUMMYFUNCTION("""COMPUTED_VALUE"""),-0.4976453589489739)</f>
        <v>-0.4976453589</v>
      </c>
      <c r="P7" s="3">
        <f>IFERROR(__xludf.DUMMYFUNCTION("""COMPUTED_VALUE"""),-10627.714285714286)</f>
        <v>-10627.71429</v>
      </c>
      <c r="S7" s="4"/>
      <c r="T7" s="4"/>
      <c r="AA7" s="4" t="str">
        <f>IFERROR(__xludf.DUMMYFUNCTION("""COMPUTED_VALUE"""),"Form G4 Incompleto Instagram")</f>
        <v>Form G4 Incompleto Instagram</v>
      </c>
      <c r="AB7" s="5">
        <f>IFERROR(__xludf.DUMMYFUNCTION("""COMPUTED_VALUE"""),-0.43557455653135113)</f>
        <v>-0.4355745565</v>
      </c>
      <c r="AC7" s="3">
        <f>IFERROR(__xludf.DUMMYFUNCTION("""COMPUTED_VALUE"""),-1127.5376712328766)</f>
        <v>-1127.537671</v>
      </c>
      <c r="AD7" s="4" t="str">
        <f>IFERROR(__xludf.DUMMYFUNCTION("""COMPUTED_VALUE"""),"[CM] Form G4 - Outros")</f>
        <v>[CM] Form G4 - Outros</v>
      </c>
      <c r="AE7" s="5">
        <f>IFERROR(__xludf.DUMMYFUNCTION("""COMPUTED_VALUE"""),0.6039419067957217)</f>
        <v>0.6039419068</v>
      </c>
      <c r="AF7" s="3">
        <f>IFERROR(__xludf.DUMMYFUNCTION("""COMPUTED_VALUE"""),2276.923076923076)</f>
        <v>2276.923077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/>
      <c r="G8" s="4"/>
      <c r="H8" s="4"/>
      <c r="I8" s="4"/>
      <c r="J8" s="4" t="str">
        <f>IFERROR(__xludf.DUMMYFUNCTION("""COMPUTED_VALUE"""),"[IM] Link de Indicação")</f>
        <v>[IM] Link de Indicação</v>
      </c>
      <c r="K8" s="6">
        <f>IFERROR(__xludf.DUMMYFUNCTION("""COMPUTED_VALUE"""),-7.847826086956519)</f>
        <v>-7.847826087</v>
      </c>
      <c r="L8" s="4" t="str">
        <f>IFERROR(__xludf.DUMMYFUNCTION("""COMPUTED_VALUE"""),"[SKL] Outros")</f>
        <v>[SKL] Outros</v>
      </c>
      <c r="M8" s="6">
        <f>IFERROR(__xludf.DUMMYFUNCTION("""COMPUTED_VALUE"""),-11.13207547169811)</f>
        <v>-11.13207547</v>
      </c>
      <c r="N8" s="4" t="str">
        <f>IFERROR(__xludf.DUMMYFUNCTION("""COMPUTED_VALUE"""),"[SKL] Midia Paga - Frio")</f>
        <v>[SKL] Midia Paga - Frio</v>
      </c>
      <c r="O8" s="5">
        <f>IFERROR(__xludf.DUMMYFUNCTION("""COMPUTED_VALUE"""),-0.46320625210456196)</f>
        <v>-0.4632062521</v>
      </c>
      <c r="P8" s="3">
        <f>IFERROR(__xludf.DUMMYFUNCTION("""COMPUTED_VALUE"""),-7909.7099609375)</f>
        <v>-7909.709961</v>
      </c>
      <c r="Q8" s="4"/>
      <c r="S8" s="4"/>
      <c r="T8" s="4"/>
      <c r="AA8" s="4" t="str">
        <f>IFERROR(__xludf.DUMMYFUNCTION("""COMPUTED_VALUE"""),"Form G4 Outros - Orgânico")</f>
        <v>Form G4 Outros - Orgânico</v>
      </c>
      <c r="AB8" s="5">
        <f>IFERROR(__xludf.DUMMYFUNCTION("""COMPUTED_VALUE"""),-0.42462751912078645)</f>
        <v>-0.4246275191</v>
      </c>
      <c r="AC8" s="3">
        <f>IFERROR(__xludf.DUMMYFUNCTION("""COMPUTED_VALUE"""),-3786.514492753622)</f>
        <v>-3786.514493</v>
      </c>
      <c r="AD8" s="4" t="str">
        <f>IFERROR(__xludf.DUMMYFUNCTION("""COMPUTED_VALUE"""),"[ON] Form G4 Incompleto")</f>
        <v>[ON] Form G4 Incompleto</v>
      </c>
      <c r="AE8" s="5">
        <f>IFERROR(__xludf.DUMMYFUNCTION("""COMPUTED_VALUE"""),0.5177278248300672)</f>
        <v>0.5177278248</v>
      </c>
      <c r="AF8" s="3">
        <f>IFERROR(__xludf.DUMMYFUNCTION("""COMPUTED_VALUE"""),241.2617031665559)</f>
        <v>241.2617032</v>
      </c>
    </row>
    <row r="9">
      <c r="F9" s="4"/>
      <c r="G9" s="4"/>
      <c r="H9" s="4"/>
      <c r="I9" s="4"/>
      <c r="J9" s="4" t="str">
        <f>IFERROR(__xludf.DUMMYFUNCTION("""COMPUTED_VALUE"""),"[SKL] Midia Paga - Frio")</f>
        <v>[SKL] Midia Paga - Frio</v>
      </c>
      <c r="K9" s="6">
        <f>IFERROR(__xludf.DUMMYFUNCTION("""COMPUTED_VALUE"""),-6.66949720670391)</f>
        <v>-6.669497207</v>
      </c>
      <c r="L9" s="4" t="str">
        <f>IFERROR(__xludf.DUMMYFUNCTION("""COMPUTED_VALUE"""),"[SKL] Site")</f>
        <v>[SKL] Site</v>
      </c>
      <c r="M9" s="6">
        <f>IFERROR(__xludf.DUMMYFUNCTION("""COMPUTED_VALUE"""),-9.608695652173916)</f>
        <v>-9.608695652</v>
      </c>
      <c r="N9" s="9" t="str">
        <f>IFERROR(__xludf.DUMMYFUNCTION("""COMPUTED_VALUE"""),"[IM] Form Facebook Ads")</f>
        <v>[IM] Form Facebook Ads</v>
      </c>
      <c r="O9" s="5">
        <f>IFERROR(__xludf.DUMMYFUNCTION("""COMPUTED_VALUE"""),-0.3197018255578094)</f>
        <v>-0.3197018256</v>
      </c>
      <c r="P9" s="3">
        <f>IFERROR(__xludf.DUMMYFUNCTION("""COMPUTED_VALUE"""),-9271.352941176472)</f>
        <v>-9271.352941</v>
      </c>
      <c r="S9" s="4"/>
      <c r="T9" s="4"/>
      <c r="AA9" s="4" t="str">
        <f>IFERROR(__xludf.DUMMYFUNCTION("""COMPUTED_VALUE"""),"[ON] Form G4")</f>
        <v>[ON] Form G4</v>
      </c>
      <c r="AB9" s="5">
        <f>IFERROR(__xludf.DUMMYFUNCTION("""COMPUTED_VALUE"""),-0.2789788488757823)</f>
        <v>-0.2789788489</v>
      </c>
      <c r="AC9" s="3">
        <f>IFERROR(__xludf.DUMMYFUNCTION("""COMPUTED_VALUE"""),-1281.5692232572114)</f>
        <v>-1281.569223</v>
      </c>
      <c r="AD9" s="4" t="str">
        <f>IFERROR(__xludf.DUMMYFUNCTION("""COMPUTED_VALUE"""),"Form G4 - K Instagram")</f>
        <v>Form G4 - K Instagram</v>
      </c>
      <c r="AE9" s="5">
        <f>IFERROR(__xludf.DUMMYFUNCTION("""COMPUTED_VALUE"""),0.37125686045998907)</f>
        <v>0.3712568605</v>
      </c>
      <c r="AF9" s="3">
        <f>IFERROR(__xludf.DUMMYFUNCTION("""COMPUTED_VALUE"""),135.54925446012135)</f>
        <v>135.5492545</v>
      </c>
    </row>
    <row r="10">
      <c r="F10" s="4"/>
      <c r="G10" s="4"/>
      <c r="H10" s="4"/>
      <c r="I10" s="4"/>
      <c r="J10" s="4" t="str">
        <f>IFERROR(__xludf.DUMMYFUNCTION("""COMPUTED_VALUE"""),"[SKL] Midia Paga - Quente")</f>
        <v>[SKL] Midia Paga - Quente</v>
      </c>
      <c r="K10" s="6">
        <f>IFERROR(__xludf.DUMMYFUNCTION("""COMPUTED_VALUE"""),-6.472738853503185)</f>
        <v>-6.472738854</v>
      </c>
      <c r="L10" s="4" t="str">
        <f>IFERROR(__xludf.DUMMYFUNCTION("""COMPUTED_VALUE"""),"[IM] Form Facebook Ads")</f>
        <v>[IM] Form Facebook Ads</v>
      </c>
      <c r="M10" s="6">
        <f>IFERROR(__xludf.DUMMYFUNCTION("""COMPUTED_VALUE"""),-8.914141414141413)</f>
        <v>-8.914141414</v>
      </c>
      <c r="N10" s="9" t="str">
        <f>IFERROR(__xludf.DUMMYFUNCTION("""COMPUTED_VALUE"""),"Form G4 Instagram G4")</f>
        <v>Form G4 Instagram G4</v>
      </c>
      <c r="O10" s="5">
        <f>IFERROR(__xludf.DUMMYFUNCTION("""COMPUTED_VALUE"""),-0.3196324216978891)</f>
        <v>-0.3196324217</v>
      </c>
      <c r="P10" s="3">
        <f>IFERROR(__xludf.DUMMYFUNCTION("""COMPUTED_VALUE"""),-10228.23749433245)</f>
        <v>-10228.23749</v>
      </c>
      <c r="Q10" s="4"/>
      <c r="S10" s="4"/>
      <c r="T10" s="4"/>
      <c r="AA10" s="4" t="str">
        <f>IFERROR(__xludf.DUMMYFUNCTION("""COMPUTED_VALUE"""),"Form G4 Instagram G4")</f>
        <v>Form G4 Instagram G4</v>
      </c>
      <c r="AB10" s="5">
        <f>IFERROR(__xludf.DUMMYFUNCTION("""COMPUTED_VALUE"""),-0.2728557088863439)</f>
        <v>-0.2728557089</v>
      </c>
      <c r="AC10" s="3">
        <f>IFERROR(__xludf.DUMMYFUNCTION("""COMPUTED_VALUE"""),-2576.4979875937283)</f>
        <v>-2576.497988</v>
      </c>
      <c r="AD10" s="9" t="str">
        <f>IFERROR(__xludf.DUMMYFUNCTION("""COMPUTED_VALUE"""),"[SKL] Midia Paga - Frio")</f>
        <v>[SKL] Midia Paga - Frio</v>
      </c>
      <c r="AE10" s="10">
        <f>IFERROR(__xludf.DUMMYFUNCTION("""COMPUTED_VALUE"""),0.3024441296474927)</f>
        <v>0.3024441296</v>
      </c>
      <c r="AF10" s="11">
        <f>IFERROR(__xludf.DUMMYFUNCTION("""COMPUTED_VALUE"""),32.432268075284014)</f>
        <v>32.43226808</v>
      </c>
    </row>
    <row r="11">
      <c r="F11" s="4"/>
      <c r="G11" s="4"/>
      <c r="H11" s="4"/>
      <c r="I11" s="4"/>
      <c r="J11" s="4" t="str">
        <f>IFERROR(__xludf.DUMMYFUNCTION("""COMPUTED_VALUE"""),"Form G4 Facebook")</f>
        <v>Form G4 Facebook</v>
      </c>
      <c r="K11" s="6">
        <f>IFERROR(__xludf.DUMMYFUNCTION("""COMPUTED_VALUE"""),-4.976190476190478)</f>
        <v>-4.976190476</v>
      </c>
      <c r="L11" s="4" t="str">
        <f>IFERROR(__xludf.DUMMYFUNCTION("""COMPUTED_VALUE"""),"Aplicativo G4 - Indicação")</f>
        <v>Aplicativo G4 - Indicação</v>
      </c>
      <c r="M11" s="6">
        <f>IFERROR(__xludf.DUMMYFUNCTION("""COMPUTED_VALUE"""),-8.833333333333334)</f>
        <v>-8.833333333</v>
      </c>
      <c r="N11" s="9" t="str">
        <f>IFERROR(__xludf.DUMMYFUNCTION("""COMPUTED_VALUE"""),"[SKL] Social")</f>
        <v>[SKL] Social</v>
      </c>
      <c r="O11" s="5">
        <f>IFERROR(__xludf.DUMMYFUNCTION("""COMPUTED_VALUE"""),-0.3161111111111111)</f>
        <v>-0.3161111111</v>
      </c>
      <c r="P11" s="3">
        <f>IFERROR(__xludf.DUMMYFUNCTION("""COMPUTED_VALUE"""),-6638.333333333334)</f>
        <v>-6638.333333</v>
      </c>
      <c r="AA11" s="4" t="str">
        <f>IFERROR(__xludf.DUMMYFUNCTION("""COMPUTED_VALUE"""),"[IM] Chat")</f>
        <v>[IM] Chat</v>
      </c>
      <c r="AB11" s="5">
        <f>IFERROR(__xludf.DUMMYFUNCTION("""COMPUTED_VALUE"""),-0.24833195408603537)</f>
        <v>-0.2483319541</v>
      </c>
      <c r="AC11" s="3">
        <f>IFERROR(__xludf.DUMMYFUNCTION("""COMPUTED_VALUE"""),-1997.4000005778475)</f>
        <v>-1997.400001</v>
      </c>
      <c r="AD11" s="9" t="str">
        <f>IFERROR(__xludf.DUMMYFUNCTION("""COMPUTED_VALUE"""),"Form G4 Incompleto Outros")</f>
        <v>Form G4 Incompleto Outros</v>
      </c>
      <c r="AE11" s="10">
        <f>IFERROR(__xludf.DUMMYFUNCTION("""COMPUTED_VALUE"""),0.2863461448744056)</f>
        <v>0.2863461449</v>
      </c>
      <c r="AF11" s="11">
        <f>IFERROR(__xludf.DUMMYFUNCTION("""COMPUTED_VALUE"""),34.88372093023281)</f>
        <v>34.88372093</v>
      </c>
    </row>
    <row r="12">
      <c r="F12" s="4"/>
      <c r="G12" s="4"/>
      <c r="H12" s="4"/>
      <c r="I12" s="4"/>
      <c r="J12" s="4" t="str">
        <f>IFERROR(__xludf.DUMMYFUNCTION("""COMPUTED_VALUE"""),"Form G4 Outros - Não Orgânico")</f>
        <v>Form G4 Outros - Não Orgânico</v>
      </c>
      <c r="K12" s="6">
        <f>IFERROR(__xludf.DUMMYFUNCTION("""COMPUTED_VALUE"""),-4.084337349397593)</f>
        <v>-4.084337349</v>
      </c>
      <c r="L12" s="4" t="str">
        <f>IFERROR(__xludf.DUMMYFUNCTION("""COMPUTED_VALUE"""),"[SKL] CRM - Email")</f>
        <v>[SKL] CRM - Email</v>
      </c>
      <c r="M12" s="6">
        <f>IFERROR(__xludf.DUMMYFUNCTION("""COMPUTED_VALUE"""),-8.676190476190476)</f>
        <v>-8.676190476</v>
      </c>
      <c r="N12" s="9" t="str">
        <f>IFERROR(__xludf.DUMMYFUNCTION("""COMPUTED_VALUE"""),"[IM] Chat")</f>
        <v>[IM] Chat</v>
      </c>
      <c r="O12" s="5">
        <f>IFERROR(__xludf.DUMMYFUNCTION("""COMPUTED_VALUE"""),-0.23492400015024031)</f>
        <v>-0.2349240002</v>
      </c>
      <c r="P12" s="3">
        <f>IFERROR(__xludf.DUMMYFUNCTION("""COMPUTED_VALUE"""),-6108.024003906248)</f>
        <v>-6108.024004</v>
      </c>
      <c r="AA12" s="4" t="str">
        <f>IFERROR(__xludf.DUMMYFUNCTION("""COMPUTED_VALUE"""),"Form G4 Instagram Outros")</f>
        <v>Form G4 Instagram Outros</v>
      </c>
      <c r="AB12" s="5">
        <f>IFERROR(__xludf.DUMMYFUNCTION("""COMPUTED_VALUE"""),-0.20918430497268348)</f>
        <v>-0.209184305</v>
      </c>
      <c r="AC12" s="3">
        <f>IFERROR(__xludf.DUMMYFUNCTION("""COMPUTED_VALUE"""),-2284.6509433962274)</f>
        <v>-2284.650943</v>
      </c>
      <c r="AD12" s="9" t="str">
        <f>IFERROR(__xludf.DUMMYFUNCTION("""COMPUTED_VALUE"""),"[IM] Link de Indicação")</f>
        <v>[IM] Link de Indicação</v>
      </c>
      <c r="AE12" s="10">
        <f>IFERROR(__xludf.DUMMYFUNCTION("""COMPUTED_VALUE"""),0.24402373270036626)</f>
        <v>0.2440237327</v>
      </c>
      <c r="AF12" s="11">
        <f>IFERROR(__xludf.DUMMYFUNCTION("""COMPUTED_VALUE"""),-78.15789473684345)</f>
        <v>-78.15789474</v>
      </c>
    </row>
    <row r="13">
      <c r="F13" s="4"/>
      <c r="G13" s="4"/>
      <c r="H13" s="4"/>
      <c r="I13" s="4"/>
      <c r="J13" s="4" t="str">
        <f>IFERROR(__xludf.DUMMYFUNCTION("""COMPUTED_VALUE"""),"[ON] Form G4 Incompleto")</f>
        <v>[ON] Form G4 Incompleto</v>
      </c>
      <c r="K13" s="6">
        <f>IFERROR(__xludf.DUMMYFUNCTION("""COMPUTED_VALUE"""),-2.4979253112033195)</f>
        <v>-2.497925311</v>
      </c>
      <c r="L13" s="4" t="str">
        <f>IFERROR(__xludf.DUMMYFUNCTION("""COMPUTED_VALUE"""),"Form G4 Incompleto Outros")</f>
        <v>Form G4 Incompleto Outros</v>
      </c>
      <c r="M13" s="6">
        <f>IFERROR(__xludf.DUMMYFUNCTION("""COMPUTED_VALUE"""),-7.348837209302325)</f>
        <v>-7.348837209</v>
      </c>
      <c r="N13" s="9" t="str">
        <f>IFERROR(__xludf.DUMMYFUNCTION("""COMPUTED_VALUE"""),"Form G4 Incompleto Instagram")</f>
        <v>Form G4 Incompleto Instagram</v>
      </c>
      <c r="O13" s="5">
        <f>IFERROR(__xludf.DUMMYFUNCTION("""COMPUTED_VALUE"""),-0.21635588235294112)</f>
        <v>-0.2163558824</v>
      </c>
      <c r="P13" s="3">
        <f>IFERROR(__xludf.DUMMYFUNCTION("""COMPUTED_VALUE"""),-3678.0499999999993)</f>
        <v>-3678.05</v>
      </c>
      <c r="AA13" s="4" t="str">
        <f>IFERROR(__xludf.DUMMYFUNCTION("""COMPUTED_VALUE"""),"[SKL] Midia Paga - Quente")</f>
        <v>[SKL] Midia Paga - Quente</v>
      </c>
      <c r="AB13" s="5">
        <f>IFERROR(__xludf.DUMMYFUNCTION("""COMPUTED_VALUE"""),-0.19004540701566197)</f>
        <v>-0.190045407</v>
      </c>
      <c r="AC13" s="3">
        <f>IFERROR(__xludf.DUMMYFUNCTION("""COMPUTED_VALUE"""),-607.2895884057971)</f>
        <v>-607.2895884</v>
      </c>
      <c r="AD13" s="9" t="str">
        <f>IFERROR(__xludf.DUMMYFUNCTION("""COMPUTED_VALUE"""),"[SKL] Site")</f>
        <v>[SKL] Site</v>
      </c>
      <c r="AE13" s="10">
        <f>IFERROR(__xludf.DUMMYFUNCTION("""COMPUTED_VALUE"""),0.24378764337168857)</f>
        <v>0.2437876434</v>
      </c>
      <c r="AF13" s="11">
        <f>IFERROR(__xludf.DUMMYFUNCTION("""COMPUTED_VALUE"""),-73.59565005095101)</f>
        <v>-73.59565005</v>
      </c>
    </row>
    <row r="14">
      <c r="F14" s="4"/>
      <c r="G14" s="4"/>
      <c r="H14" s="4"/>
      <c r="I14" s="4"/>
      <c r="J14" s="4" t="str">
        <f>IFERROR(__xludf.DUMMYFUNCTION("""COMPUTED_VALUE"""),"[ON] Abandono de carrinho")</f>
        <v>[ON] Abandono de carrinho</v>
      </c>
      <c r="K14" s="6">
        <f>IFERROR(__xludf.DUMMYFUNCTION("""COMPUTED_VALUE"""),-2.2929292929292937)</f>
        <v>-2.292929293</v>
      </c>
      <c r="L14" s="4" t="str">
        <f>IFERROR(__xludf.DUMMYFUNCTION("""COMPUTED_VALUE"""),"Form G4 - K Outros")</f>
        <v>Form G4 - K Outros</v>
      </c>
      <c r="M14" s="6">
        <f>IFERROR(__xludf.DUMMYFUNCTION("""COMPUTED_VALUE"""),-7.336734693877552)</f>
        <v>-7.336734694</v>
      </c>
      <c r="N14" s="9" t="str">
        <f>IFERROR(__xludf.DUMMYFUNCTION("""COMPUTED_VALUE"""),"Form G4 - K Outros")</f>
        <v>Form G4 - K Outros</v>
      </c>
      <c r="O14" s="5">
        <f>IFERROR(__xludf.DUMMYFUNCTION("""COMPUTED_VALUE"""),-0.20905480722280648)</f>
        <v>-0.2090548072</v>
      </c>
      <c r="P14" s="3">
        <f>IFERROR(__xludf.DUMMYFUNCTION("""COMPUTED_VALUE"""),-2717.7124938964844)</f>
        <v>-2717.712494</v>
      </c>
      <c r="AA14" s="4" t="str">
        <f>IFERROR(__xludf.DUMMYFUNCTION("""COMPUTED_VALUE"""),"[SKL] Outros")</f>
        <v>[SKL] Outros</v>
      </c>
      <c r="AB14" s="5">
        <f>IFERROR(__xludf.DUMMYFUNCTION("""COMPUTED_VALUE"""),-0.16058893444235112)</f>
        <v>-0.1605889344</v>
      </c>
      <c r="AC14" s="3">
        <f>IFERROR(__xludf.DUMMYFUNCTION("""COMPUTED_VALUE"""),-2310.1132075471687)</f>
        <v>-2310.113208</v>
      </c>
    </row>
    <row r="15">
      <c r="F15" s="4"/>
      <c r="G15" s="4"/>
      <c r="H15" s="4"/>
      <c r="I15" s="4"/>
      <c r="J15" s="4" t="str">
        <f>IFERROR(__xludf.DUMMYFUNCTION("""COMPUTED_VALUE"""),"Form G4 Instagram G4")</f>
        <v>Form G4 Instagram G4</v>
      </c>
      <c r="K15" s="6">
        <f>IFERROR(__xludf.DUMMYFUNCTION("""COMPUTED_VALUE"""),-1.9852805887764502)</f>
        <v>-1.985280589</v>
      </c>
      <c r="L15" s="9" t="str">
        <f>IFERROR(__xludf.DUMMYFUNCTION("""COMPUTED_VALUE"""),"[SKL] Social")</f>
        <v>[SKL] Social</v>
      </c>
      <c r="M15" s="6">
        <f>IFERROR(__xludf.DUMMYFUNCTION("""COMPUTED_VALUE"""),-6.909090909090909)</f>
        <v>-6.909090909</v>
      </c>
      <c r="N15" s="9" t="str">
        <f>IFERROR(__xludf.DUMMYFUNCTION("""COMPUTED_VALUE"""),"[IM] Time de vendas")</f>
        <v>[IM] Time de vendas</v>
      </c>
      <c r="O15" s="5">
        <f>IFERROR(__xludf.DUMMYFUNCTION("""COMPUTED_VALUE"""),-0.18712672778532544)</f>
        <v>-0.1871267278</v>
      </c>
      <c r="P15" s="3">
        <f>IFERROR(__xludf.DUMMYFUNCTION("""COMPUTED_VALUE"""),-5599.114661937452)</f>
        <v>-5599.114662</v>
      </c>
      <c r="AA15" s="4" t="str">
        <f>IFERROR(__xludf.DUMMYFUNCTION("""COMPUTED_VALUE"""),"Form G4 Facebook")</f>
        <v>Form G4 Facebook</v>
      </c>
      <c r="AB15" s="5">
        <f>IFERROR(__xludf.DUMMYFUNCTION("""COMPUTED_VALUE"""),-0.06437473478065014)</f>
        <v>-0.06437473478</v>
      </c>
      <c r="AC15" s="3">
        <f>IFERROR(__xludf.DUMMYFUNCTION("""COMPUTED_VALUE"""),-832.5405405405404)</f>
        <v>-832.5405405</v>
      </c>
    </row>
    <row r="16">
      <c r="F16" s="4"/>
      <c r="G16" s="4"/>
      <c r="H16" s="4"/>
      <c r="I16" s="4"/>
      <c r="J16" s="4" t="str">
        <f>IFERROR(__xludf.DUMMYFUNCTION("""COMPUTED_VALUE"""),"Form G4 Incompleto Outros")</f>
        <v>Form G4 Incompleto Outros</v>
      </c>
      <c r="K16" s="6">
        <f>IFERROR(__xludf.DUMMYFUNCTION("""COMPUTED_VALUE"""),-1.9016393442622959)</f>
        <v>-1.901639344</v>
      </c>
      <c r="L16" s="9" t="str">
        <f>IFERROR(__xludf.DUMMYFUNCTION("""COMPUTED_VALUE"""),"[ON] Form G4 Incompleto")</f>
        <v>[ON] Form G4 Incompleto</v>
      </c>
      <c r="M16" s="6">
        <f>IFERROR(__xludf.DUMMYFUNCTION("""COMPUTED_VALUE"""),-6.3617021276595755)</f>
        <v>-6.361702128</v>
      </c>
      <c r="N16" s="9" t="str">
        <f>IFERROR(__xludf.DUMMYFUNCTION("""COMPUTED_VALUE"""),"Form G4 Outros - Orgânico")</f>
        <v>Form G4 Outros - Orgânico</v>
      </c>
      <c r="O16" s="5">
        <f>IFERROR(__xludf.DUMMYFUNCTION("""COMPUTED_VALUE"""),-0.17056628787878783)</f>
        <v>-0.1705662879</v>
      </c>
      <c r="P16" s="3">
        <f>IFERROR(__xludf.DUMMYFUNCTION("""COMPUTED_VALUE"""),-4093.590909090908)</f>
        <v>-4093.590909</v>
      </c>
      <c r="AA16" s="4"/>
      <c r="AB16" s="4"/>
      <c r="AC16" s="4"/>
    </row>
    <row r="17">
      <c r="F17" s="4"/>
      <c r="G17" s="4"/>
      <c r="H17" s="4"/>
      <c r="I17" s="4"/>
      <c r="J17" s="4" t="str">
        <f>IFERROR(__xludf.DUMMYFUNCTION("""COMPUTED_VALUE"""),"[SKL] Social")</f>
        <v>[SKL] Social</v>
      </c>
      <c r="K17" s="6">
        <f>IFERROR(__xludf.DUMMYFUNCTION("""COMPUTED_VALUE"""),-1.5820895522388052)</f>
        <v>-1.582089552</v>
      </c>
      <c r="L17" s="9" t="str">
        <f>IFERROR(__xludf.DUMMYFUNCTION("""COMPUTED_VALUE"""),"[ON] Chat")</f>
        <v>[ON] Chat</v>
      </c>
      <c r="M17" s="6">
        <f>IFERROR(__xludf.DUMMYFUNCTION("""COMPUTED_VALUE"""),-6.0)</f>
        <v>-6</v>
      </c>
      <c r="N17" s="9" t="str">
        <f>IFERROR(__xludf.DUMMYFUNCTION("""COMPUTED_VALUE"""),"[IM] Link de Indicação")</f>
        <v>[IM] Link de Indicação</v>
      </c>
      <c r="O17" s="5">
        <f>IFERROR(__xludf.DUMMYFUNCTION("""COMPUTED_VALUE"""),-0.138375)</f>
        <v>-0.138375</v>
      </c>
      <c r="P17" s="3">
        <f>IFERROR(__xludf.DUMMYFUNCTION("""COMPUTED_VALUE"""),-3321.0)</f>
        <v>-3321</v>
      </c>
      <c r="AA17" s="4"/>
      <c r="AB17" s="4"/>
      <c r="AC17" s="4"/>
    </row>
    <row r="18">
      <c r="F18" s="4"/>
      <c r="G18" s="4"/>
      <c r="H18" s="4"/>
      <c r="I18" s="4"/>
      <c r="J18" s="4" t="str">
        <f>IFERROR(__xludf.DUMMYFUNCTION("""COMPUTED_VALUE"""),"[IM] Form Facebook Ads")</f>
        <v>[IM] Form Facebook Ads</v>
      </c>
      <c r="K18" s="6">
        <f>IFERROR(__xludf.DUMMYFUNCTION("""COMPUTED_VALUE"""),-0.7697160883280763)</f>
        <v>-0.7697160883</v>
      </c>
      <c r="L18" s="9" t="str">
        <f>IFERROR(__xludf.DUMMYFUNCTION("""COMPUTED_VALUE"""),"Form G4 - K Instagram")</f>
        <v>Form G4 - K Instagram</v>
      </c>
      <c r="M18" s="6">
        <f>IFERROR(__xludf.DUMMYFUNCTION("""COMPUTED_VALUE"""),-5.805970149253732)</f>
        <v>-5.805970149</v>
      </c>
      <c r="N18" s="9" t="str">
        <f>IFERROR(__xludf.DUMMYFUNCTION("""COMPUTED_VALUE"""),"[ON] Chat")</f>
        <v>[ON] Chat</v>
      </c>
      <c r="O18" s="5">
        <f>IFERROR(__xludf.DUMMYFUNCTION("""COMPUTED_VALUE"""),-0.04803613053613059)</f>
        <v>-0.04803613054</v>
      </c>
      <c r="P18" s="3">
        <f>IFERROR(__xludf.DUMMYFUNCTION("""COMPUTED_VALUE"""),-317.0384615384619)</f>
        <v>-317.0384615</v>
      </c>
      <c r="AA18" s="4"/>
      <c r="AB18" s="4"/>
      <c r="AC18" s="4"/>
    </row>
    <row r="19">
      <c r="F19" s="4"/>
      <c r="G19" s="4"/>
      <c r="H19" s="4"/>
      <c r="I19" s="4"/>
      <c r="J19" s="4" t="str">
        <f>IFERROR(__xludf.DUMMYFUNCTION("""COMPUTED_VALUE"""),"Form G4 - K Outros")</f>
        <v>Form G4 - K Outros</v>
      </c>
      <c r="K19" s="6">
        <f>IFERROR(__xludf.DUMMYFUNCTION("""COMPUTED_VALUE"""),-0.41409691629955836)</f>
        <v>-0.4140969163</v>
      </c>
      <c r="L19" s="9" t="str">
        <f>IFERROR(__xludf.DUMMYFUNCTION("""COMPUTED_VALUE"""),"[IM] Social DM")</f>
        <v>[IM] Social DM</v>
      </c>
      <c r="M19" s="6">
        <f>IFERROR(__xludf.DUMMYFUNCTION("""COMPUTED_VALUE"""),-5.428571428571432)</f>
        <v>-5.428571429</v>
      </c>
      <c r="N19" s="9" t="str">
        <f>IFERROR(__xludf.DUMMYFUNCTION("""COMPUTED_VALUE"""),"Form G4 Facebook")</f>
        <v>Form G4 Facebook</v>
      </c>
      <c r="O19" s="5">
        <f>IFERROR(__xludf.DUMMYFUNCTION("""COMPUTED_VALUE"""),-0.03982608695652174)</f>
        <v>-0.03982608696</v>
      </c>
      <c r="P19" s="3">
        <f>IFERROR(__xludf.DUMMYFUNCTION("""COMPUTED_VALUE"""),-916.0)</f>
        <v>-916</v>
      </c>
      <c r="AA19" s="4"/>
      <c r="AB19" s="4"/>
      <c r="AC19" s="4"/>
    </row>
    <row r="20">
      <c r="F20" s="4"/>
      <c r="G20" s="4"/>
      <c r="H20" s="4"/>
      <c r="I20" s="4"/>
      <c r="J20" s="4" t="str">
        <f>IFERROR(__xludf.DUMMYFUNCTION("""COMPUTED_VALUE"""),"Form G4 Incompleto Instagram")</f>
        <v>Form G4 Incompleto Instagram</v>
      </c>
      <c r="K20" s="6">
        <f>IFERROR(__xludf.DUMMYFUNCTION("""COMPUTED_VALUE"""),-0.16033254156769539)</f>
        <v>-0.1603325416</v>
      </c>
      <c r="L20" s="9" t="str">
        <f>IFERROR(__xludf.DUMMYFUNCTION("""COMPUTED_VALUE"""),"Form G4 Incompleto Instagram")</f>
        <v>Form G4 Incompleto Instagram</v>
      </c>
      <c r="M20" s="6">
        <f>IFERROR(__xludf.DUMMYFUNCTION("""COMPUTED_VALUE"""),-5.1506849315068495)</f>
        <v>-5.150684932</v>
      </c>
      <c r="N20" s="9" t="str">
        <f>IFERROR(__xludf.DUMMYFUNCTION("""COMPUTED_VALUE"""),"[ON] Abandono de carrinho")</f>
        <v>[ON] Abandono de carrinho</v>
      </c>
      <c r="O20" s="5">
        <f>IFERROR(__xludf.DUMMYFUNCTION("""COMPUTED_VALUE"""),-0.021422961591490146)</f>
        <v>-0.02142296159</v>
      </c>
      <c r="P20" s="3">
        <f>IFERROR(__xludf.DUMMYFUNCTION("""COMPUTED_VALUE"""),-72.8380694110665)</f>
        <v>-72.83806941</v>
      </c>
      <c r="AA20" s="4"/>
      <c r="AB20" s="4"/>
      <c r="AC20" s="4"/>
    </row>
    <row r="21">
      <c r="F21" s="4"/>
      <c r="G21" s="4"/>
      <c r="H21" s="4"/>
      <c r="I21" s="4"/>
      <c r="J21" s="4" t="str">
        <f>IFERROR(__xludf.DUMMYFUNCTION("""COMPUTED_VALUE"""),"[ON] Form G4")</f>
        <v>[ON] Form G4</v>
      </c>
      <c r="K21" s="6">
        <f>IFERROR(__xludf.DUMMYFUNCTION("""COMPUTED_VALUE"""),-0.010380622837369291)</f>
        <v>-0.01038062284</v>
      </c>
      <c r="L21" s="9" t="str">
        <f>IFERROR(__xludf.DUMMYFUNCTION("""COMPUTED_VALUE"""),"[IM] Chat")</f>
        <v>[IM] Chat</v>
      </c>
      <c r="M21" s="6">
        <f>IFERROR(__xludf.DUMMYFUNCTION("""COMPUTED_VALUE"""),-4.207100591715976)</f>
        <v>-4.207100592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IFERROR(__xludf.DUMMYFUNCTION("""COMPUTED_VALUE"""),"Form G4 Facebook")</f>
        <v>Form G4 Facebook</v>
      </c>
      <c r="M22" s="6">
        <f>IFERROR(__xludf.DUMMYFUNCTION("""COMPUTED_VALUE"""),-3.18918918918919)</f>
        <v>-3.189189189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Instagram G4")</f>
        <v>Form G4 Instagram G4</v>
      </c>
      <c r="M23" s="6">
        <f>IFERROR(__xludf.DUMMYFUNCTION("""COMPUTED_VALUE"""),-2.908045977011495)</f>
        <v>-2.908045977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IFERROR(__xludf.DUMMYFUNCTION("""COMPUTED_VALUE"""),"[IM] Form G4 Facebook Ads - K")</f>
        <v>[IM] Form G4 Facebook Ads - K</v>
      </c>
      <c r="M24" s="6">
        <f>IFERROR(__xludf.DUMMYFUNCTION("""COMPUTED_VALUE"""),-1.6723568568308282)</f>
        <v>-1.672356857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IFERROR(__xludf.DUMMYFUNCTION("""COMPUTED_VALUE"""),"[SKL] CRM - WhatsApp")</f>
        <v>[SKL] CRM - WhatsApp</v>
      </c>
      <c r="M25" s="6">
        <f>IFERROR(__xludf.DUMMYFUNCTION("""COMPUTED_VALUE"""),-1.3529411764705874)</f>
        <v>-1.352941176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M26" s="4"/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M27" s="4"/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Comercial!AE1"")"),1.0164199938602416E7)</f>
        <v>10164199.94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Comercial!AF4"")"),6832979.640014648)</f>
        <v>6832979.64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Comercial!AE4"")"),7091562.297162905)</f>
        <v>7091562.297</v>
      </c>
    </row>
    <row r="5">
      <c r="A5" s="1" t="s">
        <v>36</v>
      </c>
      <c r="B5" s="1" t="s">
        <v>2</v>
      </c>
      <c r="C5" s="3">
        <f>C3-C4</f>
        <v>-258582.6571</v>
      </c>
    </row>
    <row r="6">
      <c r="A6" s="1" t="s">
        <v>36</v>
      </c>
      <c r="B6" s="1" t="s">
        <v>39</v>
      </c>
      <c r="C6" s="5">
        <f>C3/C2</f>
        <v>0.6722594677</v>
      </c>
    </row>
    <row r="7">
      <c r="A7" s="1" t="s">
        <v>36</v>
      </c>
      <c r="B7" s="1" t="s">
        <v>40</v>
      </c>
      <c r="C7" s="5">
        <f>C3/C4</f>
        <v>0.963536574</v>
      </c>
    </row>
    <row r="8">
      <c r="A8" s="1" t="s">
        <v>36</v>
      </c>
      <c r="B8" s="1" t="s">
        <v>41</v>
      </c>
      <c r="C8" s="5">
        <f>C9-C6</f>
        <v>0.02544053233</v>
      </c>
    </row>
    <row r="9">
      <c r="A9" s="1" t="s">
        <v>36</v>
      </c>
      <c r="B9" s="1" t="s">
        <v>42</v>
      </c>
      <c r="C9" s="7">
        <f>C4/C2</f>
        <v>0.6977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11832979.64</v>
      </c>
    </row>
    <row r="12">
      <c r="A12" s="1" t="s">
        <v>36</v>
      </c>
      <c r="B12" s="1" t="s">
        <v>45</v>
      </c>
      <c r="C12" s="12">
        <f>C2-C11</f>
        <v>-1668779.701</v>
      </c>
    </row>
    <row r="13">
      <c r="A13" s="1" t="s">
        <v>46</v>
      </c>
      <c r="B13" s="1" t="s">
        <v>47</v>
      </c>
      <c r="C13" s="7">
        <f t="array" ref="C13:C14">TRANSPOSE('Dados Relatório'!Q2:R2)</f>
        <v>0.7872340426</v>
      </c>
    </row>
    <row r="14">
      <c r="A14" s="1" t="s">
        <v>46</v>
      </c>
      <c r="B14" s="1" t="s">
        <v>48</v>
      </c>
      <c r="C14" s="7">
        <v>0.5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Mari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Form Facebook Ads")</f>
        <v>[IM] Form Facebook Ads</v>
      </c>
      <c r="B2" s="12">
        <f>IFERROR(__xludf.DUMMYFUNCTION("""COMPUTED_VALUE"""),-91799.01365071393)</f>
        <v>-91799.01365</v>
      </c>
      <c r="C2" s="7">
        <f t="shared" ref="C2:C1000" si="1">IF(B2="","",B2/SUM($B$2:$B$1000))</f>
        <v>0.5656279208</v>
      </c>
      <c r="D2" s="7">
        <f>IF(B2="","",C2)</f>
        <v>0.5656279208</v>
      </c>
      <c r="E2" s="3">
        <f t="array" ref="E2">XLOOKUP(A2,'Dados Funil'!$A:$A,'Dados Funil'!$K:$K,"")</f>
        <v>-56.52648624</v>
      </c>
      <c r="F2" s="5">
        <f t="array" ref="F2">XLOOKUP(A2,'Dados Funil'!$A:$A,'Dados Funil'!$L:$L,"")</f>
        <v>-0.1820343473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)"),"Aplicativo G4 - Indicação")</f>
        <v>Aplicativo G4 - Indicação</v>
      </c>
      <c r="H2" s="12">
        <f>IFERROR(__xludf.DUMMYFUNCTION("""COMPUTED_VALUE"""),-194041.9)</f>
        <v>-194041.9</v>
      </c>
      <c r="I2" s="7">
        <f t="shared" ref="I2:I1000" si="2">IF(H2="","",H2/SUM($H$2:$H$1000))</f>
        <v>0.4198302737</v>
      </c>
      <c r="J2" s="7">
        <f>IF(H2="","",I2)</f>
        <v>0.4198302737</v>
      </c>
      <c r="K2" s="6">
        <f t="array" ref="K2">XLOOKUP(G2,'Dados Funil'!A:A,'Dados Funil'!O:O,"")</f>
        <v>-16.76547231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IFERROR(__xludf.DUMMYFUNCTION("""COMPUTED_VALUE"""),-782175.7600097659)</f>
        <v>-782175.76</v>
      </c>
      <c r="N2" s="7">
        <f t="shared" ref="N2:N1000" si="3">IF(M2="","",M2/SUM($M$2:$M$1000))</f>
        <v>0.2680983411</v>
      </c>
      <c r="O2" s="7">
        <f>IF(M2="","",N2)</f>
        <v>0.2680983411</v>
      </c>
      <c r="P2" s="12">
        <f t="array" ref="P2">XLOOKUP(L2,'Dados Funil'!A:A,'Dados Funil'!AM:AM,"")</f>
        <v>-2539.531688</v>
      </c>
      <c r="Q2" s="5">
        <f t="array" ref="Q2">XLOOKUP(L2,'Dados Funil'!A:A,'Dados Funil'!AN:AN,"")</f>
        <v>-0.417686133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Google")</f>
        <v>Form G4 Google</v>
      </c>
      <c r="S2" s="12">
        <f>IFERROR(__xludf.DUMMYFUNCTION("""COMPUTED_VALUE"""),246796.90867737288)</f>
        <v>246796.9087</v>
      </c>
      <c r="T2" s="7">
        <f t="shared" ref="T2:T1000" si="4">IF(S2="","",S2/SUM($S$2:$S$1000))</f>
        <v>0.240929189</v>
      </c>
      <c r="U2" s="7">
        <f>IF(S2="","",T2)</f>
        <v>0.240929189</v>
      </c>
      <c r="V2" s="3">
        <f t="array" ref="V2">XLOOKUP(R2,'Dados Funil'!$A:$A,'Dados Funil'!$K:$K,"")</f>
        <v>120.836716</v>
      </c>
      <c r="W2" s="5">
        <f t="array" ref="W2">XLOOKUP(R2,'Dados Funil'!$A:$A,'Dados Funil'!$L:$L,"")</f>
        <v>1.826340964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)"),"[IM] Form Facebook Ads")</f>
        <v>[IM] Form Facebook Ads</v>
      </c>
      <c r="Y2" s="12">
        <f>IFERROR(__xludf.DUMMYFUNCTION("""COMPUTED_VALUE"""),150828.99999999997)</f>
        <v>150829</v>
      </c>
      <c r="Z2" s="7">
        <f t="shared" ref="Z2:Z1000" si="5">IF(Y2="","",Y2/SUM($Y$2:$Y$1000))</f>
        <v>0.3385333551</v>
      </c>
      <c r="AA2" s="7">
        <f>IF(Y2="","",Z2)</f>
        <v>0.3385333551</v>
      </c>
      <c r="AB2" s="6">
        <f t="array" ref="AB2">XLOOKUP(X2,'Dados Funil'!A:A,'Dados Funil'!O:O,"")</f>
        <v>11.7007874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Google")</f>
        <v>Form G4 Google</v>
      </c>
      <c r="AD2" s="12">
        <f>IFERROR(__xludf.DUMMYFUNCTION("""COMPUTED_VALUE"""),295855.0)</f>
        <v>295855</v>
      </c>
      <c r="AE2" s="7">
        <f t="shared" ref="AE2:AE1000" si="6">IF(AD2="","",AD2/SUM($AD$2:$AD$1000))</f>
        <v>0.5559783814</v>
      </c>
      <c r="AF2" s="7">
        <f>IF(AD2="","",AE2)</f>
        <v>0.5559783814</v>
      </c>
      <c r="AG2" s="12">
        <f t="array" ref="AG2">XLOOKUP(AC2,'Dados Funil'!A:A,'Dados Funil'!AM:AM,"")</f>
        <v>3745</v>
      </c>
      <c r="AH2" s="5">
        <f t="array" ref="AH2">XLOOKUP(AC2,'Dados Funil'!A:A,'Dados Funil'!AN:AN,"")</f>
        <v>0.678442029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IFERROR(__xludf.DUMMYFUNCTION("""COMPUTED_VALUE"""),895.0706599275796)</f>
        <v>895.0706599</v>
      </c>
      <c r="AK2" s="10">
        <f>IFERROR(__xludf.DUMMYFUNCTION("""COMPUTED_VALUE"""),0.34)</f>
        <v>0.34</v>
      </c>
      <c r="AL2" s="9">
        <f>IFERROR(__xludf.DUMMYFUNCTION("""COMPUTED_VALUE"""),6080.000000000001)</f>
        <v>6080</v>
      </c>
      <c r="AM2" s="9">
        <f t="shared" ref="AM2:AM15" si="7">AJ2*AK2*AL2</f>
        <v>1850290.068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IFERROR(__xludf.DUMMYFUNCTION("""COMPUTED_VALUE"""),948.0)</f>
        <v>948</v>
      </c>
      <c r="AP2" s="10">
        <f>IFERROR(__xludf.DUMMYFUNCTION("""COMPUTED_VALUE"""),0.32489451476793246)</f>
        <v>0.3248945148</v>
      </c>
      <c r="AQ2" s="14">
        <f>IFERROR(__xludf.DUMMYFUNCTION("""COMPUTED_VALUE"""),3540.4683116566052)</f>
        <v>3540.468312</v>
      </c>
      <c r="AR2" s="9">
        <f t="shared" ref="AR2:AR15" si="8">AO2*AP2*AQ2</f>
        <v>1090464.24</v>
      </c>
    </row>
    <row r="3">
      <c r="A3" s="4" t="str">
        <f>IFERROR(__xludf.DUMMYFUNCTION("""COMPUTED_VALUE"""),"Form G4 Outros - Não Orgânico")</f>
        <v>Form G4 Outros - Não Orgânico</v>
      </c>
      <c r="B3" s="12">
        <f>IFERROR(__xludf.DUMMYFUNCTION("""COMPUTED_VALUE"""),-70496.74699557229)</f>
        <v>-70496.747</v>
      </c>
      <c r="C3" s="7">
        <f t="shared" si="1"/>
        <v>0.4343720792</v>
      </c>
      <c r="D3" s="7">
        <f t="shared" ref="D3:D1000" si="9">IF(B3="","",C3+D2)</f>
        <v>1</v>
      </c>
      <c r="E3" s="3">
        <f t="array" ref="E3">XLOOKUP(A3,'Dados Funil'!$A:$A,'Dados Funil'!$K:$K,"")</f>
        <v>-32.86561631</v>
      </c>
      <c r="F3" s="5">
        <f t="array" ref="F3">XLOOKUP(A3,'Dados Funil'!$A:$A,'Dados Funil'!$L:$L,"")</f>
        <v>-0.3046903864</v>
      </c>
      <c r="G3" s="4" t="str">
        <f>IFERROR(__xludf.DUMMYFUNCTION("""COMPUTED_VALUE"""),"Form G4 Instagram G4")</f>
        <v>Form G4 Instagram G4</v>
      </c>
      <c r="H3" s="12">
        <f>IFERROR(__xludf.DUMMYFUNCTION("""COMPUTED_VALUE"""),-87065.60000000031)</f>
        <v>-87065.6</v>
      </c>
      <c r="I3" s="7">
        <f t="shared" si="2"/>
        <v>0.1883756791</v>
      </c>
      <c r="J3" s="7">
        <f t="shared" ref="J3:J1000" si="10">IF(H3="","",I3+J2)</f>
        <v>0.6082059528</v>
      </c>
      <c r="K3" s="6">
        <f t="array" ref="K3">XLOOKUP(G3,'Dados Funil'!A:A,'Dados Funil'!O:O,"")</f>
        <v>-1.510548523</v>
      </c>
      <c r="L3" s="4" t="str">
        <f>IFERROR(__xludf.DUMMYFUNCTION("""COMPUTED_VALUE"""),"Form G4 Outros - Orgânico")</f>
        <v>Form G4 Outros - Orgânico</v>
      </c>
      <c r="M3" s="12">
        <f>IFERROR(__xludf.DUMMYFUNCTION("""COMPUTED_VALUE"""),-494549.9999999999)</f>
        <v>-494550</v>
      </c>
      <c r="N3" s="7">
        <f t="shared" si="3"/>
        <v>0.1695118174</v>
      </c>
      <c r="O3" s="7">
        <f t="shared" ref="O3:O1000" si="11">IF(N3="","",N3+O2)</f>
        <v>0.4376101585</v>
      </c>
      <c r="P3" s="12">
        <f t="array" ref="P3">XLOOKUP(L3,'Dados Funil'!A:A,'Dados Funil'!AM:AM,"")</f>
        <v>-3925</v>
      </c>
      <c r="Q3" s="5">
        <f t="array" ref="Q3">XLOOKUP(L3,'Dados Funil'!A:A,'Dados Funil'!AN:AN,"")</f>
        <v>-0.5639367816</v>
      </c>
      <c r="R3" s="4" t="str">
        <f>IFERROR(__xludf.DUMMYFUNCTION("""COMPUTED_VALUE"""),"Aplicativo G4 - Indicação")</f>
        <v>Aplicativo G4 - Indicação</v>
      </c>
      <c r="S3" s="12">
        <f>IFERROR(__xludf.DUMMYFUNCTION("""COMPUTED_VALUE"""),176552.21023865315)</f>
        <v>176552.2102</v>
      </c>
      <c r="T3" s="7">
        <f t="shared" si="4"/>
        <v>0.1723545933</v>
      </c>
      <c r="U3" s="7">
        <f t="shared" ref="U3:U9" si="12">IF(S3="","",T3+U2)</f>
        <v>0.4132837823</v>
      </c>
      <c r="V3" s="3">
        <f t="array" ref="V3">XLOOKUP(R3,'Dados Funil'!$A:$A,'Dados Funil'!$K:$K,"")</f>
        <v>223.0039286</v>
      </c>
      <c r="W3" s="5">
        <f t="array" ref="W3">XLOOKUP(R3,'Dados Funil'!$A:$A,'Dados Funil'!$L:$L,"")</f>
        <v>2.654932841</v>
      </c>
      <c r="X3" s="4" t="str">
        <f>IFERROR(__xludf.DUMMYFUNCTION("""COMPUTED_VALUE"""),"Form G4 Instagram Tallis")</f>
        <v>Form G4 Instagram Tallis</v>
      </c>
      <c r="Y3" s="12">
        <f>IFERROR(__xludf.DUMMYFUNCTION("""COMPUTED_VALUE"""),118126.39999999995)</f>
        <v>118126.4</v>
      </c>
      <c r="Z3" s="7">
        <f t="shared" si="5"/>
        <v>0.2651328757</v>
      </c>
      <c r="AA3" s="7">
        <f t="shared" ref="AA3:AA1000" si="13">IF(Y3="","",Z3+AA2)</f>
        <v>0.6036662308</v>
      </c>
      <c r="AB3" s="6">
        <f t="array" ref="AB3">XLOOKUP(X3,'Dados Funil'!A:A,'Dados Funil'!O:O,"")</f>
        <v>8.679127726</v>
      </c>
      <c r="AC3" s="4" t="str">
        <f>IFERROR(__xludf.DUMMYFUNCTION("""COMPUTED_VALUE"""),"Form G4 Instagram Tallis")</f>
        <v>Form G4 Instagram Tallis</v>
      </c>
      <c r="AD3" s="12">
        <f>IFERROR(__xludf.DUMMYFUNCTION("""COMPUTED_VALUE"""),179023.99999999994)</f>
        <v>179024</v>
      </c>
      <c r="AE3" s="7">
        <f t="shared" si="6"/>
        <v>0.3364265392</v>
      </c>
      <c r="AF3" s="7">
        <f t="shared" ref="AF3:AF11" si="14">IF(AE3="","",AE3+AF2)</f>
        <v>0.8924049206</v>
      </c>
      <c r="AG3" s="12">
        <f t="array" ref="AG3">XLOOKUP(AC3,'Dados Funil'!A:A,'Dados Funil'!AM:AM,"")</f>
        <v>1306.744526</v>
      </c>
      <c r="AH3" s="5">
        <f t="array" ref="AH3">XLOOKUP(AC3,'Dados Funil'!A:A,'Dados Funil'!AN:AN,"")</f>
        <v>0.3081944636</v>
      </c>
      <c r="AI3" s="9" t="str">
        <f>IFERROR(__xludf.DUMMYFUNCTION("""COMPUTED_VALUE"""),"Form G4 Outros - Orgânico")</f>
        <v>Form G4 Outros - Orgânico</v>
      </c>
      <c r="AJ3" s="11">
        <f>IFERROR(__xludf.DUMMYFUNCTION("""COMPUTED_VALUE"""),250.44284237041893)</f>
        <v>250.4428424</v>
      </c>
      <c r="AK3" s="10">
        <f>IFERROR(__xludf.DUMMYFUNCTION("""COMPUTED_VALUE"""),0.42)</f>
        <v>0.42</v>
      </c>
      <c r="AL3" s="9">
        <f>IFERROR(__xludf.DUMMYFUNCTION("""COMPUTED_VALUE"""),6959.999999999999)</f>
        <v>6960</v>
      </c>
      <c r="AM3" s="9">
        <f t="shared" si="7"/>
        <v>732094.5168</v>
      </c>
      <c r="AN3" s="9" t="str">
        <f>IFERROR(__xludf.DUMMYFUNCTION("""COMPUTED_VALUE"""),"Form G4 Outros - Orgânico")</f>
        <v>Form G4 Outros - Orgânico</v>
      </c>
      <c r="AO3" s="11">
        <f>IFERROR(__xludf.DUMMYFUNCTION("""COMPUTED_VALUE"""),267.0)</f>
        <v>267</v>
      </c>
      <c r="AP3" s="10">
        <f>IFERROR(__xludf.DUMMYFUNCTION("""COMPUTED_VALUE"""),0.47191011235955055)</f>
        <v>0.4719101124</v>
      </c>
      <c r="AQ3" s="14">
        <f>IFERROR(__xludf.DUMMYFUNCTION("""COMPUTED_VALUE"""),3035.0)</f>
        <v>3035</v>
      </c>
      <c r="AR3" s="9">
        <f t="shared" si="8"/>
        <v>382410</v>
      </c>
    </row>
    <row r="4">
      <c r="A4" s="4"/>
      <c r="B4" s="4"/>
      <c r="C4" s="7" t="str">
        <f t="shared" si="1"/>
        <v/>
      </c>
      <c r="D4" s="4" t="str">
        <f t="shared" si="9"/>
        <v/>
      </c>
      <c r="E4" s="4" t="str">
        <f t="array" ref="E4">XLOOKUP(A4,'Dados Funil'!$A:$A,'Dados Funil'!$K:$K,"")</f>
        <v/>
      </c>
      <c r="F4" s="4" t="str">
        <f t="array" ref="F4">XLOOKUP(A4,'Dados Funil'!$A:$A,'Dados Funil'!$L:$L,"")</f>
        <v/>
      </c>
      <c r="G4" s="4" t="str">
        <f>IFERROR(__xludf.DUMMYFUNCTION("""COMPUTED_VALUE"""),"[IM] Link de Indicação")</f>
        <v>[IM] Link de Indicação</v>
      </c>
      <c r="H4" s="12">
        <f>IFERROR(__xludf.DUMMYFUNCTION("""COMPUTED_VALUE"""),-69055.2)</f>
        <v>-69055.2</v>
      </c>
      <c r="I4" s="7">
        <f t="shared" si="2"/>
        <v>0.1494082645</v>
      </c>
      <c r="J4" s="7">
        <f t="shared" si="10"/>
        <v>0.7576142173</v>
      </c>
      <c r="K4" s="6">
        <f t="array" ref="K4">XLOOKUP(G4,'Dados Funil'!A:A,'Dados Funil'!O:O,"")</f>
        <v>-14.54651163</v>
      </c>
      <c r="L4" s="4" t="str">
        <f>IFERROR(__xludf.DUMMYFUNCTION("""COMPUTED_VALUE"""),"[IM] Form Facebook Ads")</f>
        <v>[IM] Form Facebook Ads</v>
      </c>
      <c r="M4" s="12">
        <f>IFERROR(__xludf.DUMMYFUNCTION("""COMPUTED_VALUE"""),-440683.9999999999)</f>
        <v>-440684</v>
      </c>
      <c r="N4" s="7">
        <f t="shared" si="3"/>
        <v>0.1510487225</v>
      </c>
      <c r="O4" s="7">
        <f t="shared" si="11"/>
        <v>0.588658881</v>
      </c>
      <c r="P4" s="12">
        <f t="array" ref="P4">XLOOKUP(L4,'Dados Funil'!A:A,'Dados Funil'!AM:AM,"")</f>
        <v>-3970.126126</v>
      </c>
      <c r="Q4" s="5">
        <f t="array" ref="Q4">XLOOKUP(L4,'Dados Funil'!A:A,'Dados Funil'!AN:AN,"")</f>
        <v>-0.7822908623</v>
      </c>
      <c r="R4" s="4" t="str">
        <f>IFERROR(__xludf.DUMMYFUNCTION("""COMPUTED_VALUE"""),"Form G4 Instagram Tallis")</f>
        <v>Form G4 Instagram Tallis</v>
      </c>
      <c r="S4" s="12">
        <f>IFERROR(__xludf.DUMMYFUNCTION("""COMPUTED_VALUE"""),133817.28518360085)</f>
        <v>133817.2852</v>
      </c>
      <c r="T4" s="7">
        <f t="shared" si="4"/>
        <v>0.1306357124</v>
      </c>
      <c r="U4" s="7">
        <f t="shared" si="12"/>
        <v>0.5439194948</v>
      </c>
      <c r="V4" s="3">
        <f t="array" ref="V4">XLOOKUP(R4,'Dados Funil'!$A:$A,'Dados Funil'!$K:$K,"")</f>
        <v>92.82553079</v>
      </c>
      <c r="W4" s="5">
        <f t="array" ref="W4">XLOOKUP(R4,'Dados Funil'!$A:$A,'Dados Funil'!$L:$L,"")</f>
        <v>0.4068182173</v>
      </c>
      <c r="X4" s="4" t="str">
        <f>IFERROR(__xludf.DUMMYFUNCTION("""COMPUTED_VALUE"""),"Form G4 Outros - Orgânico")</f>
        <v>Form G4 Outros - Orgânico</v>
      </c>
      <c r="Y4" s="12">
        <f>IFERROR(__xludf.DUMMYFUNCTION("""COMPUTED_VALUE"""),96465.59999999999)</f>
        <v>96465.6</v>
      </c>
      <c r="Z4" s="7">
        <f t="shared" si="5"/>
        <v>0.2165155455</v>
      </c>
      <c r="AA4" s="7">
        <f t="shared" si="13"/>
        <v>0.8201817763</v>
      </c>
      <c r="AB4" s="6">
        <f t="array" ref="AB4">XLOOKUP(X4,'Dados Funil'!A:A,'Dados Funil'!O:O,"")</f>
        <v>5.191011236</v>
      </c>
      <c r="AC4" s="4" t="str">
        <f>IFERROR(__xludf.DUMMYFUNCTION("""COMPUTED_VALUE"""),"[CM] Form G4 - Outros")</f>
        <v>[CM] Form G4 - Outros</v>
      </c>
      <c r="AD4" s="12">
        <f>IFERROR(__xludf.DUMMYFUNCTION("""COMPUTED_VALUE"""),37999.99999999999)</f>
        <v>38000</v>
      </c>
      <c r="AE4" s="7">
        <f t="shared" si="6"/>
        <v>0.07141058455</v>
      </c>
      <c r="AF4" s="7">
        <f t="shared" si="14"/>
        <v>0.9638155051</v>
      </c>
      <c r="AG4" s="12">
        <f t="array" ref="AG4">XLOOKUP(AC4,'Dados Funil'!A:A,'Dados Funil'!AM:AM,"")</f>
        <v>3166.666667</v>
      </c>
      <c r="AH4" s="5">
        <f t="array" ref="AH4">XLOOKUP(AC4,'Dados Funil'!A:A,'Dados Funil'!AN:AN,"")</f>
        <v>0.376984127</v>
      </c>
      <c r="AI4" s="9" t="str">
        <f>IFERROR(__xludf.DUMMYFUNCTION("""COMPUTED_VALUE"""),"[IM] Chat")</f>
        <v>[IM] Chat</v>
      </c>
      <c r="AJ4" s="11">
        <f>IFERROR(__xludf.DUMMYFUNCTION("""COMPUTED_VALUE"""),519.5269811288958)</f>
        <v>519.5269811</v>
      </c>
      <c r="AK4" s="10">
        <f>IFERROR(__xludf.DUMMYFUNCTION("""COMPUTED_VALUE"""),0.28)</f>
        <v>0.28</v>
      </c>
      <c r="AL4" s="9">
        <f>IFERROR(__xludf.DUMMYFUNCTION("""COMPUTED_VALUE"""),4940.0)</f>
        <v>4940</v>
      </c>
      <c r="AM4" s="9">
        <f t="shared" si="7"/>
        <v>718609.7203</v>
      </c>
      <c r="AN4" s="9" t="str">
        <f>IFERROR(__xludf.DUMMYFUNCTION("""COMPUTED_VALUE"""),"[IM] Chat")</f>
        <v>[IM] Chat</v>
      </c>
      <c r="AO4" s="11">
        <f>IFERROR(__xludf.DUMMYFUNCTION("""COMPUTED_VALUE"""),559.0)</f>
        <v>559</v>
      </c>
      <c r="AP4" s="10">
        <f>IFERROR(__xludf.DUMMYFUNCTION("""COMPUTED_VALUE"""),0.27549194991055453)</f>
        <v>0.2754919499</v>
      </c>
      <c r="AQ4" s="14">
        <f>IFERROR(__xludf.DUMMYFUNCTION("""COMPUTED_VALUE"""),2293.437661703531)</f>
        <v>2293.437662</v>
      </c>
      <c r="AR4" s="9">
        <f t="shared" si="8"/>
        <v>353189.3999</v>
      </c>
    </row>
    <row r="5">
      <c r="A5" s="4"/>
      <c r="B5" s="4"/>
      <c r="C5" s="7" t="str">
        <f t="shared" si="1"/>
        <v/>
      </c>
      <c r="D5" s="4" t="str">
        <f t="shared" si="9"/>
        <v/>
      </c>
      <c r="E5" s="4" t="str">
        <f t="array" ref="E5">XLOOKUP(A5,'Dados Funil'!$A:$A,'Dados Funil'!$K:$K,"")</f>
        <v/>
      </c>
      <c r="F5" s="4" t="str">
        <f t="array" ref="F5">XLOOKUP(A5,'Dados Funil'!$A:$A,'Dados Funil'!$L:$L,"")</f>
        <v/>
      </c>
      <c r="G5" s="4" t="str">
        <f>IFERROR(__xludf.DUMMYFUNCTION("""COMPUTED_VALUE"""),"[CM] Form G4 - Instagram")</f>
        <v>[CM] Form G4 - Instagram</v>
      </c>
      <c r="H5" s="12">
        <f>IFERROR(__xludf.DUMMYFUNCTION("""COMPUTED_VALUE"""),-47712.000000000015)</f>
        <v>-47712</v>
      </c>
      <c r="I5" s="7">
        <f t="shared" si="2"/>
        <v>0.1032299829</v>
      </c>
      <c r="J5" s="7">
        <f t="shared" si="10"/>
        <v>0.8608442002</v>
      </c>
      <c r="K5" s="6">
        <f t="array" ref="K5">XLOOKUP(G5,'Dados Funil'!A:A,'Dados Funil'!O:O,"")</f>
        <v>-10.14285714</v>
      </c>
      <c r="L5" s="4" t="str">
        <f>IFERROR(__xludf.DUMMYFUNCTION("""COMPUTED_VALUE"""),"[IM] Chat")</f>
        <v>[IM] Chat</v>
      </c>
      <c r="M5" s="12">
        <f>IFERROR(__xludf.DUMMYFUNCTION("""COMPUTED_VALUE"""),-407570.6000976562)</f>
        <v>-407570.6001</v>
      </c>
      <c r="N5" s="7">
        <f t="shared" si="3"/>
        <v>0.139698783</v>
      </c>
      <c r="O5" s="7">
        <f t="shared" si="11"/>
        <v>0.728357664</v>
      </c>
      <c r="P5" s="12">
        <f t="array" ref="P5">XLOOKUP(L5,'Dados Funil'!A:A,'Dados Funil'!AM:AM,"")</f>
        <v>-2646.562338</v>
      </c>
      <c r="Q5" s="5">
        <f t="array" ref="Q5">XLOOKUP(L5,'Dados Funil'!A:A,'Dados Funil'!AN:AN,"")</f>
        <v>-0.535741364</v>
      </c>
      <c r="R5" s="4" t="str">
        <f>IFERROR(__xludf.DUMMYFUNCTION("""COMPUTED_VALUE"""),"Form G4 Instagram G4")</f>
        <v>Form G4 Instagram G4</v>
      </c>
      <c r="S5" s="12">
        <f>IFERROR(__xludf.DUMMYFUNCTION("""COMPUTED_VALUE"""),109415.53179770739)</f>
        <v>109415.5318</v>
      </c>
      <c r="T5" s="7">
        <f t="shared" si="4"/>
        <v>0.1068141229</v>
      </c>
      <c r="U5" s="7">
        <f t="shared" si="12"/>
        <v>0.6507336177</v>
      </c>
      <c r="V5" s="3">
        <f t="array" ref="V5">XLOOKUP(R5,'Dados Funil'!$A:$A,'Dados Funil'!$K:$K,"")</f>
        <v>52.92934007</v>
      </c>
      <c r="W5" s="5">
        <f t="array" ref="W5">XLOOKUP(R5,'Dados Funil'!$A:$A,'Dados Funil'!$L:$L,"")</f>
        <v>0.05913425883</v>
      </c>
      <c r="X5" s="4" t="str">
        <f>IFERROR(__xludf.DUMMYFUNCTION("""COMPUTED_VALUE"""),"Form G4 Google")</f>
        <v>Form G4 Google</v>
      </c>
      <c r="Y5" s="12">
        <f>IFERROR(__xludf.DUMMYFUNCTION("""COMPUTED_VALUE"""),54151.20000000003)</f>
        <v>54151.2</v>
      </c>
      <c r="Z5" s="7">
        <f t="shared" si="5"/>
        <v>0.1215415299</v>
      </c>
      <c r="AA5" s="7">
        <f t="shared" si="13"/>
        <v>0.9417233062</v>
      </c>
      <c r="AB5" s="6">
        <f t="array" ref="AB5">XLOOKUP(X5,'Dados Funil'!A:A,'Dados Funil'!O:O,"")</f>
        <v>5.245989305</v>
      </c>
      <c r="AC5" s="4" t="str">
        <f>IFERROR(__xludf.DUMMYFUNCTION("""COMPUTED_VALUE"""),"[IM] Link de Indicação")</f>
        <v>[IM] Link de Indicação</v>
      </c>
      <c r="AD5" s="12">
        <f>IFERROR(__xludf.DUMMYFUNCTION("""COMPUTED_VALUE"""),19254.999999999985)</f>
        <v>19255</v>
      </c>
      <c r="AE5" s="7">
        <f t="shared" si="6"/>
        <v>0.03618449488</v>
      </c>
      <c r="AF5" s="7">
        <f t="shared" si="14"/>
        <v>1</v>
      </c>
      <c r="AG5" s="12">
        <f t="array" ref="AG5">XLOOKUP(AC5,'Dados Funil'!A:A,'Dados Funil'!AM:AM,"")</f>
        <v>1604.583333</v>
      </c>
      <c r="AH5" s="5">
        <f t="array" ref="AH5">XLOOKUP(AC5,'Dados Funil'!A:A,'Dados Funil'!AN:AN,"")</f>
        <v>0.2906853865</v>
      </c>
      <c r="AI5" s="9" t="str">
        <f>IFERROR(__xludf.DUMMYFUNCTION("""COMPUTED_VALUE"""),"[IM] Form Facebook Ads")</f>
        <v>[IM] Form Facebook Ads</v>
      </c>
      <c r="AJ5" s="11">
        <f>IFERROR(__xludf.DUMMYFUNCTION("""COMPUTED_VALUE"""),310.52648623812433)</f>
        <v>310.5264862</v>
      </c>
      <c r="AK5" s="10">
        <f>IFERROR(__xludf.DUMMYFUNCTION("""COMPUTED_VALUE"""),0.32)</f>
        <v>0.32</v>
      </c>
      <c r="AL5" s="9">
        <f>IFERROR(__xludf.DUMMYFUNCTION("""COMPUTED_VALUE"""),5074.999999999999)</f>
        <v>5075</v>
      </c>
      <c r="AM5" s="9">
        <f t="shared" si="7"/>
        <v>504295.0137</v>
      </c>
      <c r="AN5" s="9" t="str">
        <f>IFERROR(__xludf.DUMMYFUNCTION("""COMPUTED_VALUE"""),"[IM] Form Facebook Ads")</f>
        <v>[IM] Form Facebook Ads</v>
      </c>
      <c r="AO5" s="11">
        <f>IFERROR(__xludf.DUMMYFUNCTION("""COMPUTED_VALUE"""),254.0)</f>
        <v>254</v>
      </c>
      <c r="AP5" s="10">
        <f>IFERROR(__xludf.DUMMYFUNCTION("""COMPUTED_VALUE"""),0.43700787401574803)</f>
        <v>0.437007874</v>
      </c>
      <c r="AQ5" s="14">
        <f>IFERROR(__xludf.DUMMYFUNCTION("""COMPUTED_VALUE"""),1104.873873873874)</f>
        <v>1104.873874</v>
      </c>
      <c r="AR5" s="9">
        <f t="shared" si="8"/>
        <v>122641</v>
      </c>
    </row>
    <row r="6">
      <c r="A6" s="4"/>
      <c r="B6" s="4"/>
      <c r="C6" s="7" t="str">
        <f t="shared" si="1"/>
        <v/>
      </c>
      <c r="D6" s="4" t="str">
        <f t="shared" si="9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 t="str">
        <f>IFERROR(__xludf.DUMMYFUNCTION("""COMPUTED_VALUE"""),"[IM] Social DM")</f>
        <v>[IM] Social DM</v>
      </c>
      <c r="H6" s="12">
        <f>IFERROR(__xludf.DUMMYFUNCTION("""COMPUTED_VALUE"""),-29484.799999999974)</f>
        <v>-29484.8</v>
      </c>
      <c r="I6" s="7">
        <f t="shared" si="2"/>
        <v>0.06379349849</v>
      </c>
      <c r="J6" s="7">
        <f t="shared" si="10"/>
        <v>0.9246376987</v>
      </c>
      <c r="K6" s="6">
        <f t="array" ref="K6">XLOOKUP(G6,'Dados Funil'!A:A,'Dados Funil'!O:O,"")</f>
        <v>-2.913978495</v>
      </c>
      <c r="L6" s="4" t="str">
        <f>IFERROR(__xludf.DUMMYFUNCTION("""COMPUTED_VALUE"""),"[IM] Social DM")</f>
        <v>[IM] Social DM</v>
      </c>
      <c r="M6" s="12">
        <f>IFERROR(__xludf.DUMMYFUNCTION("""COMPUTED_VALUE"""),-307656.34997558594)</f>
        <v>-307656.35</v>
      </c>
      <c r="N6" s="7">
        <f t="shared" si="3"/>
        <v>0.105452203</v>
      </c>
      <c r="O6" s="7">
        <f t="shared" si="11"/>
        <v>0.833809867</v>
      </c>
      <c r="P6" s="12">
        <f t="array" ref="P6">XLOOKUP(L6,'Dados Funil'!A:A,'Dados Funil'!AM:AM,"")</f>
        <v>-7503.813414</v>
      </c>
      <c r="Q6" s="5">
        <f t="array" ref="Q6">XLOOKUP(L6,'Dados Funil'!A:A,'Dados Funil'!AN:AN,"")</f>
        <v>-0.6896887329</v>
      </c>
      <c r="R6" s="4" t="str">
        <f>IFERROR(__xludf.DUMMYFUNCTION("""COMPUTED_VALUE"""),"Form G4 Instagram Outros")</f>
        <v>Form G4 Instagram Outros</v>
      </c>
      <c r="S6" s="12">
        <f>IFERROR(__xludf.DUMMYFUNCTION("""COMPUTED_VALUE"""),92674.63808853527)</f>
        <v>92674.63809</v>
      </c>
      <c r="T6" s="7">
        <f t="shared" si="4"/>
        <v>0.09047125232</v>
      </c>
      <c r="U6" s="7">
        <f t="shared" si="12"/>
        <v>0.74120487</v>
      </c>
      <c r="V6" s="3">
        <f t="array" ref="V6">XLOOKUP(R6,'Dados Funil'!$A:$A,'Dados Funil'!$K:$K,"")</f>
        <v>48.848112</v>
      </c>
      <c r="W6" s="5">
        <f t="array" ref="W6">XLOOKUP(R6,'Dados Funil'!$A:$A,'Dados Funil'!$L:$L,"")</f>
        <v>0.1922004687</v>
      </c>
      <c r="X6" s="4" t="str">
        <f>IFERROR(__xludf.DUMMYFUNCTION("""COMPUTED_VALUE"""),"[CM] Form G4 - Outros")</f>
        <v>[CM] Form G4 - Outros</v>
      </c>
      <c r="Y6" s="12">
        <f>IFERROR(__xludf.DUMMYFUNCTION("""COMPUTED_VALUE"""),25535.999999999993)</f>
        <v>25536</v>
      </c>
      <c r="Z6" s="7">
        <f t="shared" si="5"/>
        <v>0.0573151566</v>
      </c>
      <c r="AA6" s="7">
        <f t="shared" si="13"/>
        <v>0.9990384628</v>
      </c>
      <c r="AB6" s="6">
        <f t="array" ref="AB6">XLOOKUP(X6,'Dados Funil'!A:A,'Dados Funil'!O:O,"")</f>
        <v>9.5</v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IFERROR(__xludf.DUMMYFUNCTION("""COMPUTED_VALUE"""),"Form G4 Instagram Outros")</f>
        <v>Form G4 Instagram Outros</v>
      </c>
      <c r="AJ6" s="11">
        <f>IFERROR(__xludf.DUMMYFUNCTION("""COMPUTED_VALUE"""),254.1518879988745)</f>
        <v>254.151888</v>
      </c>
      <c r="AK6" s="10">
        <f>IFERROR(__xludf.DUMMYFUNCTION("""COMPUTED_VALUE"""),0.31)</f>
        <v>0.31</v>
      </c>
      <c r="AL6" s="9">
        <f>IFERROR(__xludf.DUMMYFUNCTION("""COMPUTED_VALUE"""),6120.000000000001)</f>
        <v>6120</v>
      </c>
      <c r="AM6" s="9">
        <f t="shared" si="7"/>
        <v>482176.9619</v>
      </c>
      <c r="AN6" s="9" t="str">
        <f>IFERROR(__xludf.DUMMYFUNCTION("""COMPUTED_VALUE"""),"Form G4 Instagram Outros")</f>
        <v>Form G4 Instagram Outros</v>
      </c>
      <c r="AO6" s="11">
        <f>IFERROR(__xludf.DUMMYFUNCTION("""COMPUTED_VALUE"""),303.0)</f>
        <v>303</v>
      </c>
      <c r="AP6" s="10">
        <f>IFERROR(__xludf.DUMMYFUNCTION("""COMPUTED_VALUE"""),0.3102310231023102)</f>
        <v>0.3102310231</v>
      </c>
      <c r="AQ6" s="14">
        <f>IFERROR(__xludf.DUMMYFUNCTION("""COMPUTED_VALUE"""),4112.68085106383)</f>
        <v>4112.680851</v>
      </c>
      <c r="AR6" s="9">
        <f t="shared" si="8"/>
        <v>386592</v>
      </c>
    </row>
    <row r="7">
      <c r="A7" s="4"/>
      <c r="B7" s="4"/>
      <c r="C7" s="7" t="str">
        <f t="shared" si="1"/>
        <v/>
      </c>
      <c r="D7" s="4" t="str">
        <f t="shared" si="9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 t="str">
        <f>IFERROR(__xludf.DUMMYFUNCTION("""COMPUTED_VALUE"""),"Form G4 Outros - Não Orgânico")</f>
        <v>Form G4 Outros - Não Orgânico</v>
      </c>
      <c r="H7" s="12">
        <f>IFERROR(__xludf.DUMMYFUNCTION("""COMPUTED_VALUE"""),-17875.000000000007)</f>
        <v>-17875</v>
      </c>
      <c r="I7" s="7">
        <f t="shared" si="2"/>
        <v>0.03867446228</v>
      </c>
      <c r="J7" s="7">
        <f t="shared" si="10"/>
        <v>0.963312161</v>
      </c>
      <c r="K7" s="6">
        <f t="array" ref="K7">XLOOKUP(G7,'Dados Funil'!A:A,'Dados Funil'!O:O,"")</f>
        <v>-3.666666667</v>
      </c>
      <c r="L7" s="4" t="str">
        <f>IFERROR(__xludf.DUMMYFUNCTION("""COMPUTED_VALUE"""),"Form G4 Instagram Outros")</f>
        <v>Form G4 Instagram Outros</v>
      </c>
      <c r="M7" s="12">
        <f>IFERROR(__xludf.DUMMYFUNCTION("""COMPUTED_VALUE"""),-188688.00000000006)</f>
        <v>-188688</v>
      </c>
      <c r="N7" s="7">
        <f t="shared" si="3"/>
        <v>0.06467464523</v>
      </c>
      <c r="O7" s="7">
        <f t="shared" si="11"/>
        <v>0.8984845123</v>
      </c>
      <c r="P7" s="12">
        <f t="array" ref="P7">XLOOKUP(L7,'Dados Funil'!A:A,'Dados Funil'!AM:AM,"")</f>
        <v>-2007.319149</v>
      </c>
      <c r="Q7" s="5">
        <f t="array" ref="Q7">XLOOKUP(L7,'Dados Funil'!A:A,'Dados Funil'!AN:AN,"")</f>
        <v>-0.327993325</v>
      </c>
      <c r="R7" s="4" t="str">
        <f>IFERROR(__xludf.DUMMYFUNCTION("""COMPUTED_VALUE"""),"[IM] Social DM")</f>
        <v>[IM] Social DM</v>
      </c>
      <c r="S7" s="12">
        <f>IFERROR(__xludf.DUMMYFUNCTION("""COMPUTED_VALUE"""),82010.58637992853)</f>
        <v>82010.58638</v>
      </c>
      <c r="T7" s="7">
        <f t="shared" si="4"/>
        <v>0.08006074376</v>
      </c>
      <c r="U7" s="7">
        <f t="shared" si="12"/>
        <v>0.8212656138</v>
      </c>
      <c r="V7" s="3">
        <f t="array" ref="V7">XLOOKUP(R7,'Dados Funil'!$A:$A,'Dados Funil'!$K:$K,"")</f>
        <v>16.03773983</v>
      </c>
      <c r="W7" s="5">
        <f t="array" ref="W7">XLOOKUP(R7,'Dados Funil'!$A:$A,'Dados Funil'!$L:$L,"")</f>
        <v>0.2083844704</v>
      </c>
      <c r="X7" s="4" t="str">
        <f>IFERROR(__xludf.DUMMYFUNCTION("""COMPUTED_VALUE"""),"Form G4 Instagram Outros")</f>
        <v>Form G4 Instagram Outros</v>
      </c>
      <c r="Y7" s="12">
        <f>IFERROR(__xludf.DUMMYFUNCTION("""COMPUTED_VALUE"""),428.39999999996616)</f>
        <v>428.4</v>
      </c>
      <c r="Z7" s="7">
        <f t="shared" si="5"/>
        <v>0.0009615371666</v>
      </c>
      <c r="AA7" s="7">
        <f t="shared" si="13"/>
        <v>1</v>
      </c>
      <c r="AB7" s="6">
        <f t="array" ref="AB7">XLOOKUP(X7,'Dados Funil'!A:A,'Dados Funil'!O:O,"")</f>
        <v>0.02310231023</v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Social DM")</f>
        <v>[IM] Social DM</v>
      </c>
      <c r="AJ7" s="11">
        <f>IFERROR(__xludf.DUMMYFUNCTION("""COMPUTED_VALUE"""),76.96226017288632)</f>
        <v>76.96226017</v>
      </c>
      <c r="AK7" s="10">
        <f>IFERROR(__xludf.DUMMYFUNCTION("""COMPUTED_VALUE"""),0.47)</f>
        <v>0.47</v>
      </c>
      <c r="AL7" s="9">
        <f>IFERROR(__xludf.DUMMYFUNCTION("""COMPUTED_VALUE"""),10880.0)</f>
        <v>10880</v>
      </c>
      <c r="AM7" s="9">
        <f t="shared" si="7"/>
        <v>393554.2136</v>
      </c>
      <c r="AN7" s="9" t="str">
        <f>IFERROR(__xludf.DUMMYFUNCTION("""COMPUTED_VALUE"""),"[IM] Social DM")</f>
        <v>[IM] Social DM</v>
      </c>
      <c r="AO7" s="11">
        <f>IFERROR(__xludf.DUMMYFUNCTION("""COMPUTED_VALUE"""),93.0)</f>
        <v>93</v>
      </c>
      <c r="AP7" s="10">
        <f>IFERROR(__xludf.DUMMYFUNCTION("""COMPUTED_VALUE"""),0.44086021505376344)</f>
        <v>0.4408602151</v>
      </c>
      <c r="AQ7" s="14">
        <f>IFERROR(__xludf.DUMMYFUNCTION("""COMPUTED_VALUE"""),3376.1865859613185)</f>
        <v>3376.186586</v>
      </c>
      <c r="AR7" s="9">
        <f t="shared" si="8"/>
        <v>138423.65</v>
      </c>
    </row>
    <row r="8">
      <c r="A8" s="4"/>
      <c r="B8" s="4"/>
      <c r="C8" s="7" t="str">
        <f t="shared" si="1"/>
        <v/>
      </c>
      <c r="D8" s="4" t="str">
        <f t="shared" si="9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 t="str">
        <f>IFERROR(__xludf.DUMMYFUNCTION("""COMPUTED_VALUE"""),"[IM] Chat")</f>
        <v>[IM] Chat</v>
      </c>
      <c r="H8" s="12">
        <f>IFERROR(__xludf.DUMMYFUNCTION("""COMPUTED_VALUE"""),-12448.800000000148)</f>
        <v>-12448.8</v>
      </c>
      <c r="I8" s="7">
        <f t="shared" si="2"/>
        <v>0.02693430188</v>
      </c>
      <c r="J8" s="7">
        <f t="shared" si="10"/>
        <v>0.9902464629</v>
      </c>
      <c r="K8" s="6">
        <f t="array" ref="K8">XLOOKUP(G8,'Dados Funil'!A:A,'Dados Funil'!O:O,"")</f>
        <v>-0.4508050089</v>
      </c>
      <c r="L8" s="4" t="str">
        <f>IFERROR(__xludf.DUMMYFUNCTION("""COMPUTED_VALUE"""),"Form G4 Outros - Não Orgânico")</f>
        <v>Form G4 Outros - Não Orgânico</v>
      </c>
      <c r="M8" s="12">
        <f>IFERROR(__xludf.DUMMYFUNCTION("""COMPUTED_VALUE"""),-143000.0)</f>
        <v>-143000</v>
      </c>
      <c r="N8" s="7">
        <f t="shared" si="3"/>
        <v>0.04901463934</v>
      </c>
      <c r="O8" s="7">
        <f t="shared" si="11"/>
        <v>0.9474991516</v>
      </c>
      <c r="P8" s="12">
        <f t="array" ref="P8">XLOOKUP(L8,'Dados Funil'!A:A,'Dados Funil'!AM:AM,"")</f>
        <v>-6500</v>
      </c>
      <c r="Q8" s="5">
        <f t="array" ref="Q8">XLOOKUP(L8,'Dados Funil'!A:A,'Dados Funil'!AN:AN,"")</f>
        <v>-1</v>
      </c>
      <c r="R8" s="4" t="str">
        <f>IFERROR(__xludf.DUMMYFUNCTION("""COMPUTED_VALUE"""),"[IM] Chat")</f>
        <v>[IM] Chat</v>
      </c>
      <c r="S8" s="12">
        <f>IFERROR(__xludf.DUMMYFUNCTION("""COMPUTED_VALUE"""),54599.079702511284)</f>
        <v>54599.0797</v>
      </c>
      <c r="T8" s="7">
        <f t="shared" si="4"/>
        <v>0.05330095933</v>
      </c>
      <c r="U8" s="7">
        <f t="shared" si="12"/>
        <v>0.8745665731</v>
      </c>
      <c r="V8" s="3">
        <f t="array" ref="V8">XLOOKUP(R8,'Dados Funil'!$A:$A,'Dados Funil'!$K:$K,"")</f>
        <v>39.47301887</v>
      </c>
      <c r="W8" s="5">
        <f t="array" ref="W8">XLOOKUP(R8,'Dados Funil'!$A:$A,'Dados Funil'!$L:$L,"")</f>
        <v>0.07597876589</v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IFERROR(__xludf.DUMMYFUNCTION("""COMPUTED_VALUE"""),"Form G4 Instagram Tallis")</f>
        <v>Form G4 Instagram Tallis</v>
      </c>
      <c r="AJ8" s="11">
        <f>IFERROR(__xludf.DUMMYFUNCTION("""COMPUTED_VALUE"""),228.17446921226357)</f>
        <v>228.1744692</v>
      </c>
      <c r="AK8" s="10">
        <f>IFERROR(__xludf.DUMMYFUNCTION("""COMPUTED_VALUE"""),0.34)</f>
        <v>0.34</v>
      </c>
      <c r="AL8" s="9">
        <f>IFERROR(__xludf.DUMMYFUNCTION("""COMPUTED_VALUE"""),4240.0)</f>
        <v>4240</v>
      </c>
      <c r="AM8" s="9">
        <f t="shared" si="7"/>
        <v>328936.3148</v>
      </c>
      <c r="AN8" s="9" t="str">
        <f>IFERROR(__xludf.DUMMYFUNCTION("""COMPUTED_VALUE"""),"Form G4 Instagram Tallis")</f>
        <v>Form G4 Instagram Tallis</v>
      </c>
      <c r="AO8" s="11">
        <f>IFERROR(__xludf.DUMMYFUNCTION("""COMPUTED_VALUE"""),321.0)</f>
        <v>321</v>
      </c>
      <c r="AP8" s="10">
        <f>IFERROR(__xludf.DUMMYFUNCTION("""COMPUTED_VALUE"""),0.42679127725856697)</f>
        <v>0.4267912773</v>
      </c>
      <c r="AQ8" s="14">
        <f>IFERROR(__xludf.DUMMYFUNCTION("""COMPUTED_VALUE"""),5546.744525547445)</f>
        <v>5546.744526</v>
      </c>
      <c r="AR8" s="9">
        <f t="shared" si="8"/>
        <v>759904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 t="str">
        <f>IFERROR(__xludf.DUMMYFUNCTION("""COMPUTED_VALUE"""),"Form G4 Facebook")</f>
        <v>Form G4 Facebook</v>
      </c>
      <c r="H9" s="12">
        <f>IFERROR(__xludf.DUMMYFUNCTION("""COMPUTED_VALUE"""),-4507.999999999997)</f>
        <v>-4508</v>
      </c>
      <c r="I9" s="7">
        <f t="shared" si="2"/>
        <v>0.009753537118</v>
      </c>
      <c r="J9" s="7">
        <f t="shared" si="10"/>
        <v>1</v>
      </c>
      <c r="K9" s="6">
        <f t="array" ref="K9">XLOOKUP(G9,'Dados Funil'!A:A,'Dados Funil'!O:O,"")</f>
        <v>-1.166666667</v>
      </c>
      <c r="L9" s="4" t="str">
        <f>IFERROR(__xludf.DUMMYFUNCTION("""COMPUTED_VALUE"""),"[CM] Form G4 - Instagram")</f>
        <v>[CM] Form G4 - Instagram</v>
      </c>
      <c r="M9" s="12">
        <f>IFERROR(__xludf.DUMMYFUNCTION("""COMPUTED_VALUE"""),-84000.0)</f>
        <v>-84000</v>
      </c>
      <c r="N9" s="7">
        <f t="shared" si="3"/>
        <v>0.02879181611</v>
      </c>
      <c r="O9" s="7">
        <f t="shared" si="11"/>
        <v>0.9762909677</v>
      </c>
      <c r="P9" s="12">
        <f t="array" ref="P9">XLOOKUP(L9,'Dados Funil'!A:A,'Dados Funil'!AM:AM,"")</f>
        <v>-8400</v>
      </c>
      <c r="Q9" s="5">
        <f t="array" ref="Q9">XLOOKUP(L9,'Dados Funil'!A:A,'Dados Funil'!AN:AN,"")</f>
        <v>-1</v>
      </c>
      <c r="R9" s="4" t="str">
        <f>IFERROR(__xludf.DUMMYFUNCTION("""COMPUTED_VALUE"""),"Form G4 Outros - Orgânico")</f>
        <v>Form G4 Outros - Orgânico</v>
      </c>
      <c r="S9" s="12">
        <f>IFERROR(__xludf.DUMMYFUNCTION("""COMPUTED_VALUE"""),48399.883182791375)</f>
        <v>48399.88318</v>
      </c>
      <c r="T9" s="7">
        <f t="shared" si="4"/>
        <v>0.0472491518</v>
      </c>
      <c r="U9" s="7">
        <f t="shared" si="12"/>
        <v>0.9218157249</v>
      </c>
      <c r="V9" s="3">
        <f t="array" ref="V9">XLOOKUP(R9,'Dados Funil'!$A:$A,'Dados Funil'!$K:$K,"")</f>
        <v>16.55715763</v>
      </c>
      <c r="W9" s="5">
        <f t="array" ref="W9">XLOOKUP(R9,'Dados Funil'!$A:$A,'Dados Funil'!$L:$L,"")</f>
        <v>0.06611152258</v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Outros - Não Orgânico")</f>
        <v>Form G4 Outros - Não Orgânico</v>
      </c>
      <c r="AJ9" s="11">
        <f>IFERROR(__xludf.DUMMYFUNCTION("""COMPUTED_VALUE"""),107.86561631495212)</f>
        <v>107.8656163</v>
      </c>
      <c r="AK9" s="10">
        <f>IFERROR(__xludf.DUMMYFUNCTION("""COMPUTED_VALUE"""),0.33)</f>
        <v>0.33</v>
      </c>
      <c r="AL9" s="9">
        <f>IFERROR(__xludf.DUMMYFUNCTION("""COMPUTED_VALUE"""),6500.0)</f>
        <v>6500</v>
      </c>
      <c r="AM9" s="9">
        <f t="shared" si="7"/>
        <v>231371.747</v>
      </c>
      <c r="AN9" s="9" t="str">
        <f>IFERROR(__xludf.DUMMYFUNCTION("""COMPUTED_VALUE"""),"Form G4 Outros - Não Orgânico")</f>
        <v>Form G4 Outros - Não Orgânico</v>
      </c>
      <c r="AO9" s="11">
        <f>IFERROR(__xludf.DUMMYFUNCTION("""COMPUTED_VALUE"""),75.0)</f>
        <v>75</v>
      </c>
      <c r="AP9" s="10">
        <f>IFERROR(__xludf.DUMMYFUNCTION("""COMPUTED_VALUE"""),0.29333333333333333)</f>
        <v>0.2933333333</v>
      </c>
      <c r="AQ9" s="14">
        <f>IFERROR(__xludf.DUMMYFUNCTION("""COMPUTED_VALUE"""),0.0)</f>
        <v>0</v>
      </c>
      <c r="AR9" s="9">
        <f t="shared" si="8"/>
        <v>0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 t="str">
        <f>IFERROR(__xludf.DUMMYFUNCTION("""COMPUTED_VALUE"""),"Aplicativo G4 - Indicação")</f>
        <v>Aplicativo G4 - Indicação</v>
      </c>
      <c r="M10" s="12">
        <f>IFERROR(__xludf.DUMMYFUNCTION("""COMPUTED_VALUE"""),-37787.0)</f>
        <v>-37787</v>
      </c>
      <c r="N10" s="7">
        <f t="shared" si="3"/>
        <v>0.01295186138</v>
      </c>
      <c r="O10" s="7">
        <f t="shared" si="11"/>
        <v>0.9892428291</v>
      </c>
      <c r="P10" s="12">
        <f t="array" ref="P10">XLOOKUP(L10,'Dados Funil'!A:A,'Dados Funil'!AM:AM,"")</f>
        <v>-2906.692308</v>
      </c>
      <c r="Q10" s="5">
        <f t="array" ref="Q10">XLOOKUP(L10,'Dados Funil'!A:A,'Dados Funil'!AN:AN,"")</f>
        <v>-0.7710059172</v>
      </c>
      <c r="R10" s="9" t="str">
        <f>IFERROR(__xludf.DUMMYFUNCTION("""COMPUTED_VALUE"""),"[CM] Form G4 - Instagram")</f>
        <v>[CM] Form G4 - Instagram</v>
      </c>
      <c r="S10" s="15">
        <f>IFERROR(__xludf.DUMMYFUNCTION("""COMPUTED_VALUE"""),29996.345806451696)</f>
        <v>29996.34581</v>
      </c>
      <c r="T10" s="7">
        <f t="shared" si="4"/>
        <v>0.02928316771</v>
      </c>
      <c r="V10" s="3">
        <f t="array" ref="V10">XLOOKUP(R10,'Dados Funil'!$A:$A,'Dados Funil'!$K:$K,"")</f>
        <v>12.75354839</v>
      </c>
      <c r="W10" s="5">
        <f t="array" ref="W10">XLOOKUP(R10,'Dados Funil'!$A:$A,'Dados Funil'!$L:$L,"")</f>
        <v>0.2949039265</v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IFERROR(__xludf.DUMMYFUNCTION("""COMPUTED_VALUE"""),"Form G4 Google")</f>
        <v>Form G4 Google</v>
      </c>
      <c r="AJ10" s="11">
        <f>IFERROR(__xludf.DUMMYFUNCTION("""COMPUTED_VALUE"""),66.16328403967249)</f>
        <v>66.16328404</v>
      </c>
      <c r="AK10" s="10">
        <f>IFERROR(__xludf.DUMMYFUNCTION("""COMPUTED_VALUE"""),0.37)</f>
        <v>0.37</v>
      </c>
      <c r="AL10" s="9">
        <f>IFERROR(__xludf.DUMMYFUNCTION("""COMPUTED_VALUE"""),5520.0)</f>
        <v>5520</v>
      </c>
      <c r="AM10" s="9">
        <f t="shared" si="7"/>
        <v>135131.8913</v>
      </c>
      <c r="AN10" s="9" t="str">
        <f>IFERROR(__xludf.DUMMYFUNCTION("""COMPUTED_VALUE"""),"Form G4 Google")</f>
        <v>Form G4 Google</v>
      </c>
      <c r="AO10" s="11">
        <f>IFERROR(__xludf.DUMMYFUNCTION("""COMPUTED_VALUE"""),187.0)</f>
        <v>187</v>
      </c>
      <c r="AP10" s="10">
        <f>IFERROR(__xludf.DUMMYFUNCTION("""COMPUTED_VALUE"""),0.42245989304812837)</f>
        <v>0.422459893</v>
      </c>
      <c r="AQ10" s="14">
        <f>IFERROR(__xludf.DUMMYFUNCTION("""COMPUTED_VALUE"""),9265.0)</f>
        <v>9265</v>
      </c>
      <c r="AR10" s="9">
        <f t="shared" si="8"/>
        <v>731935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IFERROR(__xludf.DUMMYFUNCTION("""COMPUTED_VALUE"""),"Form G4 Facebook")</f>
        <v>Form G4 Facebook</v>
      </c>
      <c r="M11" s="12">
        <f>IFERROR(__xludf.DUMMYFUNCTION("""COMPUTED_VALUE"""),-31384.000000000007)</f>
        <v>-31384</v>
      </c>
      <c r="N11" s="7">
        <f t="shared" si="3"/>
        <v>0.01075717092</v>
      </c>
      <c r="O11" s="7">
        <f t="shared" si="11"/>
        <v>1</v>
      </c>
      <c r="P11" s="12">
        <f t="array" ref="P11">XLOOKUP(L11,'Dados Funil'!A:A,'Dados Funil'!AM:AM,"")</f>
        <v>-1012.387097</v>
      </c>
      <c r="Q11" s="5">
        <f t="array" ref="Q11">XLOOKUP(L11,'Dados Funil'!A:A,'Dados Funil'!AN:AN,"")</f>
        <v>-0.3144059307</v>
      </c>
      <c r="R11" s="9" t="str">
        <f>IFERROR(__xludf.DUMMYFUNCTION("""COMPUTED_VALUE"""),"[IM] Link de Indicação")</f>
        <v>[IM] Link de Indicação</v>
      </c>
      <c r="S11" s="15">
        <f>IFERROR(__xludf.DUMMYFUNCTION("""COMPUTED_VALUE"""),29032.965570259323)</f>
        <v>29032.96557</v>
      </c>
      <c r="T11" s="7">
        <f t="shared" si="4"/>
        <v>0.02834269232</v>
      </c>
      <c r="V11" s="3">
        <f t="array" ref="V11">XLOOKUP(R11,'Dados Funil'!$A:$A,'Dados Funil'!$K:$K,"")</f>
        <v>18.45472004</v>
      </c>
      <c r="W11" s="5">
        <f t="array" ref="W11">XLOOKUP(R11,'Dados Funil'!$A:$A,'Dados Funil'!$L:$L,"")</f>
        <v>0.27321998</v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IFERROR(__xludf.DUMMYFUNCTION("""COMPUTED_VALUE"""),"[IM] Link de Indicação")</f>
        <v>[IM] Link de Indicação</v>
      </c>
      <c r="AJ11" s="11">
        <f>IFERROR(__xludf.DUMMYFUNCTION("""COMPUTED_VALUE"""),67.54527995788246)</f>
        <v>67.54527996</v>
      </c>
      <c r="AK11" s="10">
        <f>IFERROR(__xludf.DUMMYFUNCTION("""COMPUTED_VALUE"""),0.285)</f>
        <v>0.285</v>
      </c>
      <c r="AL11" s="9">
        <f>IFERROR(__xludf.DUMMYFUNCTION("""COMPUTED_VALUE"""),5520.000000000001)</f>
        <v>5520</v>
      </c>
      <c r="AM11" s="9">
        <f t="shared" si="7"/>
        <v>106262.2344</v>
      </c>
      <c r="AN11" s="9" t="str">
        <f>IFERROR(__xludf.DUMMYFUNCTION("""COMPUTED_VALUE"""),"[IM] Link de Indicação")</f>
        <v>[IM] Link de Indicação</v>
      </c>
      <c r="AO11" s="11">
        <f>IFERROR(__xludf.DUMMYFUNCTION("""COMPUTED_VALUE"""),86.0)</f>
        <v>86</v>
      </c>
      <c r="AP11" s="10">
        <f>IFERROR(__xludf.DUMMYFUNCTION("""COMPUTED_VALUE"""),0.13953488372093023)</f>
        <v>0.1395348837</v>
      </c>
      <c r="AQ11" s="14">
        <f>IFERROR(__xludf.DUMMYFUNCTION("""COMPUTED_VALUE"""),7124.583333333333)</f>
        <v>7124.583333</v>
      </c>
      <c r="AR11" s="9">
        <f t="shared" si="8"/>
        <v>85495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9" t="str">
        <f t="array" ref="Q12">XLOOKUP(L12,'Dados Funil'!A:A,'Dados Funil'!AN:AN,"")</f>
        <v/>
      </c>
      <c r="R12" s="9" t="str">
        <f>IFERROR(__xludf.DUMMYFUNCTION("""COMPUTED_VALUE"""),"Form G4 Facebook")</f>
        <v>Form G4 Facebook</v>
      </c>
      <c r="S12" s="15">
        <f>IFERROR(__xludf.DUMMYFUNCTION("""COMPUTED_VALUE"""),13605.541939187038)</f>
        <v>13605.54194</v>
      </c>
      <c r="T12" s="7">
        <f t="shared" si="4"/>
        <v>0.01328206339</v>
      </c>
      <c r="V12" s="3">
        <f t="array" ref="V12">XLOOKUP(R12,'Dados Funil'!$A:$A,'Dados Funil'!$K:$K,"")</f>
        <v>15.64934661</v>
      </c>
      <c r="W12" s="5">
        <f t="array" ref="W12">XLOOKUP(R12,'Dados Funil'!$A:$A,'Dados Funil'!$L:$L,"")</f>
        <v>0.1499688416</v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IFERROR(__xludf.DUMMYFUNCTION("""COMPUTED_VALUE"""),"[CM] Form G4 - Instagram")</f>
        <v>[CM] Form G4 - Instagram</v>
      </c>
      <c r="AJ12" s="11">
        <f>IFERROR(__xludf.DUMMYFUNCTION("""COMPUTED_VALUE"""),43.24645161290319)</f>
        <v>43.24645161</v>
      </c>
      <c r="AK12" s="10">
        <f>IFERROR(__xludf.DUMMYFUNCTION("""COMPUTED_VALUE"""),0.28)</f>
        <v>0.28</v>
      </c>
      <c r="AL12" s="9">
        <f>IFERROR(__xludf.DUMMYFUNCTION("""COMPUTED_VALUE"""),8400.0)</f>
        <v>8400</v>
      </c>
      <c r="AM12" s="9">
        <f t="shared" si="7"/>
        <v>101715.6542</v>
      </c>
      <c r="AN12" s="9" t="str">
        <f>IFERROR(__xludf.DUMMYFUNCTION("""COMPUTED_VALUE"""),"[CM] Form G4 - Instagram")</f>
        <v>[CM] Form G4 - Instagram</v>
      </c>
      <c r="AO12" s="11">
        <f>IFERROR(__xludf.DUMMYFUNCTION("""COMPUTED_VALUE"""),56.0)</f>
        <v>56</v>
      </c>
      <c r="AP12" s="10">
        <f>IFERROR(__xludf.DUMMYFUNCTION("""COMPUTED_VALUE"""),0.17857142857142858)</f>
        <v>0.1785714286</v>
      </c>
      <c r="AQ12" s="14">
        <f>IFERROR(__xludf.DUMMYFUNCTION("""COMPUTED_VALUE"""),0.0)</f>
        <v>0</v>
      </c>
      <c r="AR12" s="9">
        <f t="shared" si="8"/>
        <v>0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R13" s="9" t="str">
        <f>IFERROR(__xludf.DUMMYFUNCTION("""COMPUTED_VALUE"""),"[CM] Form G4 - Outros")</f>
        <v>[CM] Form G4 - Outros</v>
      </c>
      <c r="S13" s="15">
        <f>IFERROR(__xludf.DUMMYFUNCTION("""COMPUTED_VALUE"""),7453.563870967781)</f>
        <v>7453.563871</v>
      </c>
      <c r="T13" s="7">
        <f t="shared" si="4"/>
        <v>0.00727635167</v>
      </c>
      <c r="V13" s="3">
        <f t="array" ref="V13">XLOOKUP(R13,'Dados Funil'!$A:$A,'Dados Funil'!$K:$K,"")</f>
        <v>3.169032258</v>
      </c>
      <c r="W13" s="5">
        <f t="array" ref="W13">XLOOKUP(R13,'Dados Funil'!$A:$A,'Dados Funil'!$L:$L,"")</f>
        <v>0.1099176513</v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IFERROR(__xludf.DUMMYFUNCTION("""COMPUTED_VALUE"""),"Form G4 Facebook")</f>
        <v>Form G4 Facebook</v>
      </c>
      <c r="AJ13" s="11">
        <f>IFERROR(__xludf.DUMMYFUNCTION("""COMPUTED_VALUE"""),104.35065339407979)</f>
        <v>104.3506534</v>
      </c>
      <c r="AK13" s="10">
        <f>IFERROR(__xludf.DUMMYFUNCTION("""COMPUTED_VALUE"""),0.27)</f>
        <v>0.27</v>
      </c>
      <c r="AL13" s="9">
        <f>IFERROR(__xludf.DUMMYFUNCTION("""COMPUTED_VALUE"""),3220.0)</f>
        <v>3220</v>
      </c>
      <c r="AM13" s="9">
        <f t="shared" si="7"/>
        <v>90722.45806</v>
      </c>
      <c r="AN13" s="9" t="str">
        <f>IFERROR(__xludf.DUMMYFUNCTION("""COMPUTED_VALUE"""),"Form G4 Facebook")</f>
        <v>Form G4 Facebook</v>
      </c>
      <c r="AO13" s="11">
        <f>IFERROR(__xludf.DUMMYFUNCTION("""COMPUTED_VALUE"""),120.0)</f>
        <v>120</v>
      </c>
      <c r="AP13" s="10">
        <f>IFERROR(__xludf.DUMMYFUNCTION("""COMPUTED_VALUE"""),0.25833333333333336)</f>
        <v>0.2583333333</v>
      </c>
      <c r="AQ13" s="14">
        <f>IFERROR(__xludf.DUMMYFUNCTION("""COMPUTED_VALUE"""),2207.6129032258063)</f>
        <v>2207.612903</v>
      </c>
      <c r="AR13" s="9">
        <f t="shared" si="8"/>
        <v>68436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T14" s="7" t="str">
        <f t="shared" si="4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IFERROR(__xludf.DUMMYFUNCTION("""COMPUTED_VALUE"""),"[CM] Form G4 - Outros")</f>
        <v>[CM] Form G4 - Outros</v>
      </c>
      <c r="AJ14" s="11">
        <f>IFERROR(__xludf.DUMMYFUNCTION("""COMPUTED_VALUE"""),28.830967741935467)</f>
        <v>28.83096774</v>
      </c>
      <c r="AK14" s="10">
        <f>IFERROR(__xludf.DUMMYFUNCTION("""COMPUTED_VALUE"""),0.28)</f>
        <v>0.28</v>
      </c>
      <c r="AL14" s="9">
        <f>IFERROR(__xludf.DUMMYFUNCTION("""COMPUTED_VALUE"""),8400.0)</f>
        <v>8400</v>
      </c>
      <c r="AM14" s="9">
        <f t="shared" si="7"/>
        <v>67810.43613</v>
      </c>
      <c r="AN14" s="9" t="str">
        <f>IFERROR(__xludf.DUMMYFUNCTION("""COMPUTED_VALUE"""),"[CM] Form G4 - Outros")</f>
        <v>[CM] Form G4 - Outros</v>
      </c>
      <c r="AO14" s="11">
        <f>IFERROR(__xludf.DUMMYFUNCTION("""COMPUTED_VALUE"""),32.0)</f>
        <v>32</v>
      </c>
      <c r="AP14" s="10">
        <f>IFERROR(__xludf.DUMMYFUNCTION("""COMPUTED_VALUE"""),0.375)</f>
        <v>0.375</v>
      </c>
      <c r="AQ14" s="14">
        <f>IFERROR(__xludf.DUMMYFUNCTION("""COMPUTED_VALUE"""),11566.666666666666)</f>
        <v>11566.66667</v>
      </c>
      <c r="AR14" s="9">
        <f t="shared" si="8"/>
        <v>138800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T15" s="7" t="str">
        <f t="shared" si="4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IFERROR(__xludf.DUMMYFUNCTION("""COMPUTED_VALUE"""),"Aplicativo G4 - Indicação")</f>
        <v>Aplicativo G4 - Indicação</v>
      </c>
      <c r="AJ15" s="11">
        <f>IFERROR(__xludf.DUMMYFUNCTION("""COMPUTED_VALUE"""),83.99607144290366)</f>
        <v>83.99607144</v>
      </c>
      <c r="AK15" s="10">
        <f>IFERROR(__xludf.DUMMYFUNCTION("""COMPUTED_VALUE"""),0.21)</f>
        <v>0.21</v>
      </c>
      <c r="AL15" s="9">
        <f>IFERROR(__xludf.DUMMYFUNCTION("""COMPUTED_VALUE"""),3770.0)</f>
        <v>3770</v>
      </c>
      <c r="AM15" s="9">
        <f t="shared" si="7"/>
        <v>66499.68976</v>
      </c>
      <c r="AN15" s="9" t="str">
        <f>IFERROR(__xludf.DUMMYFUNCTION("""COMPUTED_VALUE"""),"Aplicativo G4 - Indicação")</f>
        <v>Aplicativo G4 - Indicação</v>
      </c>
      <c r="AO15" s="11">
        <f>IFERROR(__xludf.DUMMYFUNCTION("""COMPUTED_VALUE"""),307.0)</f>
        <v>307</v>
      </c>
      <c r="AP15" s="10">
        <f>IFERROR(__xludf.DUMMYFUNCTION("""COMPUTED_VALUE"""),0.04234527687296417)</f>
        <v>0.04234527687</v>
      </c>
      <c r="AQ15" s="14">
        <f>IFERROR(__xludf.DUMMYFUNCTION("""COMPUTED_VALUE"""),863.3076923076923)</f>
        <v>863.3076923</v>
      </c>
      <c r="AR15" s="9">
        <f t="shared" si="8"/>
        <v>11223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T16" s="7" t="str">
        <f t="shared" si="4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T17" s="7" t="str">
        <f t="shared" si="4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T18" s="7" t="str">
        <f t="shared" si="4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T19" s="7" t="str">
        <f t="shared" si="4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T20" s="7" t="str">
        <f t="shared" si="4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T21" s="7" t="str">
        <f t="shared" si="4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6" t="s">
        <v>98</v>
      </c>
      <c r="B1" s="16" t="s">
        <v>99</v>
      </c>
      <c r="C1" s="16" t="s">
        <v>100</v>
      </c>
      <c r="D1" s="16" t="s">
        <v>101</v>
      </c>
      <c r="E1" s="17" t="s">
        <v>102</v>
      </c>
      <c r="F1" s="16" t="s">
        <v>103</v>
      </c>
      <c r="G1" s="16" t="s">
        <v>104</v>
      </c>
      <c r="H1" s="18" t="s">
        <v>105</v>
      </c>
      <c r="I1" s="16" t="s">
        <v>87</v>
      </c>
      <c r="J1" s="16" t="s">
        <v>92</v>
      </c>
      <c r="K1" s="16" t="s">
        <v>56</v>
      </c>
      <c r="L1" s="16" t="s">
        <v>57</v>
      </c>
      <c r="M1" s="17" t="s">
        <v>106</v>
      </c>
      <c r="N1" s="16" t="s">
        <v>107</v>
      </c>
      <c r="O1" s="16" t="s">
        <v>108</v>
      </c>
      <c r="P1" s="16" t="s">
        <v>109</v>
      </c>
      <c r="Q1" s="16" t="s">
        <v>110</v>
      </c>
      <c r="R1" s="16" t="s">
        <v>111</v>
      </c>
      <c r="S1" s="16" t="s">
        <v>112</v>
      </c>
      <c r="T1" s="16" t="s">
        <v>113</v>
      </c>
      <c r="U1" s="16" t="s">
        <v>114</v>
      </c>
      <c r="V1" s="16" t="s">
        <v>115</v>
      </c>
      <c r="W1" s="16" t="s">
        <v>116</v>
      </c>
      <c r="X1" s="16" t="s">
        <v>117</v>
      </c>
      <c r="Y1" s="16" t="s">
        <v>118</v>
      </c>
      <c r="Z1" s="16" t="s">
        <v>119</v>
      </c>
      <c r="AA1" s="16" t="s">
        <v>120</v>
      </c>
      <c r="AB1" s="16" t="s">
        <v>121</v>
      </c>
      <c r="AC1" s="16" t="s">
        <v>122</v>
      </c>
      <c r="AD1" s="16" t="s">
        <v>123</v>
      </c>
      <c r="AE1" s="16" t="s">
        <v>124</v>
      </c>
      <c r="AF1" s="16" t="s">
        <v>125</v>
      </c>
      <c r="AG1" s="16" t="s">
        <v>126</v>
      </c>
      <c r="AH1" s="16" t="s">
        <v>127</v>
      </c>
      <c r="AI1" s="16" t="s">
        <v>128</v>
      </c>
      <c r="AJ1" s="16" t="s">
        <v>129</v>
      </c>
      <c r="AK1" s="16" t="s">
        <v>89</v>
      </c>
      <c r="AL1" s="16" t="s">
        <v>94</v>
      </c>
      <c r="AM1" s="16" t="s">
        <v>67</v>
      </c>
      <c r="AN1" s="16" t="s">
        <v>68</v>
      </c>
      <c r="AO1" s="16" t="s">
        <v>130</v>
      </c>
      <c r="AP1" s="16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9">
        <f>IFERROR(__xludf.DUMMYFUNCTION("""COMPUTED_VALUE"""),1062.1935483870961)</f>
        <v>1062.193548</v>
      </c>
      <c r="C2" s="20">
        <f>IFERROR(__xludf.DUMMYFUNCTION("""COMPUTED_VALUE"""),1123.0)</f>
        <v>1123</v>
      </c>
      <c r="D2" s="21">
        <f>IFERROR(__xludf.DUMMYFUNCTION("""COMPUTED_VALUE"""),60.80645161290386)</f>
        <v>60.80645161</v>
      </c>
      <c r="E2" s="22">
        <f>IFERROR(__xludf.DUMMYFUNCTION("""COMPUTED_VALUE"""),0.057246112730807236)</f>
        <v>0.05724611273</v>
      </c>
      <c r="F2" s="23">
        <f>IFERROR(__xludf.DUMMYFUNCTION("""COMPUTED_VALUE"""),0.8426624896062617)</f>
        <v>0.8426624896</v>
      </c>
      <c r="G2" s="23">
        <f>IFERROR(__xludf.DUMMYFUNCTION("""COMPUTED_VALUE"""),0.8441674087266251)</f>
        <v>0.8441674087</v>
      </c>
      <c r="H2" s="24">
        <f>IFERROR(__xludf.DUMMYFUNCTION("""COMPUTED_VALUE"""),0.1504919120363435)</f>
        <v>0.150491912</v>
      </c>
      <c r="I2" s="19">
        <f>IFERROR(__xludf.DUMMYFUNCTION("""COMPUTED_VALUE"""),895.0706599275796)</f>
        <v>895.0706599</v>
      </c>
      <c r="J2" s="20">
        <f>IFERROR(__xludf.DUMMYFUNCTION("""COMPUTED_VALUE"""),948.0)</f>
        <v>948</v>
      </c>
      <c r="K2" s="21">
        <f>IFERROR(__xludf.DUMMYFUNCTION("""COMPUTED_VALUE"""),52.92934007242036)</f>
        <v>52.92934007</v>
      </c>
      <c r="L2" s="22">
        <f>IFERROR(__xludf.DUMMYFUNCTION("""COMPUTED_VALUE"""),0.059134258826786794)</f>
        <v>0.05913425883</v>
      </c>
      <c r="M2" s="25">
        <f>IFERROR(__xludf.DUMMYFUNCTION("""COMPUTED_VALUE"""),0.34)</f>
        <v>0.34</v>
      </c>
      <c r="N2" s="23">
        <f>IFERROR(__xludf.DUMMYFUNCTION("""COMPUTED_VALUE"""),0.32489451476793246)</f>
        <v>0.3248945148</v>
      </c>
      <c r="O2" s="26">
        <f>IFERROR(__xludf.DUMMYFUNCTION("""COMPUTED_VALUE"""),-1.5105485232067561)</f>
        <v>-1.510548523</v>
      </c>
      <c r="P2" s="19">
        <f>IFERROR(__xludf.DUMMYFUNCTION("""COMPUTED_VALUE"""),294.81389861364676)</f>
        <v>294.8138986</v>
      </c>
      <c r="Q2" s="20">
        <f>IFERROR(__xludf.DUMMYFUNCTION("""COMPUTED_VALUE"""),308.0)</f>
        <v>308</v>
      </c>
      <c r="R2" s="21">
        <f>IFERROR(__xludf.DUMMYFUNCTION("""COMPUTED_VALUE"""),13.186101386353243)</f>
        <v>13.18610139</v>
      </c>
      <c r="S2" s="27">
        <f>IFERROR(__xludf.DUMMYFUNCTION("""COMPUTED_VALUE"""),0.044726864806443924)</f>
        <v>0.04472686481</v>
      </c>
      <c r="T2" s="23">
        <f>IFERROR(__xludf.DUMMYFUNCTION("""COMPUTED_VALUE"""),0.19)</f>
        <v>0.19</v>
      </c>
      <c r="U2" s="23">
        <f>IFERROR(__xludf.DUMMYFUNCTION("""COMPUTED_VALUE"""),0.1590909090909091)</f>
        <v>0.1590909091</v>
      </c>
      <c r="V2" s="24">
        <f>IFERROR(__xludf.DUMMYFUNCTION("""COMPUTED_VALUE"""),-3.0909090909090913)</f>
        <v>-3.090909091</v>
      </c>
      <c r="W2" s="19">
        <f>IFERROR(__xludf.DUMMYFUNCTION("""COMPUTED_VALUE"""),56.01464073659289)</f>
        <v>56.01464074</v>
      </c>
      <c r="X2" s="20">
        <f>IFERROR(__xludf.DUMMYFUNCTION("""COMPUTED_VALUE"""),49.0)</f>
        <v>49</v>
      </c>
      <c r="Y2" s="21">
        <f>IFERROR(__xludf.DUMMYFUNCTION("""COMPUTED_VALUE"""),-7.014640736592888)</f>
        <v>-7.014640737</v>
      </c>
      <c r="Z2" s="28">
        <f>IFERROR(__xludf.DUMMYFUNCTION("""COMPUTED_VALUE"""),-0.12522870171709247)</f>
        <v>-0.1252287017</v>
      </c>
      <c r="AA2" s="19">
        <f>IFERROR(__xludf.DUMMYFUNCTION("""COMPUTED_VALUE"""),32000.0)</f>
        <v>32000</v>
      </c>
      <c r="AB2" s="20">
        <f>IFERROR(__xludf.DUMMYFUNCTION("""COMPUTED_VALUE"""),22254.37224469866)</f>
        <v>22254.37224</v>
      </c>
      <c r="AC2" s="21">
        <f>IFERROR(__xludf.DUMMYFUNCTION("""COMPUTED_VALUE"""),-9745.627755301339)</f>
        <v>-9745.627755</v>
      </c>
      <c r="AD2" s="28">
        <f>IFERROR(__xludf.DUMMYFUNCTION("""COMPUTED_VALUE"""),-0.30455086735316683)</f>
        <v>-0.3045508674</v>
      </c>
      <c r="AE2" s="19">
        <f>IFERROR(__xludf.DUMMYFUNCTION("""COMPUTED_VALUE"""),1667473.6999219565)</f>
        <v>1667473.7</v>
      </c>
      <c r="AF2" s="20">
        <f>IFERROR(__xludf.DUMMYFUNCTION("""COMPUTED_VALUE"""),1090464.2399902344)</f>
        <v>1090464.24</v>
      </c>
      <c r="AG2" s="21">
        <f>IFERROR(__xludf.DUMMYFUNCTION("""COMPUTED_VALUE"""),-577009.4599317221)</f>
        <v>-577009.4599</v>
      </c>
      <c r="AH2" s="29">
        <f>IFERROR(__xludf.DUMMYFUNCTION("""COMPUTED_VALUE"""),-0.3460381173980304)</f>
        <v>-0.3460381174</v>
      </c>
      <c r="AI2" s="30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"),109415.53179770739)</f>
        <v>109415.5318</v>
      </c>
      <c r="AJ2" s="30">
        <f>IFERROR(__xludf.DUMMYFUNCTION("""COMPUTED_VALUE"""),-869241.360009766)</f>
        <v>-869241.36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"),6080.000000000001)</f>
        <v>6080</v>
      </c>
      <c r="AL2" s="31">
        <f>IFERROR(__xludf.DUMMYFUNCTION("""COMPUTED_VALUE"""),3540.4683116566052)</f>
        <v>3540.468312</v>
      </c>
      <c r="AM2" s="30">
        <f t="shared" ref="AM2:AM16" si="1">AL2-AK2</f>
        <v>-2539.531688</v>
      </c>
      <c r="AN2" s="32">
        <f t="shared" ref="AN2:AN16" si="2">AM2/AK2</f>
        <v>-0.417686133</v>
      </c>
      <c r="AO2" s="12">
        <f t="shared" ref="AO2:AO16" si="3">J2*(N2-M2)*AK2</f>
        <v>-87065.6</v>
      </c>
      <c r="AP2" s="12">
        <f t="shared" ref="AP2:AP16" si="4">J2*N2*AM2</f>
        <v>-782175.76</v>
      </c>
      <c r="AQ2" s="12">
        <f>SUMIFS(AP2:AP16,AP2:AP16,"&lt;"&amp;0)</f>
        <v>-2917495.71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Outros - Orgânico")</f>
        <v>Form G4 Outros - Orgânico</v>
      </c>
      <c r="B3" s="19">
        <f>IFERROR(__xludf.DUMMYFUNCTION("""COMPUTED_VALUE"""),397.9354838709675)</f>
        <v>397.9354839</v>
      </c>
      <c r="C3" s="20">
        <f>IFERROR(__xludf.DUMMYFUNCTION("""COMPUTED_VALUE"""),421.0)</f>
        <v>421</v>
      </c>
      <c r="D3" s="21">
        <f>IFERROR(__xludf.DUMMYFUNCTION("""COMPUTED_VALUE"""),23.064516129032484)</f>
        <v>23.06451613</v>
      </c>
      <c r="E3" s="22">
        <f>IFERROR(__xludf.DUMMYFUNCTION("""COMPUTED_VALUE"""),0.057960440985733414)</f>
        <v>0.05796044099</v>
      </c>
      <c r="F3" s="23">
        <f>IFERROR(__xludf.DUMMYFUNCTION("""COMPUTED_VALUE"""),0.6293553918193087)</f>
        <v>0.6293553918</v>
      </c>
      <c r="G3" s="23">
        <f>IFERROR(__xludf.DUMMYFUNCTION("""COMPUTED_VALUE"""),0.6342042755344418)</f>
        <v>0.6342042755</v>
      </c>
      <c r="H3" s="24">
        <f>IFERROR(__xludf.DUMMYFUNCTION("""COMPUTED_VALUE"""),0.48488837151331454)</f>
        <v>0.4848883715</v>
      </c>
      <c r="I3" s="19">
        <f>IFERROR(__xludf.DUMMYFUNCTION("""COMPUTED_VALUE"""),250.44284237041893)</f>
        <v>250.4428424</v>
      </c>
      <c r="J3" s="20">
        <f>IFERROR(__xludf.DUMMYFUNCTION("""COMPUTED_VALUE"""),267.0)</f>
        <v>267</v>
      </c>
      <c r="K3" s="21">
        <f>IFERROR(__xludf.DUMMYFUNCTION("""COMPUTED_VALUE"""),16.55715762958107)</f>
        <v>16.55715763</v>
      </c>
      <c r="L3" s="22">
        <f>IFERROR(__xludf.DUMMYFUNCTION("""COMPUTED_VALUE"""),0.0661115225848304)</f>
        <v>0.06611152258</v>
      </c>
      <c r="M3" s="25">
        <f>IFERROR(__xludf.DUMMYFUNCTION("""COMPUTED_VALUE"""),0.42)</f>
        <v>0.42</v>
      </c>
      <c r="N3" s="23">
        <f>IFERROR(__xludf.DUMMYFUNCTION("""COMPUTED_VALUE"""),0.47191011235955055)</f>
        <v>0.4719101124</v>
      </c>
      <c r="O3" s="26">
        <f>IFERROR(__xludf.DUMMYFUNCTION("""COMPUTED_VALUE"""),5.191011235955056)</f>
        <v>5.191011236</v>
      </c>
      <c r="P3" s="19">
        <f>IFERROR(__xludf.DUMMYFUNCTION("""COMPUTED_VALUE"""),101.89893148946427)</f>
        <v>101.8989315</v>
      </c>
      <c r="Q3" s="20">
        <f>IFERROR(__xludf.DUMMYFUNCTION("""COMPUTED_VALUE"""),126.0)</f>
        <v>126</v>
      </c>
      <c r="R3" s="21">
        <f>IFERROR(__xludf.DUMMYFUNCTION("""COMPUTED_VALUE"""),24.101068510535725)</f>
        <v>24.10106851</v>
      </c>
      <c r="S3" s="27">
        <f>IFERROR(__xludf.DUMMYFUNCTION("""COMPUTED_VALUE"""),0.23651934478849396)</f>
        <v>0.2365193448</v>
      </c>
      <c r="T3" s="23">
        <f>IFERROR(__xludf.DUMMYFUNCTION("""COMPUTED_VALUE"""),0.29)</f>
        <v>0.29</v>
      </c>
      <c r="U3" s="23">
        <f>IFERROR(__xludf.DUMMYFUNCTION("""COMPUTED_VALUE"""),0.15079365079365079)</f>
        <v>0.1507936508</v>
      </c>
      <c r="V3" s="24">
        <f>IFERROR(__xludf.DUMMYFUNCTION("""COMPUTED_VALUE"""),-13.92063492063492)</f>
        <v>-13.92063492</v>
      </c>
      <c r="W3" s="19">
        <f>IFERROR(__xludf.DUMMYFUNCTION("""COMPUTED_VALUE"""),29.550690131944634)</f>
        <v>29.55069013</v>
      </c>
      <c r="X3" s="20">
        <f>IFERROR(__xludf.DUMMYFUNCTION("""COMPUTED_VALUE"""),19.0)</f>
        <v>19</v>
      </c>
      <c r="Y3" s="21">
        <f>IFERROR(__xludf.DUMMYFUNCTION("""COMPUTED_VALUE"""),-10.550690131944634)</f>
        <v>-10.55069013</v>
      </c>
      <c r="Z3" s="28">
        <f>IFERROR(__xludf.DUMMYFUNCTION("""COMPUTED_VALUE"""),-0.35703701283575834)</f>
        <v>-0.3570370128</v>
      </c>
      <c r="AA3" s="19">
        <f>IFERROR(__xludf.DUMMYFUNCTION("""COMPUTED_VALUE"""),24000.0)</f>
        <v>24000</v>
      </c>
      <c r="AB3" s="20">
        <f>IFERROR(__xludf.DUMMYFUNCTION("""COMPUTED_VALUE"""),20126.842105263157)</f>
        <v>20126.84211</v>
      </c>
      <c r="AC3" s="21">
        <f>IFERROR(__xludf.DUMMYFUNCTION("""COMPUTED_VALUE"""),-3873.1578947368434)</f>
        <v>-3873.157895</v>
      </c>
      <c r="AD3" s="28">
        <f>IFERROR(__xludf.DUMMYFUNCTION("""COMPUTED_VALUE"""),-0.1613815789473685)</f>
        <v>-0.1613815789</v>
      </c>
      <c r="AE3" s="19">
        <f>IFERROR(__xludf.DUMMYFUNCTION("""COMPUTED_VALUE"""),659760.5281618485)</f>
        <v>659760.5282</v>
      </c>
      <c r="AF3" s="20">
        <f>IFERROR(__xludf.DUMMYFUNCTION("""COMPUTED_VALUE"""),382410.0)</f>
        <v>382410</v>
      </c>
      <c r="AG3" s="21">
        <f>IFERROR(__xludf.DUMMYFUNCTION("""COMPUTED_VALUE"""),-277350.52816184855)</f>
        <v>-277350.5282</v>
      </c>
      <c r="AH3" s="29">
        <f>IFERROR(__xludf.DUMMYFUNCTION("""COMPUTED_VALUE"""),-0.4203806022384694)</f>
        <v>-0.4203806022</v>
      </c>
      <c r="AI3" s="30">
        <f>IFERROR(__xludf.DUMMYFUNCTION("""COMPUTED_VALUE"""),48399.883182791375)</f>
        <v>48399.88318</v>
      </c>
      <c r="AJ3" s="30">
        <f>IFERROR(__xludf.DUMMYFUNCTION("""COMPUTED_VALUE"""),-398084.3999999998)</f>
        <v>-398084.4</v>
      </c>
      <c r="AK3" s="4">
        <f>IFERROR(__xludf.DUMMYFUNCTION("""COMPUTED_VALUE"""),6959.999999999999)</f>
        <v>6960</v>
      </c>
      <c r="AL3" s="31">
        <f>IFERROR(__xludf.DUMMYFUNCTION("""COMPUTED_VALUE"""),3035.0)</f>
        <v>3035</v>
      </c>
      <c r="AM3" s="30">
        <f t="shared" si="1"/>
        <v>-3925</v>
      </c>
      <c r="AN3" s="32">
        <f t="shared" si="2"/>
        <v>-0.5639367816</v>
      </c>
      <c r="AO3" s="12">
        <f t="shared" si="3"/>
        <v>96465.6</v>
      </c>
      <c r="AP3" s="12">
        <f t="shared" si="4"/>
        <v>-494550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IFERROR(__xludf.DUMMYFUNCTION("""COMPUTED_VALUE"""),"[IM] Chat")</f>
        <v>[IM] Chat</v>
      </c>
      <c r="B4" s="19">
        <f>IFERROR(__xludf.DUMMYFUNCTION("""COMPUTED_VALUE"""),603.8709677419351)</f>
        <v>603.8709677</v>
      </c>
      <c r="C4" s="20">
        <f>IFERROR(__xludf.DUMMYFUNCTION("""COMPUTED_VALUE"""),719.0)</f>
        <v>719</v>
      </c>
      <c r="D4" s="21">
        <f>IFERROR(__xludf.DUMMYFUNCTION("""COMPUTED_VALUE"""),115.12903225806485)</f>
        <v>115.1290323</v>
      </c>
      <c r="E4" s="22">
        <f>IFERROR(__xludf.DUMMYFUNCTION("""COMPUTED_VALUE"""),0.19065170940171006)</f>
        <v>0.1906517094</v>
      </c>
      <c r="F4" s="23">
        <f>IFERROR(__xludf.DUMMYFUNCTION("""COMPUTED_VALUE"""),0.8603277999463558)</f>
        <v>0.8603277999</v>
      </c>
      <c r="G4" s="23">
        <f>IFERROR(__xludf.DUMMYFUNCTION("""COMPUTED_VALUE"""),0.7774687065368567)</f>
        <v>0.7774687065</v>
      </c>
      <c r="H4" s="24">
        <f>IFERROR(__xludf.DUMMYFUNCTION("""COMPUTED_VALUE"""),-8.285909340949903)</f>
        <v>-8.285909341</v>
      </c>
      <c r="I4" s="19">
        <f>IFERROR(__xludf.DUMMYFUNCTION("""COMPUTED_VALUE"""),519.5269811288958)</f>
        <v>519.5269811</v>
      </c>
      <c r="J4" s="20">
        <f>IFERROR(__xludf.DUMMYFUNCTION("""COMPUTED_VALUE"""),559.0)</f>
        <v>559</v>
      </c>
      <c r="K4" s="21">
        <f>IFERROR(__xludf.DUMMYFUNCTION("""COMPUTED_VALUE"""),39.47301887110416)</f>
        <v>39.47301887</v>
      </c>
      <c r="L4" s="22">
        <f>IFERROR(__xludf.DUMMYFUNCTION("""COMPUTED_VALUE"""),0.07597876588686894)</f>
        <v>0.07597876589</v>
      </c>
      <c r="M4" s="25">
        <f>IFERROR(__xludf.DUMMYFUNCTION("""COMPUTED_VALUE"""),0.28)</f>
        <v>0.28</v>
      </c>
      <c r="N4" s="23">
        <f>IFERROR(__xludf.DUMMYFUNCTION("""COMPUTED_VALUE"""),0.27549194991055453)</f>
        <v>0.2754919499</v>
      </c>
      <c r="O4" s="26">
        <f>IFERROR(__xludf.DUMMYFUNCTION("""COMPUTED_VALUE"""),-0.4508050089445492)</f>
        <v>-0.4508050089</v>
      </c>
      <c r="P4" s="19">
        <f>IFERROR(__xludf.DUMMYFUNCTION("""COMPUTED_VALUE"""),140.92169363121312)</f>
        <v>140.9216936</v>
      </c>
      <c r="Q4" s="20">
        <f>IFERROR(__xludf.DUMMYFUNCTION("""COMPUTED_VALUE"""),154.0)</f>
        <v>154</v>
      </c>
      <c r="R4" s="21">
        <f>IFERROR(__xludf.DUMMYFUNCTION("""COMPUTED_VALUE"""),13.078306368786883)</f>
        <v>13.07830637</v>
      </c>
      <c r="S4" s="27">
        <f>IFERROR(__xludf.DUMMYFUNCTION("""COMPUTED_VALUE"""),0.09280548673373405)</f>
        <v>0.09280548673</v>
      </c>
      <c r="T4" s="23">
        <f>IFERROR(__xludf.DUMMYFUNCTION("""COMPUTED_VALUE"""),0.19)</f>
        <v>0.19</v>
      </c>
      <c r="U4" s="23">
        <f>IFERROR(__xludf.DUMMYFUNCTION("""COMPUTED_VALUE"""),0.11688311688311688)</f>
        <v>0.1168831169</v>
      </c>
      <c r="V4" s="24">
        <f>IFERROR(__xludf.DUMMYFUNCTION("""COMPUTED_VALUE"""),-7.311688311688312)</f>
        <v>-7.311688312</v>
      </c>
      <c r="W4" s="19">
        <f>IFERROR(__xludf.DUMMYFUNCTION("""COMPUTED_VALUE"""),26.775121789930495)</f>
        <v>26.77512179</v>
      </c>
      <c r="X4" s="20">
        <f>IFERROR(__xludf.DUMMYFUNCTION("""COMPUTED_VALUE"""),18.0)</f>
        <v>18</v>
      </c>
      <c r="Y4" s="21">
        <f>IFERROR(__xludf.DUMMYFUNCTION("""COMPUTED_VALUE"""),-8.775121789930495)</f>
        <v>-8.77512179</v>
      </c>
      <c r="Z4" s="28">
        <f>IFERROR(__xludf.DUMMYFUNCTION("""COMPUTED_VALUE"""),-0.3277341503346818)</f>
        <v>-0.3277341503</v>
      </c>
      <c r="AA4" s="19">
        <f>IFERROR(__xludf.DUMMYFUNCTION("""COMPUTED_VALUE"""),26000.0)</f>
        <v>26000</v>
      </c>
      <c r="AB4" s="20">
        <f>IFERROR(__xludf.DUMMYFUNCTION("""COMPUTED_VALUE"""),19621.633327907984)</f>
        <v>19621.63333</v>
      </c>
      <c r="AC4" s="21">
        <f>IFERROR(__xludf.DUMMYFUNCTION("""COMPUTED_VALUE"""),-6378.3666720920155)</f>
        <v>-6378.366672</v>
      </c>
      <c r="AD4" s="28">
        <f>IFERROR(__xludf.DUMMYFUNCTION("""COMPUTED_VALUE"""),-0.24532179508046215)</f>
        <v>-0.2453217951</v>
      </c>
      <c r="AE4" s="19">
        <f>IFERROR(__xludf.DUMMYFUNCTION("""COMPUTED_VALUE"""),647608.0857249293)</f>
        <v>647608.0857</v>
      </c>
      <c r="AF4" s="20">
        <f>IFERROR(__xludf.DUMMYFUNCTION("""COMPUTED_VALUE"""),353189.39990234375)</f>
        <v>353189.3999</v>
      </c>
      <c r="AG4" s="21">
        <f>IFERROR(__xludf.DUMMYFUNCTION("""COMPUTED_VALUE"""),-294418.6858225856)</f>
        <v>-294418.6858</v>
      </c>
      <c r="AH4" s="29">
        <f>IFERROR(__xludf.DUMMYFUNCTION("""COMPUTED_VALUE"""),-0.4546247835880782)</f>
        <v>-0.4546247836</v>
      </c>
      <c r="AI4" s="30">
        <f>IFERROR(__xludf.DUMMYFUNCTION("""COMPUTED_VALUE"""),54599.079702511284)</f>
        <v>54599.0797</v>
      </c>
      <c r="AJ4" s="30">
        <f>IFERROR(__xludf.DUMMYFUNCTION("""COMPUTED_VALUE"""),-420019.40009765635)</f>
        <v>-420019.4001</v>
      </c>
      <c r="AK4" s="4">
        <f>IFERROR(__xludf.DUMMYFUNCTION("""COMPUTED_VALUE"""),4940.0)</f>
        <v>4940</v>
      </c>
      <c r="AL4" s="31">
        <f>IFERROR(__xludf.DUMMYFUNCTION("""COMPUTED_VALUE"""),2293.437661703531)</f>
        <v>2293.437662</v>
      </c>
      <c r="AM4" s="30">
        <f t="shared" si="1"/>
        <v>-2646.562338</v>
      </c>
      <c r="AN4" s="32">
        <f t="shared" si="2"/>
        <v>-0.535741364</v>
      </c>
      <c r="AO4" s="12">
        <f t="shared" si="3"/>
        <v>-12448.8</v>
      </c>
      <c r="AP4" s="12">
        <f t="shared" si="4"/>
        <v>-407570.6001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Form Facebook Ads")</f>
        <v>[IM] Form Facebook Ads</v>
      </c>
      <c r="B5" s="19">
        <f>IFERROR(__xludf.DUMMYFUNCTION("""COMPUTED_VALUE"""),357.6774193548385)</f>
        <v>357.6774194</v>
      </c>
      <c r="C5" s="20">
        <f>IFERROR(__xludf.DUMMYFUNCTION("""COMPUTED_VALUE"""),362.0)</f>
        <v>362</v>
      </c>
      <c r="D5" s="21">
        <f>IFERROR(__xludf.DUMMYFUNCTION("""COMPUTED_VALUE"""),4.3225806451615085)</f>
        <v>4.322580645</v>
      </c>
      <c r="E5" s="22">
        <f>IFERROR(__xludf.DUMMYFUNCTION("""COMPUTED_VALUE"""),0.012085137085137702)</f>
        <v>0.01208513709</v>
      </c>
      <c r="F5" s="23">
        <f>IFERROR(__xludf.DUMMYFUNCTION("""COMPUTED_VALUE"""),0.8681746999803265)</f>
        <v>0.8681747</v>
      </c>
      <c r="G5" s="23">
        <f>IFERROR(__xludf.DUMMYFUNCTION("""COMPUTED_VALUE"""),0.7016574585635359)</f>
        <v>0.7016574586</v>
      </c>
      <c r="H5" s="24">
        <f>IFERROR(__xludf.DUMMYFUNCTION("""COMPUTED_VALUE"""),-16.651724141679058)</f>
        <v>-16.65172414</v>
      </c>
      <c r="I5" s="19">
        <f>IFERROR(__xludf.DUMMYFUNCTION("""COMPUTED_VALUE"""),310.52648623812433)</f>
        <v>310.5264862</v>
      </c>
      <c r="J5" s="20">
        <f>IFERROR(__xludf.DUMMYFUNCTION("""COMPUTED_VALUE"""),254.0)</f>
        <v>254</v>
      </c>
      <c r="K5" s="21">
        <f>IFERROR(__xludf.DUMMYFUNCTION("""COMPUTED_VALUE"""),-56.526486238124335)</f>
        <v>-56.52648624</v>
      </c>
      <c r="L5" s="22">
        <f>IFERROR(__xludf.DUMMYFUNCTION("""COMPUTED_VALUE"""),-0.1820343472884227)</f>
        <v>-0.1820343473</v>
      </c>
      <c r="M5" s="25">
        <f>IFERROR(__xludf.DUMMYFUNCTION("""COMPUTED_VALUE"""),0.32)</f>
        <v>0.32</v>
      </c>
      <c r="N5" s="23">
        <f>IFERROR(__xludf.DUMMYFUNCTION("""COMPUTED_VALUE"""),0.43700787401574803)</f>
        <v>0.437007874</v>
      </c>
      <c r="O5" s="26">
        <f>IFERROR(__xludf.DUMMYFUNCTION("""COMPUTED_VALUE"""),11.700787401574802)</f>
        <v>11.7007874</v>
      </c>
      <c r="P5" s="19">
        <f>IFERROR(__xludf.DUMMYFUNCTION("""COMPUTED_VALUE"""),96.26321073381862)</f>
        <v>96.26321073</v>
      </c>
      <c r="Q5" s="20">
        <f>IFERROR(__xludf.DUMMYFUNCTION("""COMPUTED_VALUE"""),111.0)</f>
        <v>111</v>
      </c>
      <c r="R5" s="21">
        <f>IFERROR(__xludf.DUMMYFUNCTION("""COMPUTED_VALUE"""),14.736789266181376)</f>
        <v>14.73678927</v>
      </c>
      <c r="S5" s="27">
        <f>IFERROR(__xludf.DUMMYFUNCTION("""COMPUTED_VALUE"""),0.15308848680448317)</f>
        <v>0.1530884868</v>
      </c>
      <c r="T5" s="23">
        <f>IFERROR(__xludf.DUMMYFUNCTION("""COMPUTED_VALUE"""),0.175)</f>
        <v>0.175</v>
      </c>
      <c r="U5" s="23">
        <f>IFERROR(__xludf.DUMMYFUNCTION("""COMPUTED_VALUE"""),0.07207207207207207)</f>
        <v>0.07207207207</v>
      </c>
      <c r="V5" s="24">
        <f>IFERROR(__xludf.DUMMYFUNCTION("""COMPUTED_VALUE"""),-10.292792792792792)</f>
        <v>-10.29279279</v>
      </c>
      <c r="W5" s="19">
        <f>IFERROR(__xludf.DUMMYFUNCTION("""COMPUTED_VALUE"""),16.846061878418258)</f>
        <v>16.84606188</v>
      </c>
      <c r="X5" s="20">
        <f>IFERROR(__xludf.DUMMYFUNCTION("""COMPUTED_VALUE"""),8.0)</f>
        <v>8</v>
      </c>
      <c r="Y5" s="21">
        <f>IFERROR(__xludf.DUMMYFUNCTION("""COMPUTED_VALUE"""),-8.846061878418258)</f>
        <v>-8.846061878</v>
      </c>
      <c r="Z5" s="28">
        <f>IFERROR(__xludf.DUMMYFUNCTION("""COMPUTED_VALUE"""),-0.5251115627060043)</f>
        <v>-0.5251115627</v>
      </c>
      <c r="AA5" s="19">
        <f>IFERROR(__xludf.DUMMYFUNCTION("""COMPUTED_VALUE"""),29000.0)</f>
        <v>29000</v>
      </c>
      <c r="AB5" s="20">
        <f>IFERROR(__xludf.DUMMYFUNCTION("""COMPUTED_VALUE"""),15330.125)</f>
        <v>15330.125</v>
      </c>
      <c r="AC5" s="21">
        <f>IFERROR(__xludf.DUMMYFUNCTION("""COMPUTED_VALUE"""),-13669.875)</f>
        <v>-13669.875</v>
      </c>
      <c r="AD5" s="28">
        <f>IFERROR(__xludf.DUMMYFUNCTION("""COMPUTED_VALUE"""),-0.471375)</f>
        <v>-0.471375</v>
      </c>
      <c r="AE5" s="19">
        <f>IFERROR(__xludf.DUMMYFUNCTION("""COMPUTED_VALUE"""),454468.5650728001)</f>
        <v>454468.5651</v>
      </c>
      <c r="AF5" s="20">
        <f>IFERROR(__xludf.DUMMYFUNCTION("""COMPUTED_VALUE"""),122641.0)</f>
        <v>122641</v>
      </c>
      <c r="AG5" s="21">
        <f>IFERROR(__xludf.DUMMYFUNCTION("""COMPUTED_VALUE"""),-331827.5650728001)</f>
        <v>-331827.5651</v>
      </c>
      <c r="AH5" s="29">
        <f>IFERROR(__xludf.DUMMYFUNCTION("""COMPUTED_VALUE"""),-0.7301441520375463)</f>
        <v>-0.730144152</v>
      </c>
      <c r="AI5" s="30">
        <f>IFERROR(__xludf.DUMMYFUNCTION("""COMPUTED_VALUE"""),-91799.01365071393)</f>
        <v>-91799.01365</v>
      </c>
      <c r="AJ5" s="30">
        <f>IFERROR(__xludf.DUMMYFUNCTION("""COMPUTED_VALUE"""),-289855.0)</f>
        <v>-289855</v>
      </c>
      <c r="AK5" s="4">
        <f>IFERROR(__xludf.DUMMYFUNCTION("""COMPUTED_VALUE"""),5074.999999999999)</f>
        <v>5075</v>
      </c>
      <c r="AL5" s="31">
        <f>IFERROR(__xludf.DUMMYFUNCTION("""COMPUTED_VALUE"""),1104.873873873874)</f>
        <v>1104.873874</v>
      </c>
      <c r="AM5" s="30">
        <f t="shared" si="1"/>
        <v>-3970.126126</v>
      </c>
      <c r="AN5" s="32">
        <f t="shared" si="2"/>
        <v>-0.7822908623</v>
      </c>
      <c r="AO5" s="12">
        <f t="shared" si="3"/>
        <v>150829</v>
      </c>
      <c r="AP5" s="12">
        <f t="shared" si="4"/>
        <v>-440684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IFERROR(__xludf.DUMMYFUNCTION("""COMPUTED_VALUE"""),"Form G4 Instagram Outros")</f>
        <v>Form G4 Instagram Outros</v>
      </c>
      <c r="B6" s="19">
        <f>IFERROR(__xludf.DUMMYFUNCTION("""COMPUTED_VALUE"""),309.67741935483855)</f>
        <v>309.6774194</v>
      </c>
      <c r="C6" s="20">
        <f>IFERROR(__xludf.DUMMYFUNCTION("""COMPUTED_VALUE"""),345.0)</f>
        <v>345</v>
      </c>
      <c r="D6" s="21">
        <f>IFERROR(__xludf.DUMMYFUNCTION("""COMPUTED_VALUE"""),35.32258064516145)</f>
        <v>35.32258065</v>
      </c>
      <c r="E6" s="22">
        <f>IFERROR(__xludf.DUMMYFUNCTION("""COMPUTED_VALUE"""),0.11406250000000058)</f>
        <v>0.1140625</v>
      </c>
      <c r="F6" s="23">
        <f>IFERROR(__xludf.DUMMYFUNCTION("""COMPUTED_VALUE"""),0.820698804996366)</f>
        <v>0.820698805</v>
      </c>
      <c r="G6" s="23">
        <f>IFERROR(__xludf.DUMMYFUNCTION("""COMPUTED_VALUE"""),0.8782608695652174)</f>
        <v>0.8782608696</v>
      </c>
      <c r="H6" s="24">
        <f>IFERROR(__xludf.DUMMYFUNCTION("""COMPUTED_VALUE"""),5.756206456885138)</f>
        <v>5.756206457</v>
      </c>
      <c r="I6" s="19">
        <f>IFERROR(__xludf.DUMMYFUNCTION("""COMPUTED_VALUE"""),254.1518879988745)</f>
        <v>254.151888</v>
      </c>
      <c r="J6" s="20">
        <f>IFERROR(__xludf.DUMMYFUNCTION("""COMPUTED_VALUE"""),303.0)</f>
        <v>303</v>
      </c>
      <c r="K6" s="21">
        <f>IFERROR(__xludf.DUMMYFUNCTION("""COMPUTED_VALUE"""),48.848112001125486)</f>
        <v>48.848112</v>
      </c>
      <c r="L6" s="22">
        <f>IFERROR(__xludf.DUMMYFUNCTION("""COMPUTED_VALUE"""),0.1922004687265664)</f>
        <v>0.1922004687</v>
      </c>
      <c r="M6" s="25">
        <f>IFERROR(__xludf.DUMMYFUNCTION("""COMPUTED_VALUE"""),0.31)</f>
        <v>0.31</v>
      </c>
      <c r="N6" s="23">
        <f>IFERROR(__xludf.DUMMYFUNCTION("""COMPUTED_VALUE"""),0.3102310231023102)</f>
        <v>0.3102310231</v>
      </c>
      <c r="O6" s="26">
        <f>IFERROR(__xludf.DUMMYFUNCTION("""COMPUTED_VALUE"""),0.023102310231021272)</f>
        <v>0.02310231023</v>
      </c>
      <c r="P6" s="19">
        <f>IFERROR(__xludf.DUMMYFUNCTION("""COMPUTED_VALUE"""),76.32498886466206)</f>
        <v>76.32498886</v>
      </c>
      <c r="Q6" s="20">
        <f>IFERROR(__xludf.DUMMYFUNCTION("""COMPUTED_VALUE"""),94.0)</f>
        <v>94</v>
      </c>
      <c r="R6" s="21">
        <f>IFERROR(__xludf.DUMMYFUNCTION("""COMPUTED_VALUE"""),17.67501113533794)</f>
        <v>17.67501114</v>
      </c>
      <c r="S6" s="27">
        <f>IFERROR(__xludf.DUMMYFUNCTION("""COMPUTED_VALUE"""),0.23157567918783342)</f>
        <v>0.2315756792</v>
      </c>
      <c r="T6" s="23">
        <f>IFERROR(__xludf.DUMMYFUNCTION("""COMPUTED_VALUE"""),0.24)</f>
        <v>0.24</v>
      </c>
      <c r="U6" s="23">
        <f>IFERROR(__xludf.DUMMYFUNCTION("""COMPUTED_VALUE"""),0.11702127659574468)</f>
        <v>0.1170212766</v>
      </c>
      <c r="V6" s="24">
        <f>IFERROR(__xludf.DUMMYFUNCTION("""COMPUTED_VALUE"""),-12.297872340425531)</f>
        <v>-12.29787234</v>
      </c>
      <c r="W6" s="19">
        <f>IFERROR(__xludf.DUMMYFUNCTION("""COMPUTED_VALUE"""),18.317997327518896)</f>
        <v>18.31799733</v>
      </c>
      <c r="X6" s="20">
        <f>IFERROR(__xludf.DUMMYFUNCTION("""COMPUTED_VALUE"""),11.0)</f>
        <v>11</v>
      </c>
      <c r="Y6" s="21">
        <f>IFERROR(__xludf.DUMMYFUNCTION("""COMPUTED_VALUE"""),-7.317997327518896)</f>
        <v>-7.317997328</v>
      </c>
      <c r="Z6" s="28">
        <f>IFERROR(__xludf.DUMMYFUNCTION("""COMPUTED_VALUE"""),-0.3994976741548685)</f>
        <v>-0.3994976742</v>
      </c>
      <c r="AA6" s="19">
        <f>IFERROR(__xludf.DUMMYFUNCTION("""COMPUTED_VALUE"""),25500.0)</f>
        <v>25500</v>
      </c>
      <c r="AB6" s="20">
        <f>IFERROR(__xludf.DUMMYFUNCTION("""COMPUTED_VALUE"""),35144.72727272727)</f>
        <v>35144.72727</v>
      </c>
      <c r="AC6" s="21">
        <f>IFERROR(__xludf.DUMMYFUNCTION("""COMPUTED_VALUE"""),9644.727272727272)</f>
        <v>9644.727273</v>
      </c>
      <c r="AD6" s="28">
        <f>IFERROR(__xludf.DUMMYFUNCTION("""COMPUTED_VALUE"""),0.37822459893048127)</f>
        <v>0.3782245989</v>
      </c>
      <c r="AE6" s="19">
        <f>IFERROR(__xludf.DUMMYFUNCTION("""COMPUTED_VALUE"""),434535.86900393764)</f>
        <v>434535.869</v>
      </c>
      <c r="AF6" s="20">
        <f>IFERROR(__xludf.DUMMYFUNCTION("""COMPUTED_VALUE"""),386592.0)</f>
        <v>386592</v>
      </c>
      <c r="AG6" s="21">
        <f>IFERROR(__xludf.DUMMYFUNCTION("""COMPUTED_VALUE"""),-47943.86900393764)</f>
        <v>-47943.869</v>
      </c>
      <c r="AH6" s="29">
        <f>IFERROR(__xludf.DUMMYFUNCTION("""COMPUTED_VALUE"""),-0.11033351312018659)</f>
        <v>-0.1103335131</v>
      </c>
      <c r="AI6" s="30">
        <f>IFERROR(__xludf.DUMMYFUNCTION("""COMPUTED_VALUE"""),92674.63808853527)</f>
        <v>92674.63809</v>
      </c>
      <c r="AJ6" s="30">
        <f>IFERROR(__xludf.DUMMYFUNCTION("""COMPUTED_VALUE"""),-188259.6)</f>
        <v>-188259.6</v>
      </c>
      <c r="AK6" s="4">
        <f>IFERROR(__xludf.DUMMYFUNCTION("""COMPUTED_VALUE"""),6120.000000000001)</f>
        <v>6120</v>
      </c>
      <c r="AL6" s="31">
        <f>IFERROR(__xludf.DUMMYFUNCTION("""COMPUTED_VALUE"""),4112.68085106383)</f>
        <v>4112.680851</v>
      </c>
      <c r="AM6" s="30">
        <f t="shared" si="1"/>
        <v>-2007.319149</v>
      </c>
      <c r="AN6" s="32">
        <f t="shared" si="2"/>
        <v>-0.327993325</v>
      </c>
      <c r="AO6" s="12">
        <f t="shared" si="3"/>
        <v>428.4</v>
      </c>
      <c r="AP6" s="12">
        <f t="shared" si="4"/>
        <v>-188688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Social DM")</f>
        <v>[IM] Social DM</v>
      </c>
      <c r="B7" s="19">
        <f>IFERROR(__xludf.DUMMYFUNCTION("""COMPUTED_VALUE"""),77.41935483870964)</f>
        <v>77.41935484</v>
      </c>
      <c r="C7" s="20">
        <f>IFERROR(__xludf.DUMMYFUNCTION("""COMPUTED_VALUE"""),103.0)</f>
        <v>103</v>
      </c>
      <c r="D7" s="21">
        <f>IFERROR(__xludf.DUMMYFUNCTION("""COMPUTED_VALUE"""),25.580645161290363)</f>
        <v>25.58064516</v>
      </c>
      <c r="E7" s="22">
        <f>IFERROR(__xludf.DUMMYFUNCTION("""COMPUTED_VALUE"""),0.33041666666666736)</f>
        <v>0.3304166667</v>
      </c>
      <c r="F7" s="23">
        <f>IFERROR(__xludf.DUMMYFUNCTION("""COMPUTED_VALUE"""),0.9940958605664488)</f>
        <v>0.9940958606</v>
      </c>
      <c r="G7" s="23">
        <f>IFERROR(__xludf.DUMMYFUNCTION("""COMPUTED_VALUE"""),0.9029126213592233)</f>
        <v>0.9029126214</v>
      </c>
      <c r="H7" s="24">
        <f>IFERROR(__xludf.DUMMYFUNCTION("""COMPUTED_VALUE"""),-9.118323920722549)</f>
        <v>-9.118323921</v>
      </c>
      <c r="I7" s="19">
        <f>IFERROR(__xludf.DUMMYFUNCTION("""COMPUTED_VALUE"""),76.96226017288632)</f>
        <v>76.96226017</v>
      </c>
      <c r="J7" s="20">
        <f>IFERROR(__xludf.DUMMYFUNCTION("""COMPUTED_VALUE"""),93.0)</f>
        <v>93</v>
      </c>
      <c r="K7" s="21">
        <f>IFERROR(__xludf.DUMMYFUNCTION("""COMPUTED_VALUE"""),16.037739827113683)</f>
        <v>16.03773983</v>
      </c>
      <c r="L7" s="22">
        <f>IFERROR(__xludf.DUMMYFUNCTION("""COMPUTED_VALUE"""),0.2083844704025955)</f>
        <v>0.2083844704</v>
      </c>
      <c r="M7" s="25">
        <f>IFERROR(__xludf.DUMMYFUNCTION("""COMPUTED_VALUE"""),0.47)</f>
        <v>0.47</v>
      </c>
      <c r="N7" s="23">
        <f>IFERROR(__xludf.DUMMYFUNCTION("""COMPUTED_VALUE"""),0.44086021505376344)</f>
        <v>0.4408602151</v>
      </c>
      <c r="O7" s="26">
        <f>IFERROR(__xludf.DUMMYFUNCTION("""COMPUTED_VALUE"""),-2.9139784946236533)</f>
        <v>-2.913978495</v>
      </c>
      <c r="P7" s="19">
        <f>IFERROR(__xludf.DUMMYFUNCTION("""COMPUTED_VALUE"""),35.04187908496733)</f>
        <v>35.04187908</v>
      </c>
      <c r="Q7" s="20">
        <f>IFERROR(__xludf.DUMMYFUNCTION("""COMPUTED_VALUE"""),41.0)</f>
        <v>41</v>
      </c>
      <c r="R7" s="21">
        <f>IFERROR(__xludf.DUMMYFUNCTION("""COMPUTED_VALUE"""),5.958120915032673)</f>
        <v>5.958120915</v>
      </c>
      <c r="S7" s="27">
        <f>IFERROR(__xludf.DUMMYFUNCTION("""COMPUTED_VALUE"""),0.17002857924901227)</f>
        <v>0.1700285792</v>
      </c>
      <c r="T7" s="23">
        <f>IFERROR(__xludf.DUMMYFUNCTION("""COMPUTED_VALUE"""),0.34)</f>
        <v>0.34</v>
      </c>
      <c r="U7" s="23">
        <f>IFERROR(__xludf.DUMMYFUNCTION("""COMPUTED_VALUE"""),0.2682926829268293)</f>
        <v>0.2682926829</v>
      </c>
      <c r="V7" s="24">
        <f>IFERROR(__xludf.DUMMYFUNCTION("""COMPUTED_VALUE"""),-7.170731707317074)</f>
        <v>-7.170731707</v>
      </c>
      <c r="W7" s="19">
        <f>IFERROR(__xludf.DUMMYFUNCTION("""COMPUTED_VALUE"""),11.914238888888892)</f>
        <v>11.91423889</v>
      </c>
      <c r="X7" s="20">
        <f>IFERROR(__xludf.DUMMYFUNCTION("""COMPUTED_VALUE"""),11.0)</f>
        <v>11</v>
      </c>
      <c r="Y7" s="21">
        <f>IFERROR(__xludf.DUMMYFUNCTION("""COMPUTED_VALUE"""),-0.9142388888888924)</f>
        <v>-0.9142388889</v>
      </c>
      <c r="Z7" s="28">
        <f>IFERROR(__xludf.DUMMYFUNCTION("""COMPUTED_VALUE"""),-0.07673498050651838)</f>
        <v>-0.07673498051</v>
      </c>
      <c r="AA7" s="19">
        <f>IFERROR(__xludf.DUMMYFUNCTION("""COMPUTED_VALUE"""),32000.0)</f>
        <v>32000</v>
      </c>
      <c r="AB7" s="20">
        <f>IFERROR(__xludf.DUMMYFUNCTION("""COMPUTED_VALUE"""),12583.968184037642)</f>
        <v>12583.96818</v>
      </c>
      <c r="AC7" s="21">
        <f>IFERROR(__xludf.DUMMYFUNCTION("""COMPUTED_VALUE"""),-19416.031815962357)</f>
        <v>-19416.03182</v>
      </c>
      <c r="AD7" s="28">
        <f>IFERROR(__xludf.DUMMYFUNCTION("""COMPUTED_VALUE"""),-0.6067509942488236)</f>
        <v>-0.6067509942</v>
      </c>
      <c r="AE7" s="19">
        <f>IFERROR(__xludf.DUMMYFUNCTION("""COMPUTED_VALUE"""),354669.41750518524)</f>
        <v>354669.4175</v>
      </c>
      <c r="AF7" s="20">
        <f>IFERROR(__xludf.DUMMYFUNCTION("""COMPUTED_VALUE"""),138423.65002441406)</f>
        <v>138423.65</v>
      </c>
      <c r="AG7" s="21">
        <f>IFERROR(__xludf.DUMMYFUNCTION("""COMPUTED_VALUE"""),-216245.76748077117)</f>
        <v>-216245.7675</v>
      </c>
      <c r="AH7" s="29">
        <f>IFERROR(__xludf.DUMMYFUNCTION("""COMPUTED_VALUE"""),-0.6097107808220021)</f>
        <v>-0.6097107808</v>
      </c>
      <c r="AI7" s="30">
        <f>IFERROR(__xludf.DUMMYFUNCTION("""COMPUTED_VALUE"""),82010.58637992853)</f>
        <v>82010.58638</v>
      </c>
      <c r="AJ7" s="30">
        <f>IFERROR(__xludf.DUMMYFUNCTION("""COMPUTED_VALUE"""),-337141.149975586)</f>
        <v>-337141.15</v>
      </c>
      <c r="AK7" s="4">
        <f>IFERROR(__xludf.DUMMYFUNCTION("""COMPUTED_VALUE"""),10880.0)</f>
        <v>10880</v>
      </c>
      <c r="AL7" s="31">
        <f>IFERROR(__xludf.DUMMYFUNCTION("""COMPUTED_VALUE"""),3376.1865859613185)</f>
        <v>3376.186586</v>
      </c>
      <c r="AM7" s="30">
        <f t="shared" si="1"/>
        <v>-7503.813414</v>
      </c>
      <c r="AN7" s="32">
        <f t="shared" si="2"/>
        <v>-0.6896887329</v>
      </c>
      <c r="AO7" s="12">
        <f t="shared" si="3"/>
        <v>-29484.8</v>
      </c>
      <c r="AP7" s="12">
        <f t="shared" si="4"/>
        <v>-307656.35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IFERROR(__xludf.DUMMYFUNCTION("""COMPUTED_VALUE"""),"Form G4 Instagram Tallis")</f>
        <v>Form G4 Instagram Tallis</v>
      </c>
      <c r="B8" s="19">
        <f>IFERROR(__xludf.DUMMYFUNCTION("""COMPUTED_VALUE"""),270.96774193548373)</f>
        <v>270.9677419</v>
      </c>
      <c r="C8" s="20">
        <f>IFERROR(__xludf.DUMMYFUNCTION("""COMPUTED_VALUE"""),386.0)</f>
        <v>386</v>
      </c>
      <c r="D8" s="21">
        <f>IFERROR(__xludf.DUMMYFUNCTION("""COMPUTED_VALUE"""),115.03225806451627)</f>
        <v>115.0322581</v>
      </c>
      <c r="E8" s="22">
        <f>IFERROR(__xludf.DUMMYFUNCTION("""COMPUTED_VALUE"""),0.42452380952381025)</f>
        <v>0.4245238095</v>
      </c>
      <c r="F8" s="23">
        <f>IFERROR(__xludf.DUMMYFUNCTION("""COMPUTED_VALUE"""),0.8420724459024018)</f>
        <v>0.8420724459</v>
      </c>
      <c r="G8" s="23">
        <f>IFERROR(__xludf.DUMMYFUNCTION("""COMPUTED_VALUE"""),0.8316062176165803)</f>
        <v>0.8316062176</v>
      </c>
      <c r="H8" s="24">
        <f>IFERROR(__xludf.DUMMYFUNCTION("""COMPUTED_VALUE"""),-1.0466228285821555)</f>
        <v>-1.046622829</v>
      </c>
      <c r="I8" s="19">
        <f>IFERROR(__xludf.DUMMYFUNCTION("""COMPUTED_VALUE"""),228.17446921226357)</f>
        <v>228.1744692</v>
      </c>
      <c r="J8" s="20">
        <f>IFERROR(__xludf.DUMMYFUNCTION("""COMPUTED_VALUE"""),321.0)</f>
        <v>321</v>
      </c>
      <c r="K8" s="21">
        <f>IFERROR(__xludf.DUMMYFUNCTION("""COMPUTED_VALUE"""),92.82553078773643)</f>
        <v>92.82553079</v>
      </c>
      <c r="L8" s="22">
        <f>IFERROR(__xludf.DUMMYFUNCTION("""COMPUTED_VALUE"""),0.4068182172536742)</f>
        <v>0.4068182173</v>
      </c>
      <c r="M8" s="25">
        <f>IFERROR(__xludf.DUMMYFUNCTION("""COMPUTED_VALUE"""),0.34)</f>
        <v>0.34</v>
      </c>
      <c r="N8" s="23">
        <f>IFERROR(__xludf.DUMMYFUNCTION("""COMPUTED_VALUE"""),0.42679127725856697)</f>
        <v>0.4267912773</v>
      </c>
      <c r="O8" s="26">
        <f>IFERROR(__xludf.DUMMYFUNCTION("""COMPUTED_VALUE"""),8.679127725856695)</f>
        <v>8.679127726</v>
      </c>
      <c r="P8" s="19">
        <f>IFERROR(__xludf.DUMMYFUNCTION("""COMPUTED_VALUE"""),75.15496579678938)</f>
        <v>75.1549658</v>
      </c>
      <c r="Q8" s="20">
        <f>IFERROR(__xludf.DUMMYFUNCTION("""COMPUTED_VALUE"""),137.0)</f>
        <v>137</v>
      </c>
      <c r="R8" s="21">
        <f>IFERROR(__xludf.DUMMYFUNCTION("""COMPUTED_VALUE"""),61.845034203210616)</f>
        <v>61.8450342</v>
      </c>
      <c r="S8" s="27">
        <f>IFERROR(__xludf.DUMMYFUNCTION("""COMPUTED_VALUE"""),0.8229001709671809)</f>
        <v>0.822900171</v>
      </c>
      <c r="T8" s="23">
        <f>IFERROR(__xludf.DUMMYFUNCTION("""COMPUTED_VALUE"""),0.16)</f>
        <v>0.16</v>
      </c>
      <c r="U8" s="23">
        <f>IFERROR(__xludf.DUMMYFUNCTION("""COMPUTED_VALUE"""),0.20437956204379562)</f>
        <v>0.204379562</v>
      </c>
      <c r="V8" s="24">
        <f>IFERROR(__xludf.DUMMYFUNCTION("""COMPUTED_VALUE"""),4.437956204379562)</f>
        <v>4.437956204</v>
      </c>
      <c r="W8" s="19">
        <f>IFERROR(__xludf.DUMMYFUNCTION("""COMPUTED_VALUE"""),12.024794527486302)</f>
        <v>12.02479453</v>
      </c>
      <c r="X8" s="20">
        <f>IFERROR(__xludf.DUMMYFUNCTION("""COMPUTED_VALUE"""),28.0)</f>
        <v>28</v>
      </c>
      <c r="Y8" s="21">
        <f>IFERROR(__xludf.DUMMYFUNCTION("""COMPUTED_VALUE"""),15.975205472513698)</f>
        <v>15.97520547</v>
      </c>
      <c r="Z8" s="28">
        <f>IFERROR(__xludf.DUMMYFUNCTION("""COMPUTED_VALUE"""),1.3285221161989536)</f>
        <v>1.328522116</v>
      </c>
      <c r="AA8" s="19">
        <f>IFERROR(__xludf.DUMMYFUNCTION("""COMPUTED_VALUE"""),26500.0)</f>
        <v>26500</v>
      </c>
      <c r="AB8" s="20">
        <f>IFERROR(__xludf.DUMMYFUNCTION("""COMPUTED_VALUE"""),27139.428571428572)</f>
        <v>27139.42857</v>
      </c>
      <c r="AC8" s="21">
        <f>IFERROR(__xludf.DUMMYFUNCTION("""COMPUTED_VALUE"""),639.4285714285725)</f>
        <v>639.4285714</v>
      </c>
      <c r="AD8" s="28">
        <f>IFERROR(__xludf.DUMMYFUNCTION("""COMPUTED_VALUE"""),0.024129380053908394)</f>
        <v>0.02412938005</v>
      </c>
      <c r="AE8" s="19">
        <f>IFERROR(__xludf.DUMMYFUNCTION("""COMPUTED_VALUE"""),296436.03634456074)</f>
        <v>296436.0363</v>
      </c>
      <c r="AF8" s="20">
        <f>IFERROR(__xludf.DUMMYFUNCTION("""COMPUTED_VALUE"""),759904.0)</f>
        <v>759904</v>
      </c>
      <c r="AG8" s="21">
        <f>IFERROR(__xludf.DUMMYFUNCTION("""COMPUTED_VALUE"""),463467.96365543926)</f>
        <v>463467.9637</v>
      </c>
      <c r="AH8" s="29">
        <f>IFERROR(__xludf.DUMMYFUNCTION("""COMPUTED_VALUE"""),1.5634670108621003)</f>
        <v>1.563467011</v>
      </c>
      <c r="AI8" s="30">
        <f>IFERROR(__xludf.DUMMYFUNCTION("""COMPUTED_VALUE"""),133817.28518360085)</f>
        <v>133817.2852</v>
      </c>
      <c r="AJ8" s="30">
        <f>IFERROR(__xludf.DUMMYFUNCTION("""COMPUTED_VALUE"""),297150.3999999999)</f>
        <v>297150.4</v>
      </c>
      <c r="AK8" s="4">
        <f>IFERROR(__xludf.DUMMYFUNCTION("""COMPUTED_VALUE"""),4240.0)</f>
        <v>4240</v>
      </c>
      <c r="AL8" s="31">
        <f>IFERROR(__xludf.DUMMYFUNCTION("""COMPUTED_VALUE"""),5546.744525547445)</f>
        <v>5546.744526</v>
      </c>
      <c r="AM8" s="30">
        <f t="shared" si="1"/>
        <v>1306.744526</v>
      </c>
      <c r="AN8" s="32">
        <f t="shared" si="2"/>
        <v>0.3081944636</v>
      </c>
      <c r="AO8" s="12">
        <f t="shared" si="3"/>
        <v>118126.4</v>
      </c>
      <c r="AP8" s="12">
        <f t="shared" si="4"/>
        <v>179024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Outros - Não Orgânico")</f>
        <v>Form G4 Outros - Não Orgânico</v>
      </c>
      <c r="B9" s="19">
        <f>IFERROR(__xludf.DUMMYFUNCTION("""COMPUTED_VALUE"""),126.1935483870967)</f>
        <v>126.1935484</v>
      </c>
      <c r="C9" s="20">
        <f>IFERROR(__xludf.DUMMYFUNCTION("""COMPUTED_VALUE"""),92.0)</f>
        <v>92</v>
      </c>
      <c r="D9" s="21">
        <f>IFERROR(__xludf.DUMMYFUNCTION("""COMPUTED_VALUE"""),-34.1935483870967)</f>
        <v>-34.19354839</v>
      </c>
      <c r="E9" s="22">
        <f>IFERROR(__xludf.DUMMYFUNCTION("""COMPUTED_VALUE"""),-0.2709611451942736)</f>
        <v>-0.2709611452</v>
      </c>
      <c r="F9" s="23">
        <f>IFERROR(__xludf.DUMMYFUNCTION("""COMPUTED_VALUE"""),0.8547633194692018)</f>
        <v>0.8547633195</v>
      </c>
      <c r="G9" s="23">
        <f>IFERROR(__xludf.DUMMYFUNCTION("""COMPUTED_VALUE"""),0.8152173913043478)</f>
        <v>0.8152173913</v>
      </c>
      <c r="H9" s="24">
        <f>IFERROR(__xludf.DUMMYFUNCTION("""COMPUTED_VALUE"""),-3.9545928164854027)</f>
        <v>-3.954592816</v>
      </c>
      <c r="I9" s="19">
        <f>IFERROR(__xludf.DUMMYFUNCTION("""COMPUTED_VALUE"""),107.86561631495212)</f>
        <v>107.8656163</v>
      </c>
      <c r="J9" s="20">
        <f>IFERROR(__xludf.DUMMYFUNCTION("""COMPUTED_VALUE"""),75.0)</f>
        <v>75</v>
      </c>
      <c r="K9" s="21">
        <f>IFERROR(__xludf.DUMMYFUNCTION("""COMPUTED_VALUE"""),-32.86561631495212)</f>
        <v>-32.86561631</v>
      </c>
      <c r="L9" s="22">
        <f>IFERROR(__xludf.DUMMYFUNCTION("""COMPUTED_VALUE"""),-0.3046903864062598)</f>
        <v>-0.3046903864</v>
      </c>
      <c r="M9" s="25">
        <f>IFERROR(__xludf.DUMMYFUNCTION("""COMPUTED_VALUE"""),0.33)</f>
        <v>0.33</v>
      </c>
      <c r="N9" s="23">
        <f>IFERROR(__xludf.DUMMYFUNCTION("""COMPUTED_VALUE"""),0.29333333333333333)</f>
        <v>0.2933333333</v>
      </c>
      <c r="O9" s="26">
        <f>IFERROR(__xludf.DUMMYFUNCTION("""COMPUTED_VALUE"""),-3.666666666666668)</f>
        <v>-3.666666667</v>
      </c>
      <c r="P9" s="19">
        <f>IFERROR(__xludf.DUMMYFUNCTION("""COMPUTED_VALUE"""),34.483289215686284)</f>
        <v>34.48328922</v>
      </c>
      <c r="Q9" s="20">
        <f>IFERROR(__xludf.DUMMYFUNCTION("""COMPUTED_VALUE"""),22.0)</f>
        <v>22</v>
      </c>
      <c r="R9" s="21">
        <f>IFERROR(__xludf.DUMMYFUNCTION("""COMPUTED_VALUE"""),-12.483289215686284)</f>
        <v>-12.48328922</v>
      </c>
      <c r="S9" s="27">
        <f>IFERROR(__xludf.DUMMYFUNCTION("""COMPUTED_VALUE"""),-0.3620098169175722)</f>
        <v>-0.3620098169</v>
      </c>
      <c r="T9" s="23">
        <f>IFERROR(__xludf.DUMMYFUNCTION("""COMPUTED_VALUE"""),0.25)</f>
        <v>0.25</v>
      </c>
      <c r="U9" s="23">
        <f>IFERROR(__xludf.DUMMYFUNCTION("""COMPUTED_VALUE"""),0.0)</f>
        <v>0</v>
      </c>
      <c r="V9" s="24">
        <f>IFERROR(__xludf.DUMMYFUNCTION("""COMPUTED_VALUE"""),-25.0)</f>
        <v>-25</v>
      </c>
      <c r="W9" s="19">
        <f>IFERROR(__xludf.DUMMYFUNCTION("""COMPUTED_VALUE"""),8.620822303921571)</f>
        <v>8.620822304</v>
      </c>
      <c r="X9" s="20">
        <f>IFERROR(__xludf.DUMMYFUNCTION("""COMPUTED_VALUE"""),0.0)</f>
        <v>0</v>
      </c>
      <c r="Y9" s="21">
        <f>IFERROR(__xludf.DUMMYFUNCTION("""COMPUTED_VALUE"""),-8.620822303921571)</f>
        <v>-8.620822304</v>
      </c>
      <c r="Z9" s="28">
        <f>IFERROR(__xludf.DUMMYFUNCTION("""COMPUTED_VALUE"""),-1.0)</f>
        <v>-1</v>
      </c>
      <c r="AA9" s="19">
        <f>IFERROR(__xludf.DUMMYFUNCTION("""COMPUTED_VALUE"""),26000.0)</f>
        <v>26000</v>
      </c>
      <c r="AB9" s="20">
        <f>IFERROR(__xludf.DUMMYFUNCTION("""COMPUTED_VALUE"""),0.0)</f>
        <v>0</v>
      </c>
      <c r="AC9" s="21">
        <f>IFERROR(__xludf.DUMMYFUNCTION("""COMPUTED_VALUE"""),-26000.0)</f>
        <v>-26000</v>
      </c>
      <c r="AD9" s="28">
        <f>IFERROR(__xludf.DUMMYFUNCTION("""COMPUTED_VALUE"""),-1.0)</f>
        <v>-1</v>
      </c>
      <c r="AE9" s="19">
        <f>IFERROR(__xludf.DUMMYFUNCTION("""COMPUTED_VALUE"""),208511.25434346407)</f>
        <v>208511.2543</v>
      </c>
      <c r="AF9" s="20">
        <f>IFERROR(__xludf.DUMMYFUNCTION("""COMPUTED_VALUE"""),0.0)</f>
        <v>0</v>
      </c>
      <c r="AG9" s="21">
        <f>IFERROR(__xludf.DUMMYFUNCTION("""COMPUTED_VALUE"""),-208511.25434346407)</f>
        <v>-208511.2543</v>
      </c>
      <c r="AH9" s="29">
        <f>IFERROR(__xludf.DUMMYFUNCTION("""COMPUTED_VALUE"""),-1.0)</f>
        <v>-1</v>
      </c>
      <c r="AI9" s="30">
        <f>IFERROR(__xludf.DUMMYFUNCTION("""COMPUTED_VALUE"""),-70496.74699557229)</f>
        <v>-70496.747</v>
      </c>
      <c r="AJ9" s="30">
        <f>IFERROR(__xludf.DUMMYFUNCTION("""COMPUTED_VALUE"""),-160875.0)</f>
        <v>-160875</v>
      </c>
      <c r="AK9" s="4">
        <f>IFERROR(__xludf.DUMMYFUNCTION("""COMPUTED_VALUE"""),6500.0)</f>
        <v>6500</v>
      </c>
      <c r="AL9" s="31">
        <f>IFERROR(__xludf.DUMMYFUNCTION("""COMPUTED_VALUE"""),0.0)</f>
        <v>0</v>
      </c>
      <c r="AM9" s="30">
        <f t="shared" si="1"/>
        <v>-6500</v>
      </c>
      <c r="AN9" s="32">
        <f t="shared" si="2"/>
        <v>-1</v>
      </c>
      <c r="AO9" s="12">
        <f t="shared" si="3"/>
        <v>-17875</v>
      </c>
      <c r="AP9" s="12">
        <f t="shared" si="4"/>
        <v>-143000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IFERROR(__xludf.DUMMYFUNCTION("""COMPUTED_VALUE"""),"Form G4 Google")</f>
        <v>Form G4 Google</v>
      </c>
      <c r="B10" s="19">
        <f>IFERROR(__xludf.DUMMYFUNCTION("""COMPUTED_VALUE"""),112.25806451612897)</f>
        <v>112.2580645</v>
      </c>
      <c r="C10" s="20">
        <f>IFERROR(__xludf.DUMMYFUNCTION("""COMPUTED_VALUE"""),236.0)</f>
        <v>236</v>
      </c>
      <c r="D10" s="21">
        <f>IFERROR(__xludf.DUMMYFUNCTION("""COMPUTED_VALUE"""),123.74193548387103)</f>
        <v>123.7419355</v>
      </c>
      <c r="E10" s="22">
        <f>IFERROR(__xludf.DUMMYFUNCTION("""COMPUTED_VALUE"""),1.1022988505747138)</f>
        <v>1.102298851</v>
      </c>
      <c r="F10" s="23">
        <f>IFERROR(__xludf.DUMMYFUNCTION("""COMPUTED_VALUE"""),0.5893855762154737)</f>
        <v>0.5893855762</v>
      </c>
      <c r="G10" s="23">
        <f>IFERROR(__xludf.DUMMYFUNCTION("""COMPUTED_VALUE"""),0.7923728813559322)</f>
        <v>0.7923728814</v>
      </c>
      <c r="H10" s="24">
        <f>IFERROR(__xludf.DUMMYFUNCTION("""COMPUTED_VALUE"""),20.29873051404585)</f>
        <v>20.29873051</v>
      </c>
      <c r="I10" s="19">
        <f>IFERROR(__xludf.DUMMYFUNCTION("""COMPUTED_VALUE"""),66.16328403967249)</f>
        <v>66.16328404</v>
      </c>
      <c r="J10" s="20">
        <f>IFERROR(__xludf.DUMMYFUNCTION("""COMPUTED_VALUE"""),187.0)</f>
        <v>187</v>
      </c>
      <c r="K10" s="21">
        <f>IFERROR(__xludf.DUMMYFUNCTION("""COMPUTED_VALUE"""),120.83671596032751)</f>
        <v>120.836716</v>
      </c>
      <c r="L10" s="22">
        <f>IFERROR(__xludf.DUMMYFUNCTION("""COMPUTED_VALUE"""),1.8263409640892676)</f>
        <v>1.826340964</v>
      </c>
      <c r="M10" s="25">
        <f>IFERROR(__xludf.DUMMYFUNCTION("""COMPUTED_VALUE"""),0.37)</f>
        <v>0.37</v>
      </c>
      <c r="N10" s="23">
        <f>IFERROR(__xludf.DUMMYFUNCTION("""COMPUTED_VALUE"""),0.42245989304812837)</f>
        <v>0.422459893</v>
      </c>
      <c r="O10" s="26">
        <f>IFERROR(__xludf.DUMMYFUNCTION("""COMPUTED_VALUE"""),5.245989304812837)</f>
        <v>5.245989305</v>
      </c>
      <c r="P10" s="19">
        <f>IFERROR(__xludf.DUMMYFUNCTION("""COMPUTED_VALUE"""),23.715402122970126)</f>
        <v>23.71540212</v>
      </c>
      <c r="Q10" s="20">
        <f>IFERROR(__xludf.DUMMYFUNCTION("""COMPUTED_VALUE"""),79.0)</f>
        <v>79</v>
      </c>
      <c r="R10" s="21">
        <f>IFERROR(__xludf.DUMMYFUNCTION("""COMPUTED_VALUE"""),55.284597877029874)</f>
        <v>55.28459788</v>
      </c>
      <c r="S10" s="27">
        <f>IFERROR(__xludf.DUMMYFUNCTION("""COMPUTED_VALUE"""),2.331168478205252)</f>
        <v>2.331168478</v>
      </c>
      <c r="T10" s="23">
        <f>IFERROR(__xludf.DUMMYFUNCTION("""COMPUTED_VALUE"""),0.23)</f>
        <v>0.23</v>
      </c>
      <c r="U10" s="23">
        <f>IFERROR(__xludf.DUMMYFUNCTION("""COMPUTED_VALUE"""),0.24050632911392406)</f>
        <v>0.2405063291</v>
      </c>
      <c r="V10" s="24">
        <f>IFERROR(__xludf.DUMMYFUNCTION("""COMPUTED_VALUE"""),1.0506329113924044)</f>
        <v>1.050632911</v>
      </c>
      <c r="W10" s="19">
        <f>IFERROR(__xludf.DUMMYFUNCTION("""COMPUTED_VALUE"""),5.4545424882831295)</f>
        <v>5.454542488</v>
      </c>
      <c r="X10" s="20">
        <f>IFERROR(__xludf.DUMMYFUNCTION("""COMPUTED_VALUE"""),19.0)</f>
        <v>19</v>
      </c>
      <c r="Y10" s="21">
        <f>IFERROR(__xludf.DUMMYFUNCTION("""COMPUTED_VALUE"""),13.54545751171687)</f>
        <v>13.54545751</v>
      </c>
      <c r="Z10" s="28">
        <f>IFERROR(__xludf.DUMMYFUNCTION("""COMPUTED_VALUE"""),2.4833352276224425)</f>
        <v>2.483335228</v>
      </c>
      <c r="AA10" s="19">
        <f>IFERROR(__xludf.DUMMYFUNCTION("""COMPUTED_VALUE"""),24000.0)</f>
        <v>24000</v>
      </c>
      <c r="AB10" s="20">
        <f>IFERROR(__xludf.DUMMYFUNCTION("""COMPUTED_VALUE"""),38522.89473684211)</f>
        <v>38522.89474</v>
      </c>
      <c r="AC10" s="21">
        <f>IFERROR(__xludf.DUMMYFUNCTION("""COMPUTED_VALUE"""),14522.894736842107)</f>
        <v>14522.89474</v>
      </c>
      <c r="AD10" s="28">
        <f>IFERROR(__xludf.DUMMYFUNCTION("""COMPUTED_VALUE"""),0.6051206140350878)</f>
        <v>0.605120614</v>
      </c>
      <c r="AE10" s="19">
        <f>IFERROR(__xludf.DUMMYFUNCTION("""COMPUTED_VALUE"""),121780.29741040444)</f>
        <v>121780.2974</v>
      </c>
      <c r="AF10" s="20">
        <f>IFERROR(__xludf.DUMMYFUNCTION("""COMPUTED_VALUE"""),731935.0)</f>
        <v>731935</v>
      </c>
      <c r="AG10" s="21">
        <f>IFERROR(__xludf.DUMMYFUNCTION("""COMPUTED_VALUE"""),610154.7025895956)</f>
        <v>610154.7026</v>
      </c>
      <c r="AH10" s="29">
        <f>IFERROR(__xludf.DUMMYFUNCTION("""COMPUTED_VALUE"""),5.010290790581254)</f>
        <v>5.010290791</v>
      </c>
      <c r="AI10" s="30">
        <f>IFERROR(__xludf.DUMMYFUNCTION("""COMPUTED_VALUE"""),246796.90867737288)</f>
        <v>246796.9087</v>
      </c>
      <c r="AJ10" s="30">
        <f>IFERROR(__xludf.DUMMYFUNCTION("""COMPUTED_VALUE"""),350006.2)</f>
        <v>350006.2</v>
      </c>
      <c r="AK10" s="4">
        <f>IFERROR(__xludf.DUMMYFUNCTION("""COMPUTED_VALUE"""),5520.0)</f>
        <v>5520</v>
      </c>
      <c r="AL10" s="31">
        <f>IFERROR(__xludf.DUMMYFUNCTION("""COMPUTED_VALUE"""),9265.0)</f>
        <v>9265</v>
      </c>
      <c r="AM10" s="30">
        <f t="shared" si="1"/>
        <v>3745</v>
      </c>
      <c r="AN10" s="32">
        <f t="shared" si="2"/>
        <v>0.678442029</v>
      </c>
      <c r="AO10" s="12">
        <f t="shared" si="3"/>
        <v>54151.2</v>
      </c>
      <c r="AP10" s="12">
        <f t="shared" si="4"/>
        <v>295855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IFERROR(__xludf.DUMMYFUNCTION("""COMPUTED_VALUE"""),"[IM] Link de Indicação")</f>
        <v>[IM] Link de Indicação</v>
      </c>
      <c r="B11" s="19">
        <f>IFERROR(__xludf.DUMMYFUNCTION("""COMPUTED_VALUE"""),87.48387096774188)</f>
        <v>87.48387097</v>
      </c>
      <c r="C11" s="20">
        <f>IFERROR(__xludf.DUMMYFUNCTION("""COMPUTED_VALUE"""),97.0)</f>
        <v>97</v>
      </c>
      <c r="D11" s="21">
        <f>IFERROR(__xludf.DUMMYFUNCTION("""COMPUTED_VALUE"""),9.516129032258121)</f>
        <v>9.516129032</v>
      </c>
      <c r="E11" s="22">
        <f>IFERROR(__xludf.DUMMYFUNCTION("""COMPUTED_VALUE"""),0.10877581120944024)</f>
        <v>0.1087758112</v>
      </c>
      <c r="F11" s="23">
        <f>IFERROR(__xludf.DUMMYFUNCTION("""COMPUTED_VALUE"""),0.7720883770996892)</f>
        <v>0.7720883771</v>
      </c>
      <c r="G11" s="23">
        <f>IFERROR(__xludf.DUMMYFUNCTION("""COMPUTED_VALUE"""),0.8865979381443299)</f>
        <v>0.8865979381</v>
      </c>
      <c r="H11" s="24">
        <f>IFERROR(__xludf.DUMMYFUNCTION("""COMPUTED_VALUE"""),11.45095610446406)</f>
        <v>11.4509561</v>
      </c>
      <c r="I11" s="19">
        <f>IFERROR(__xludf.DUMMYFUNCTION("""COMPUTED_VALUE"""),67.54527995788246)</f>
        <v>67.54527996</v>
      </c>
      <c r="J11" s="20">
        <f>IFERROR(__xludf.DUMMYFUNCTION("""COMPUTED_VALUE"""),86.0)</f>
        <v>86</v>
      </c>
      <c r="K11" s="21">
        <f>IFERROR(__xludf.DUMMYFUNCTION("""COMPUTED_VALUE"""),18.454720042117543)</f>
        <v>18.45472004</v>
      </c>
      <c r="L11" s="22">
        <f>IFERROR(__xludf.DUMMYFUNCTION("""COMPUTED_VALUE"""),0.27321998004338566)</f>
        <v>0.27321998</v>
      </c>
      <c r="M11" s="25">
        <f>IFERROR(__xludf.DUMMYFUNCTION("""COMPUTED_VALUE"""),0.285)</f>
        <v>0.285</v>
      </c>
      <c r="N11" s="23">
        <f>IFERROR(__xludf.DUMMYFUNCTION("""COMPUTED_VALUE"""),0.13953488372093023)</f>
        <v>0.1395348837</v>
      </c>
      <c r="O11" s="26">
        <f>IFERROR(__xludf.DUMMYFUNCTION("""COMPUTED_VALUE"""),-14.546511627906975)</f>
        <v>-14.54651163</v>
      </c>
      <c r="P11" s="19">
        <f>IFERROR(__xludf.DUMMYFUNCTION("""COMPUTED_VALUE"""),18.648829638371623)</f>
        <v>18.64882964</v>
      </c>
      <c r="Q11" s="20">
        <f>IFERROR(__xludf.DUMMYFUNCTION("""COMPUTED_VALUE"""),12.0)</f>
        <v>12</v>
      </c>
      <c r="R11" s="21">
        <f>IFERROR(__xludf.DUMMYFUNCTION("""COMPUTED_VALUE"""),-6.648829638371623)</f>
        <v>-6.648829638</v>
      </c>
      <c r="S11" s="27">
        <f>IFERROR(__xludf.DUMMYFUNCTION("""COMPUTED_VALUE"""),-0.35652798418465176)</f>
        <v>-0.3565279842</v>
      </c>
      <c r="T11" s="23">
        <f>IFERROR(__xludf.DUMMYFUNCTION("""COMPUTED_VALUE"""),0.23)</f>
        <v>0.23</v>
      </c>
      <c r="U11" s="23">
        <f>IFERROR(__xludf.DUMMYFUNCTION("""COMPUTED_VALUE"""),0.3333333333333333)</f>
        <v>0.3333333333</v>
      </c>
      <c r="V11" s="24">
        <f>IFERROR(__xludf.DUMMYFUNCTION("""COMPUTED_VALUE"""),10.33333333333333)</f>
        <v>10.33333333</v>
      </c>
      <c r="W11" s="19">
        <f>IFERROR(__xludf.DUMMYFUNCTION("""COMPUTED_VALUE"""),4.289230816825473)</f>
        <v>4.289230817</v>
      </c>
      <c r="X11" s="20">
        <f>IFERROR(__xludf.DUMMYFUNCTION("""COMPUTED_VALUE"""),4.0)</f>
        <v>4</v>
      </c>
      <c r="Y11" s="21">
        <f>IFERROR(__xludf.DUMMYFUNCTION("""COMPUTED_VALUE"""),-0.2892308168254729)</f>
        <v>-0.2892308168</v>
      </c>
      <c r="Z11" s="28">
        <f>IFERROR(__xludf.DUMMYFUNCTION("""COMPUTED_VALUE"""),-0.06743186113717638)</f>
        <v>-0.06743186114</v>
      </c>
      <c r="AA11" s="19">
        <f>IFERROR(__xludf.DUMMYFUNCTION("""COMPUTED_VALUE"""),24000.0)</f>
        <v>24000</v>
      </c>
      <c r="AB11" s="20">
        <f>IFERROR(__xludf.DUMMYFUNCTION("""COMPUTED_VALUE"""),21373.75)</f>
        <v>21373.75</v>
      </c>
      <c r="AC11" s="21">
        <f>IFERROR(__xludf.DUMMYFUNCTION("""COMPUTED_VALUE"""),-2626.25)</f>
        <v>-2626.25</v>
      </c>
      <c r="AD11" s="28">
        <f>IFERROR(__xludf.DUMMYFUNCTION("""COMPUTED_VALUE"""),-0.10942708333333333)</f>
        <v>-0.1094270833</v>
      </c>
      <c r="AE11" s="19">
        <f>IFERROR(__xludf.DUMMYFUNCTION("""COMPUTED_VALUE"""),95763.08290877224)</f>
        <v>95763.08291</v>
      </c>
      <c r="AF11" s="20">
        <f>IFERROR(__xludf.DUMMYFUNCTION("""COMPUTED_VALUE"""),85495.0)</f>
        <v>85495</v>
      </c>
      <c r="AG11" s="21">
        <f>IFERROR(__xludf.DUMMYFUNCTION("""COMPUTED_VALUE"""),-10268.082908772238)</f>
        <v>-10268.08291</v>
      </c>
      <c r="AH11" s="29">
        <f>IFERROR(__xludf.DUMMYFUNCTION("""COMPUTED_VALUE"""),-0.10722381315307096)</f>
        <v>-0.1072238132</v>
      </c>
      <c r="AI11" s="30">
        <f>IFERROR(__xludf.DUMMYFUNCTION("""COMPUTED_VALUE"""),29032.965570259323)</f>
        <v>29032.96557</v>
      </c>
      <c r="AJ11" s="30">
        <f>IFERROR(__xludf.DUMMYFUNCTION("""COMPUTED_VALUE"""),-49800.200000000026)</f>
        <v>-49800.2</v>
      </c>
      <c r="AK11" s="4">
        <f>IFERROR(__xludf.DUMMYFUNCTION("""COMPUTED_VALUE"""),5520.000000000001)</f>
        <v>5520</v>
      </c>
      <c r="AL11" s="31">
        <f>IFERROR(__xludf.DUMMYFUNCTION("""COMPUTED_VALUE"""),7124.583333333333)</f>
        <v>7124.583333</v>
      </c>
      <c r="AM11" s="30">
        <f t="shared" si="1"/>
        <v>1604.583333</v>
      </c>
      <c r="AN11" s="32">
        <f t="shared" si="2"/>
        <v>0.2906853865</v>
      </c>
      <c r="AO11" s="12">
        <f t="shared" si="3"/>
        <v>-69055.2</v>
      </c>
      <c r="AP11" s="12">
        <f t="shared" si="4"/>
        <v>19255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IFERROR(__xludf.DUMMYFUNCTION("""COMPUTED_VALUE"""),"[CM] Form G4 - Instagram")</f>
        <v>[CM] Form G4 - Instagram</v>
      </c>
      <c r="B12" s="19">
        <f>IFERROR(__xludf.DUMMYFUNCTION("""COMPUTED_VALUE"""),61.78064516129028)</f>
        <v>61.78064516</v>
      </c>
      <c r="C12" s="20">
        <f>IFERROR(__xludf.DUMMYFUNCTION("""COMPUTED_VALUE"""),75.0)</f>
        <v>75</v>
      </c>
      <c r="D12" s="21">
        <f>IFERROR(__xludf.DUMMYFUNCTION("""COMPUTED_VALUE"""),13.21935483870972)</f>
        <v>13.21935484</v>
      </c>
      <c r="E12" s="22">
        <f>IFERROR(__xludf.DUMMYFUNCTION("""COMPUTED_VALUE"""),0.21397243107769506)</f>
        <v>0.2139724311</v>
      </c>
      <c r="F12" s="23">
        <f>IFERROR(__xludf.DUMMYFUNCTION("""COMPUTED_VALUE"""),0.7)</f>
        <v>0.7</v>
      </c>
      <c r="G12" s="23">
        <f>IFERROR(__xludf.DUMMYFUNCTION("""COMPUTED_VALUE"""),0.7466666666666667)</f>
        <v>0.7466666667</v>
      </c>
      <c r="H12" s="24">
        <f>IFERROR(__xludf.DUMMYFUNCTION("""COMPUTED_VALUE"""),4.666666666666675)</f>
        <v>4.666666667</v>
      </c>
      <c r="I12" s="19">
        <f>IFERROR(__xludf.DUMMYFUNCTION("""COMPUTED_VALUE"""),43.24645161290319)</f>
        <v>43.24645161</v>
      </c>
      <c r="J12" s="20">
        <f>IFERROR(__xludf.DUMMYFUNCTION("""COMPUTED_VALUE"""),56.0)</f>
        <v>56</v>
      </c>
      <c r="K12" s="21">
        <f>IFERROR(__xludf.DUMMYFUNCTION("""COMPUTED_VALUE"""),12.753548387096806)</f>
        <v>12.75354839</v>
      </c>
      <c r="L12" s="22">
        <f>IFERROR(__xludf.DUMMYFUNCTION("""COMPUTED_VALUE"""),0.29490392648287483)</f>
        <v>0.2949039265</v>
      </c>
      <c r="M12" s="25">
        <f>IFERROR(__xludf.DUMMYFUNCTION("""COMPUTED_VALUE"""),0.28)</f>
        <v>0.28</v>
      </c>
      <c r="N12" s="23">
        <f>IFERROR(__xludf.DUMMYFUNCTION("""COMPUTED_VALUE"""),0.17857142857142858)</f>
        <v>0.1785714286</v>
      </c>
      <c r="O12" s="26">
        <f>IFERROR(__xludf.DUMMYFUNCTION("""COMPUTED_VALUE"""),-10.142857142857146)</f>
        <v>-10.14285714</v>
      </c>
      <c r="P12" s="19">
        <f>IFERROR(__xludf.DUMMYFUNCTION("""COMPUTED_VALUE"""),11.7306)</f>
        <v>11.7306</v>
      </c>
      <c r="Q12" s="20">
        <f>IFERROR(__xludf.DUMMYFUNCTION("""COMPUTED_VALUE"""),10.0)</f>
        <v>10</v>
      </c>
      <c r="R12" s="21">
        <f>IFERROR(__xludf.DUMMYFUNCTION("""COMPUTED_VALUE"""),-1.7306000000000008)</f>
        <v>-1.7306</v>
      </c>
      <c r="S12" s="27">
        <f>IFERROR(__xludf.DUMMYFUNCTION("""COMPUTED_VALUE"""),-0.1475286856597276)</f>
        <v>-0.1475286857</v>
      </c>
      <c r="T12" s="23">
        <f>IFERROR(__xludf.DUMMYFUNCTION("""COMPUTED_VALUE"""),0.21)</f>
        <v>0.21</v>
      </c>
      <c r="U12" s="23">
        <f>IFERROR(__xludf.DUMMYFUNCTION("""COMPUTED_VALUE"""),0.0)</f>
        <v>0</v>
      </c>
      <c r="V12" s="24">
        <f>IFERROR(__xludf.DUMMYFUNCTION("""COMPUTED_VALUE"""),-21.0)</f>
        <v>-21</v>
      </c>
      <c r="W12" s="19">
        <f>IFERROR(__xludf.DUMMYFUNCTION("""COMPUTED_VALUE"""),2.463426)</f>
        <v>2.463426</v>
      </c>
      <c r="X12" s="20">
        <f>IFERROR(__xludf.DUMMYFUNCTION("""COMPUTED_VALUE"""),0.0)</f>
        <v>0</v>
      </c>
      <c r="Y12" s="21">
        <f>IFERROR(__xludf.DUMMYFUNCTION("""COMPUTED_VALUE"""),-2.463426)</f>
        <v>-2.463426</v>
      </c>
      <c r="Z12" s="28">
        <f>IFERROR(__xludf.DUMMYFUNCTION("""COMPUTED_VALUE"""),-1.0)</f>
        <v>-1</v>
      </c>
      <c r="AA12" s="19">
        <f>IFERROR(__xludf.DUMMYFUNCTION("""COMPUTED_VALUE"""),40000.0)</f>
        <v>40000</v>
      </c>
      <c r="AB12" s="20">
        <f>IFERROR(__xludf.DUMMYFUNCTION("""COMPUTED_VALUE"""),0.0)</f>
        <v>0</v>
      </c>
      <c r="AC12" s="21">
        <f>IFERROR(__xludf.DUMMYFUNCTION("""COMPUTED_VALUE"""),-40000.0)</f>
        <v>-40000</v>
      </c>
      <c r="AD12" s="28">
        <f>IFERROR(__xludf.DUMMYFUNCTION("""COMPUTED_VALUE"""),-1.0)</f>
        <v>-1</v>
      </c>
      <c r="AE12" s="19">
        <f>IFERROR(__xludf.DUMMYFUNCTION("""COMPUTED_VALUE"""),91665.723744)</f>
        <v>91665.72374</v>
      </c>
      <c r="AF12" s="20">
        <f>IFERROR(__xludf.DUMMYFUNCTION("""COMPUTED_VALUE"""),0.0)</f>
        <v>0</v>
      </c>
      <c r="AG12" s="21">
        <f>IFERROR(__xludf.DUMMYFUNCTION("""COMPUTED_VALUE"""),-91665.723744)</f>
        <v>-91665.72374</v>
      </c>
      <c r="AH12" s="29">
        <f>IFERROR(__xludf.DUMMYFUNCTION("""COMPUTED_VALUE"""),-1.0)</f>
        <v>-1</v>
      </c>
      <c r="AI12" s="30">
        <f>IFERROR(__xludf.DUMMYFUNCTION("""COMPUTED_VALUE"""),29996.345806451696)</f>
        <v>29996.34581</v>
      </c>
      <c r="AJ12" s="30">
        <f>IFERROR(__xludf.DUMMYFUNCTION("""COMPUTED_VALUE"""),-131712.00000000003)</f>
        <v>-131712</v>
      </c>
      <c r="AK12" s="4">
        <f>IFERROR(__xludf.DUMMYFUNCTION("""COMPUTED_VALUE"""),8400.0)</f>
        <v>8400</v>
      </c>
      <c r="AL12" s="31">
        <f>IFERROR(__xludf.DUMMYFUNCTION("""COMPUTED_VALUE"""),0.0)</f>
        <v>0</v>
      </c>
      <c r="AM12" s="30">
        <f t="shared" si="1"/>
        <v>-8400</v>
      </c>
      <c r="AN12" s="32">
        <f t="shared" si="2"/>
        <v>-1</v>
      </c>
      <c r="AO12" s="12">
        <f t="shared" si="3"/>
        <v>-47712</v>
      </c>
      <c r="AP12" s="12">
        <f t="shared" si="4"/>
        <v>-84000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Facebook")</f>
        <v>Form G4 Facebook</v>
      </c>
      <c r="B13" s="19">
        <f>IFERROR(__xludf.DUMMYFUNCTION("""COMPUTED_VALUE"""),139.35483870967732)</f>
        <v>139.3548387</v>
      </c>
      <c r="C13" s="20">
        <f>IFERROR(__xludf.DUMMYFUNCTION("""COMPUTED_VALUE"""),183.0)</f>
        <v>183</v>
      </c>
      <c r="D13" s="21">
        <f>IFERROR(__xludf.DUMMYFUNCTION("""COMPUTED_VALUE"""),43.645161290322676)</f>
        <v>43.64516129</v>
      </c>
      <c r="E13" s="22">
        <f>IFERROR(__xludf.DUMMYFUNCTION("""COMPUTED_VALUE"""),0.31319444444444533)</f>
        <v>0.3131944444</v>
      </c>
      <c r="F13" s="23">
        <f>IFERROR(__xludf.DUMMYFUNCTION("""COMPUTED_VALUE"""),0.7488125590778879)</f>
        <v>0.7488125591</v>
      </c>
      <c r="G13" s="23">
        <f>IFERROR(__xludf.DUMMYFUNCTION("""COMPUTED_VALUE"""),0.6557377049180327)</f>
        <v>0.6557377049</v>
      </c>
      <c r="H13" s="24">
        <f>IFERROR(__xludf.DUMMYFUNCTION("""COMPUTED_VALUE"""),-9.307485415985518)</f>
        <v>-9.307485416</v>
      </c>
      <c r="I13" s="19">
        <f>IFERROR(__xludf.DUMMYFUNCTION("""COMPUTED_VALUE"""),104.35065339407979)</f>
        <v>104.3506534</v>
      </c>
      <c r="J13" s="20">
        <f>IFERROR(__xludf.DUMMYFUNCTION("""COMPUTED_VALUE"""),120.0)</f>
        <v>120</v>
      </c>
      <c r="K13" s="21">
        <f>IFERROR(__xludf.DUMMYFUNCTION("""COMPUTED_VALUE"""),15.649346605920215)</f>
        <v>15.64934661</v>
      </c>
      <c r="L13" s="22">
        <f>IFERROR(__xludf.DUMMYFUNCTION("""COMPUTED_VALUE"""),0.14996884156365103)</f>
        <v>0.1499688416</v>
      </c>
      <c r="M13" s="25">
        <f>IFERROR(__xludf.DUMMYFUNCTION("""COMPUTED_VALUE"""),0.27)</f>
        <v>0.27</v>
      </c>
      <c r="N13" s="23">
        <f>IFERROR(__xludf.DUMMYFUNCTION("""COMPUTED_VALUE"""),0.25833333333333336)</f>
        <v>0.2583333333</v>
      </c>
      <c r="O13" s="26">
        <f>IFERROR(__xludf.DUMMYFUNCTION("""COMPUTED_VALUE"""),-1.1666666666666659)</f>
        <v>-1.166666667</v>
      </c>
      <c r="P13" s="19">
        <f>IFERROR(__xludf.DUMMYFUNCTION("""COMPUTED_VALUE"""),27.29421777838902)</f>
        <v>27.29421778</v>
      </c>
      <c r="Q13" s="20">
        <f>IFERROR(__xludf.DUMMYFUNCTION("""COMPUTED_VALUE"""),31.0)</f>
        <v>31</v>
      </c>
      <c r="R13" s="21">
        <f>IFERROR(__xludf.DUMMYFUNCTION("""COMPUTED_VALUE"""),3.7057822216109813)</f>
        <v>3.705782222</v>
      </c>
      <c r="S13" s="27">
        <f>IFERROR(__xludf.DUMMYFUNCTION("""COMPUTED_VALUE"""),0.13577169537150616)</f>
        <v>0.1357716954</v>
      </c>
      <c r="T13" s="23">
        <f>IFERROR(__xludf.DUMMYFUNCTION("""COMPUTED_VALUE"""),0.14)</f>
        <v>0.14</v>
      </c>
      <c r="U13" s="23">
        <f>IFERROR(__xludf.DUMMYFUNCTION("""COMPUTED_VALUE"""),0.0967741935483871)</f>
        <v>0.09677419355</v>
      </c>
      <c r="V13" s="24">
        <f>IFERROR(__xludf.DUMMYFUNCTION("""COMPUTED_VALUE"""),-4.322580645161292)</f>
        <v>-4.322580645</v>
      </c>
      <c r="W13" s="19">
        <f>IFERROR(__xludf.DUMMYFUNCTION("""COMPUTED_VALUE"""),3.821190488974463)</f>
        <v>3.821190489</v>
      </c>
      <c r="X13" s="20">
        <f>IFERROR(__xludf.DUMMYFUNCTION("""COMPUTED_VALUE"""),3.0)</f>
        <v>3</v>
      </c>
      <c r="Y13" s="21">
        <f>IFERROR(__xludf.DUMMYFUNCTION("""COMPUTED_VALUE"""),-0.8211904889744628)</f>
        <v>-0.821190489</v>
      </c>
      <c r="Z13" s="28">
        <f>IFERROR(__xludf.DUMMYFUNCTION("""COMPUTED_VALUE"""),-0.21490435803812943)</f>
        <v>-0.214904358</v>
      </c>
      <c r="AA13" s="19">
        <f>IFERROR(__xludf.DUMMYFUNCTION("""COMPUTED_VALUE"""),23000.0)</f>
        <v>23000</v>
      </c>
      <c r="AB13" s="20">
        <f>IFERROR(__xludf.DUMMYFUNCTION("""COMPUTED_VALUE"""),22812.0)</f>
        <v>22812</v>
      </c>
      <c r="AC13" s="21">
        <f>IFERROR(__xludf.DUMMYFUNCTION("""COMPUTED_VALUE"""),-188.0)</f>
        <v>-188</v>
      </c>
      <c r="AD13" s="28">
        <f>IFERROR(__xludf.DUMMYFUNCTION("""COMPUTED_VALUE"""),-0.00817391304347826)</f>
        <v>-0.008173913043</v>
      </c>
      <c r="AE13" s="19">
        <f>IFERROR(__xludf.DUMMYFUNCTION("""COMPUTED_VALUE"""),81758.70119416279)</f>
        <v>81758.70119</v>
      </c>
      <c r="AF13" s="20">
        <f>IFERROR(__xludf.DUMMYFUNCTION("""COMPUTED_VALUE"""),68436.0)</f>
        <v>68436</v>
      </c>
      <c r="AG13" s="21">
        <f>IFERROR(__xludf.DUMMYFUNCTION("""COMPUTED_VALUE"""),-13322.701194162786)</f>
        <v>-13322.70119</v>
      </c>
      <c r="AH13" s="29">
        <f>IFERROR(__xludf.DUMMYFUNCTION("""COMPUTED_VALUE"""),-0.16295147794145692)</f>
        <v>-0.1629514779</v>
      </c>
      <c r="AI13" s="30">
        <f>IFERROR(__xludf.DUMMYFUNCTION("""COMPUTED_VALUE"""),13605.541939187038)</f>
        <v>13605.54194</v>
      </c>
      <c r="AJ13" s="30">
        <f>IFERROR(__xludf.DUMMYFUNCTION("""COMPUTED_VALUE"""),-35892.00000000003)</f>
        <v>-35892</v>
      </c>
      <c r="AK13" s="4">
        <f>IFERROR(__xludf.DUMMYFUNCTION("""COMPUTED_VALUE"""),3220.0)</f>
        <v>3220</v>
      </c>
      <c r="AL13" s="31">
        <f>IFERROR(__xludf.DUMMYFUNCTION("""COMPUTED_VALUE"""),2207.6129032258063)</f>
        <v>2207.612903</v>
      </c>
      <c r="AM13" s="30">
        <f t="shared" si="1"/>
        <v>-1012.387097</v>
      </c>
      <c r="AN13" s="32">
        <f t="shared" si="2"/>
        <v>-0.3144059307</v>
      </c>
      <c r="AO13" s="12">
        <f t="shared" si="3"/>
        <v>-4508</v>
      </c>
      <c r="AP13" s="12">
        <f t="shared" si="4"/>
        <v>-31384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IFERROR(__xludf.DUMMYFUNCTION("""COMPUTED_VALUE"""),"[CM] Form G4 - Outros")</f>
        <v>[CM] Form G4 - Outros</v>
      </c>
      <c r="B14" s="19">
        <f>IFERROR(__xludf.DUMMYFUNCTION("""COMPUTED_VALUE"""),41.18709677419353)</f>
        <v>41.18709677</v>
      </c>
      <c r="C14" s="20">
        <f>IFERROR(__xludf.DUMMYFUNCTION("""COMPUTED_VALUE"""),58.0)</f>
        <v>58</v>
      </c>
      <c r="D14" s="21">
        <f>IFERROR(__xludf.DUMMYFUNCTION("""COMPUTED_VALUE"""),16.812903225806473)</f>
        <v>16.81290323</v>
      </c>
      <c r="E14" s="22">
        <f>IFERROR(__xludf.DUMMYFUNCTION("""COMPUTED_VALUE"""),0.408208020050126)</f>
        <v>0.4082080201</v>
      </c>
      <c r="F14" s="23">
        <f>IFERROR(__xludf.DUMMYFUNCTION("""COMPUTED_VALUE"""),0.7)</f>
        <v>0.7</v>
      </c>
      <c r="G14" s="23">
        <f>IFERROR(__xludf.DUMMYFUNCTION("""COMPUTED_VALUE"""),0.5517241379310345)</f>
        <v>0.5517241379</v>
      </c>
      <c r="H14" s="24">
        <f>IFERROR(__xludf.DUMMYFUNCTION("""COMPUTED_VALUE"""),-14.827586206896548)</f>
        <v>-14.82758621</v>
      </c>
      <c r="I14" s="19">
        <f>IFERROR(__xludf.DUMMYFUNCTION("""COMPUTED_VALUE"""),28.830967741935467)</f>
        <v>28.83096774</v>
      </c>
      <c r="J14" s="20">
        <f>IFERROR(__xludf.DUMMYFUNCTION("""COMPUTED_VALUE"""),32.0)</f>
        <v>32</v>
      </c>
      <c r="K14" s="21">
        <f>IFERROR(__xludf.DUMMYFUNCTION("""COMPUTED_VALUE"""),3.169032258064533)</f>
        <v>3.169032258</v>
      </c>
      <c r="L14" s="22">
        <f>IFERROR(__xludf.DUMMYFUNCTION("""COMPUTED_VALUE"""),0.10991765127103538)</f>
        <v>0.1099176513</v>
      </c>
      <c r="M14" s="25">
        <f>IFERROR(__xludf.DUMMYFUNCTION("""COMPUTED_VALUE"""),0.28)</f>
        <v>0.28</v>
      </c>
      <c r="N14" s="23">
        <f>IFERROR(__xludf.DUMMYFUNCTION("""COMPUTED_VALUE"""),0.375)</f>
        <v>0.375</v>
      </c>
      <c r="O14" s="26">
        <f>IFERROR(__xludf.DUMMYFUNCTION("""COMPUTED_VALUE"""),9.499999999999996)</f>
        <v>9.5</v>
      </c>
      <c r="P14" s="19">
        <f>IFERROR(__xludf.DUMMYFUNCTION("""COMPUTED_VALUE"""),7.820400000000002)</f>
        <v>7.8204</v>
      </c>
      <c r="Q14" s="20">
        <f>IFERROR(__xludf.DUMMYFUNCTION("""COMPUTED_VALUE"""),12.0)</f>
        <v>12</v>
      </c>
      <c r="R14" s="21">
        <f>IFERROR(__xludf.DUMMYFUNCTION("""COMPUTED_VALUE"""),4.179599999999998)</f>
        <v>4.1796</v>
      </c>
      <c r="S14" s="27">
        <f>IFERROR(__xludf.DUMMYFUNCTION("""COMPUTED_VALUE"""),0.53444836581249)</f>
        <v>0.5344483658</v>
      </c>
      <c r="T14" s="23">
        <f>IFERROR(__xludf.DUMMYFUNCTION("""COMPUTED_VALUE"""),0.21)</f>
        <v>0.21</v>
      </c>
      <c r="U14" s="23">
        <f>IFERROR(__xludf.DUMMYFUNCTION("""COMPUTED_VALUE"""),0.25)</f>
        <v>0.25</v>
      </c>
      <c r="V14" s="24">
        <f>IFERROR(__xludf.DUMMYFUNCTION("""COMPUTED_VALUE"""),4.000000000000001)</f>
        <v>4</v>
      </c>
      <c r="W14" s="19">
        <f>IFERROR(__xludf.DUMMYFUNCTION("""COMPUTED_VALUE"""),1.6422840000000003)</f>
        <v>1.642284</v>
      </c>
      <c r="X14" s="20">
        <f>IFERROR(__xludf.DUMMYFUNCTION("""COMPUTED_VALUE"""),3.0)</f>
        <v>3</v>
      </c>
      <c r="Y14" s="21">
        <f>IFERROR(__xludf.DUMMYFUNCTION("""COMPUTED_VALUE"""),1.3577159999999997)</f>
        <v>1.357716</v>
      </c>
      <c r="Z14" s="28">
        <f>IFERROR(__xludf.DUMMYFUNCTION("""COMPUTED_VALUE"""),0.8267242450148692)</f>
        <v>0.826724245</v>
      </c>
      <c r="AA14" s="19">
        <f>IFERROR(__xludf.DUMMYFUNCTION("""COMPUTED_VALUE"""),40000.0)</f>
        <v>40000</v>
      </c>
      <c r="AB14" s="20">
        <f>IFERROR(__xludf.DUMMYFUNCTION("""COMPUTED_VALUE"""),46266.666666666664)</f>
        <v>46266.66667</v>
      </c>
      <c r="AC14" s="21">
        <f>IFERROR(__xludf.DUMMYFUNCTION("""COMPUTED_VALUE"""),6266.666666666664)</f>
        <v>6266.666667</v>
      </c>
      <c r="AD14" s="28">
        <f>IFERROR(__xludf.DUMMYFUNCTION("""COMPUTED_VALUE"""),0.1566666666666666)</f>
        <v>0.1566666667</v>
      </c>
      <c r="AE14" s="19">
        <f>IFERROR(__xludf.DUMMYFUNCTION("""COMPUTED_VALUE"""),61110.482496000004)</f>
        <v>61110.4825</v>
      </c>
      <c r="AF14" s="20">
        <f>IFERROR(__xludf.DUMMYFUNCTION("""COMPUTED_VALUE"""),138800.0)</f>
        <v>138800</v>
      </c>
      <c r="AG14" s="21">
        <f>IFERROR(__xludf.DUMMYFUNCTION("""COMPUTED_VALUE"""),77689.51750399999)</f>
        <v>77689.5175</v>
      </c>
      <c r="AH14" s="29">
        <f>IFERROR(__xludf.DUMMYFUNCTION("""COMPUTED_VALUE"""),1.2712960907989095)</f>
        <v>1.271296091</v>
      </c>
      <c r="AI14" s="30">
        <f>IFERROR(__xludf.DUMMYFUNCTION("""COMPUTED_VALUE"""),7453.563870967781)</f>
        <v>7453.563871</v>
      </c>
      <c r="AJ14" s="30">
        <f>IFERROR(__xludf.DUMMYFUNCTION("""COMPUTED_VALUE"""),63536.0)</f>
        <v>63536</v>
      </c>
      <c r="AK14" s="4">
        <f>IFERROR(__xludf.DUMMYFUNCTION("""COMPUTED_VALUE"""),8400.0)</f>
        <v>8400</v>
      </c>
      <c r="AL14" s="31">
        <f>IFERROR(__xludf.DUMMYFUNCTION("""COMPUTED_VALUE"""),11566.666666666666)</f>
        <v>11566.66667</v>
      </c>
      <c r="AM14" s="30">
        <f t="shared" si="1"/>
        <v>3166.666667</v>
      </c>
      <c r="AN14" s="32">
        <f t="shared" si="2"/>
        <v>0.376984127</v>
      </c>
      <c r="AO14" s="12">
        <f t="shared" si="3"/>
        <v>25536</v>
      </c>
      <c r="AP14" s="12">
        <f t="shared" si="4"/>
        <v>38000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IFERROR(__xludf.DUMMYFUNCTION("""COMPUTED_VALUE"""),"Aplicativo G4 - Indicação")</f>
        <v>Aplicativo G4 - Indicação</v>
      </c>
      <c r="B15" s="19">
        <f>IFERROR(__xludf.DUMMYFUNCTION("""COMPUTED_VALUE"""),125.41935483870961)</f>
        <v>125.4193548</v>
      </c>
      <c r="C15" s="20">
        <f>IFERROR(__xludf.DUMMYFUNCTION("""COMPUTED_VALUE"""),326.0)</f>
        <v>326</v>
      </c>
      <c r="D15" s="21">
        <f>IFERROR(__xludf.DUMMYFUNCTION("""COMPUTED_VALUE"""),200.5806451612904)</f>
        <v>200.5806452</v>
      </c>
      <c r="E15" s="22">
        <f>IFERROR(__xludf.DUMMYFUNCTION("""COMPUTED_VALUE"""),1.5992798353909479)</f>
        <v>1.599279835</v>
      </c>
      <c r="F15" s="23">
        <f>IFERROR(__xludf.DUMMYFUNCTION("""COMPUTED_VALUE"""),0.6697217630478434)</f>
        <v>0.669721763</v>
      </c>
      <c r="G15" s="23">
        <f>IFERROR(__xludf.DUMMYFUNCTION("""COMPUTED_VALUE"""),0.941717791411043)</f>
        <v>0.9417177914</v>
      </c>
      <c r="H15" s="24">
        <f>IFERROR(__xludf.DUMMYFUNCTION("""COMPUTED_VALUE"""),27.199602836319958)</f>
        <v>27.19960284</v>
      </c>
      <c r="I15" s="19">
        <f>IFERROR(__xludf.DUMMYFUNCTION("""COMPUTED_VALUE"""),83.99607144290366)</f>
        <v>83.99607144</v>
      </c>
      <c r="J15" s="20">
        <f>IFERROR(__xludf.DUMMYFUNCTION("""COMPUTED_VALUE"""),307.0)</f>
        <v>307</v>
      </c>
      <c r="K15" s="21">
        <f>IFERROR(__xludf.DUMMYFUNCTION("""COMPUTED_VALUE"""),223.00392855709634)</f>
        <v>223.0039286</v>
      </c>
      <c r="L15" s="22">
        <f>IFERROR(__xludf.DUMMYFUNCTION("""COMPUTED_VALUE"""),2.6549328406231867)</f>
        <v>2.654932841</v>
      </c>
      <c r="M15" s="25">
        <f>IFERROR(__xludf.DUMMYFUNCTION("""COMPUTED_VALUE"""),0.21)</f>
        <v>0.21</v>
      </c>
      <c r="N15" s="23">
        <f>IFERROR(__xludf.DUMMYFUNCTION("""COMPUTED_VALUE"""),0.04234527687296417)</f>
        <v>0.04234527687</v>
      </c>
      <c r="O15" s="26">
        <f>IFERROR(__xludf.DUMMYFUNCTION("""COMPUTED_VALUE"""),-16.765472312703583)</f>
        <v>-16.76547231</v>
      </c>
      <c r="P15" s="19">
        <f>IFERROR(__xludf.DUMMYFUNCTION("""COMPUTED_VALUE"""),17.087950784165724)</f>
        <v>17.08795078</v>
      </c>
      <c r="Q15" s="20">
        <f>IFERROR(__xludf.DUMMYFUNCTION("""COMPUTED_VALUE"""),13.0)</f>
        <v>13</v>
      </c>
      <c r="R15" s="21">
        <f>IFERROR(__xludf.DUMMYFUNCTION("""COMPUTED_VALUE"""),-4.087950784165724)</f>
        <v>-4.087950784</v>
      </c>
      <c r="S15" s="27">
        <f>IFERROR(__xludf.DUMMYFUNCTION("""COMPUTED_VALUE"""),-0.23923001861368642)</f>
        <v>-0.2392300186</v>
      </c>
      <c r="T15" s="23">
        <f>IFERROR(__xludf.DUMMYFUNCTION("""COMPUTED_VALUE"""),0.13)</f>
        <v>0.13</v>
      </c>
      <c r="U15" s="23">
        <f>IFERROR(__xludf.DUMMYFUNCTION("""COMPUTED_VALUE"""),0.07692307692307693)</f>
        <v>0.07692307692</v>
      </c>
      <c r="V15" s="24">
        <f>IFERROR(__xludf.DUMMYFUNCTION("""COMPUTED_VALUE"""),-5.3076923076923075)</f>
        <v>-5.307692308</v>
      </c>
      <c r="W15" s="19">
        <f>IFERROR(__xludf.DUMMYFUNCTION("""COMPUTED_VALUE"""),2.2214336019415444)</f>
        <v>2.221433602</v>
      </c>
      <c r="X15" s="20">
        <f>IFERROR(__xludf.DUMMYFUNCTION("""COMPUTED_VALUE"""),1.0)</f>
        <v>1</v>
      </c>
      <c r="Y15" s="21">
        <f>IFERROR(__xludf.DUMMYFUNCTION("""COMPUTED_VALUE"""),-1.2214336019415444)</f>
        <v>-1.221433602</v>
      </c>
      <c r="Z15" s="28">
        <f>IFERROR(__xludf.DUMMYFUNCTION("""COMPUTED_VALUE"""),-0.5498402477004062)</f>
        <v>-0.5498402477</v>
      </c>
      <c r="AA15" s="19">
        <f>IFERROR(__xludf.DUMMYFUNCTION("""COMPUTED_VALUE"""),29000.0)</f>
        <v>29000</v>
      </c>
      <c r="AB15" s="20">
        <f>IFERROR(__xludf.DUMMYFUNCTION("""COMPUTED_VALUE"""),11223.0)</f>
        <v>11223</v>
      </c>
      <c r="AC15" s="21">
        <f>IFERROR(__xludf.DUMMYFUNCTION("""COMPUTED_VALUE"""),-17777.0)</f>
        <v>-17777</v>
      </c>
      <c r="AD15" s="28">
        <f>IFERROR(__xludf.DUMMYFUNCTION("""COMPUTED_VALUE"""),-0.613)</f>
        <v>-0.613</v>
      </c>
      <c r="AE15" s="19">
        <f>IFERROR(__xludf.DUMMYFUNCTION("""COMPUTED_VALUE"""),59929.24333088512)</f>
        <v>59929.24333</v>
      </c>
      <c r="AF15" s="20">
        <f>IFERROR(__xludf.DUMMYFUNCTION("""COMPUTED_VALUE"""),11223.0)</f>
        <v>11223</v>
      </c>
      <c r="AG15" s="21">
        <f>IFERROR(__xludf.DUMMYFUNCTION("""COMPUTED_VALUE"""),-48706.24333088512)</f>
        <v>-48706.24333</v>
      </c>
      <c r="AH15" s="29">
        <f>IFERROR(__xludf.DUMMYFUNCTION("""COMPUTED_VALUE"""),-0.8127291556471877)</f>
        <v>-0.8127291556</v>
      </c>
      <c r="AI15" s="30">
        <f>IFERROR(__xludf.DUMMYFUNCTION("""COMPUTED_VALUE"""),176552.21023865315)</f>
        <v>176552.2102</v>
      </c>
      <c r="AJ15" s="30">
        <f>IFERROR(__xludf.DUMMYFUNCTION("""COMPUTED_VALUE"""),-231828.89999999997)</f>
        <v>-231828.9</v>
      </c>
      <c r="AK15" s="4">
        <f>IFERROR(__xludf.DUMMYFUNCTION("""COMPUTED_VALUE"""),3770.0)</f>
        <v>3770</v>
      </c>
      <c r="AL15" s="31">
        <f>IFERROR(__xludf.DUMMYFUNCTION("""COMPUTED_VALUE"""),863.3076923076923)</f>
        <v>863.3076923</v>
      </c>
      <c r="AM15" s="30">
        <f t="shared" si="1"/>
        <v>-2906.692308</v>
      </c>
      <c r="AN15" s="32">
        <f t="shared" si="2"/>
        <v>-0.7710059172</v>
      </c>
      <c r="AO15" s="12">
        <f t="shared" si="3"/>
        <v>-194041.9</v>
      </c>
      <c r="AP15" s="12">
        <f t="shared" si="4"/>
        <v>-37787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IFERROR(__xludf.DUMMYFUNCTION("""COMPUTED_VALUE"""),"[SKL] CRM - WhatsApp")</f>
        <v>[SKL] CRM - WhatsApp</v>
      </c>
      <c r="B16" s="19"/>
      <c r="C16" s="20">
        <f>IFERROR(__xludf.DUMMYFUNCTION("""COMPUTED_VALUE"""),0.0)</f>
        <v>0</v>
      </c>
      <c r="D16" s="21">
        <f>IFERROR(__xludf.DUMMYFUNCTION("""COMPUTED_VALUE"""),0.0)</f>
        <v>0</v>
      </c>
      <c r="E16" s="22" t="str">
        <f>IFERROR(__xludf.DUMMYFUNCTION("""COMPUTED_VALUE"""),"")</f>
        <v/>
      </c>
      <c r="F16" s="23"/>
      <c r="G16" s="23" t="str">
        <f>IFERROR(__xludf.DUMMYFUNCTION("""COMPUTED_VALUE"""),"")</f>
        <v/>
      </c>
      <c r="H16" s="24" t="str">
        <f>IFERROR(__xludf.DUMMYFUNCTION("""COMPUTED_VALUE"""),"")</f>
        <v/>
      </c>
      <c r="I16" s="19"/>
      <c r="J16" s="20">
        <f>IFERROR(__xludf.DUMMYFUNCTION("""COMPUTED_VALUE"""),0.0)</f>
        <v>0</v>
      </c>
      <c r="K16" s="21">
        <f>IFERROR(__xludf.DUMMYFUNCTION("""COMPUTED_VALUE"""),0.0)</f>
        <v>0</v>
      </c>
      <c r="L16" s="22" t="str">
        <f>IFERROR(__xludf.DUMMYFUNCTION("""COMPUTED_VALUE"""),"")</f>
        <v/>
      </c>
      <c r="M16" s="25"/>
      <c r="N16" s="23" t="str">
        <f>IFERROR(__xludf.DUMMYFUNCTION("""COMPUTED_VALUE"""),"")</f>
        <v/>
      </c>
      <c r="O16" s="26" t="str">
        <f>IFERROR(__xludf.DUMMYFUNCTION("""COMPUTED_VALUE"""),"")</f>
        <v/>
      </c>
      <c r="P16" s="19"/>
      <c r="Q16" s="20">
        <f>IFERROR(__xludf.DUMMYFUNCTION("""COMPUTED_VALUE"""),1.0)</f>
        <v>1</v>
      </c>
      <c r="R16" s="21">
        <f>IFERROR(__xludf.DUMMYFUNCTION("""COMPUTED_VALUE"""),1.0)</f>
        <v>1</v>
      </c>
      <c r="S16" s="27" t="str">
        <f>IFERROR(__xludf.DUMMYFUNCTION("""COMPUTED_VALUE"""),"")</f>
        <v/>
      </c>
      <c r="T16" s="23"/>
      <c r="U16" s="23">
        <f>IFERROR(__xludf.DUMMYFUNCTION("""COMPUTED_VALUE"""),1.0)</f>
        <v>1</v>
      </c>
      <c r="V16" s="24" t="str">
        <f>IFERROR(__xludf.DUMMYFUNCTION("""COMPUTED_VALUE"""),"")</f>
        <v/>
      </c>
      <c r="W16" s="19"/>
      <c r="X16" s="20">
        <f>IFERROR(__xludf.DUMMYFUNCTION("""COMPUTED_VALUE"""),1.0)</f>
        <v>1</v>
      </c>
      <c r="Y16" s="21">
        <f>IFERROR(__xludf.DUMMYFUNCTION("""COMPUTED_VALUE"""),1.0)</f>
        <v>1</v>
      </c>
      <c r="Z16" s="28" t="str">
        <f>IFERROR(__xludf.DUMMYFUNCTION("""COMPUTED_VALUE"""),"")</f>
        <v/>
      </c>
      <c r="AA16" s="19"/>
      <c r="AB16" s="20">
        <f>IFERROR(__xludf.DUMMYFUNCTION("""COMPUTED_VALUE"""),14900.0)</f>
        <v>14900</v>
      </c>
      <c r="AC16" s="21">
        <f>IFERROR(__xludf.DUMMYFUNCTION("""COMPUTED_VALUE"""),14900.0)</f>
        <v>14900</v>
      </c>
      <c r="AD16" s="28" t="str">
        <f>IFERROR(__xludf.DUMMYFUNCTION("""COMPUTED_VALUE"""),"")</f>
        <v/>
      </c>
      <c r="AE16" s="19"/>
      <c r="AF16" s="20">
        <f>IFERROR(__xludf.DUMMYFUNCTION("""COMPUTED_VALUE"""),14900.0)</f>
        <v>14900</v>
      </c>
      <c r="AG16" s="21">
        <f>IFERROR(__xludf.DUMMYFUNCTION("""COMPUTED_VALUE"""),14900.0)</f>
        <v>14900</v>
      </c>
      <c r="AH16" s="29" t="str">
        <f>IFERROR(__xludf.DUMMYFUNCTION("""COMPUTED_VALUE"""),"")</f>
        <v/>
      </c>
      <c r="AI16" s="30">
        <f>IFERROR(__xludf.DUMMYFUNCTION("""COMPUTED_VALUE"""),0.0)</f>
        <v>0</v>
      </c>
      <c r="AJ16" s="30">
        <f>IFERROR(__xludf.DUMMYFUNCTION("""COMPUTED_VALUE"""),0.0)</f>
        <v>0</v>
      </c>
      <c r="AK16" s="4"/>
      <c r="AL16" s="31">
        <f>IFERROR(__xludf.DUMMYFUNCTION("""COMPUTED_VALUE"""),14900.0)</f>
        <v>14900</v>
      </c>
      <c r="AM16" s="30">
        <f t="shared" si="1"/>
        <v>14900</v>
      </c>
      <c r="AN16" s="32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G4 - K Instagram")</f>
        <v>Form G4 - K Instagram</v>
      </c>
      <c r="B17" s="19"/>
      <c r="C17" s="20">
        <f>IFERROR(__xludf.DUMMYFUNCTION("""COMPUTED_VALUE"""),0.0)</f>
        <v>0</v>
      </c>
      <c r="D17" s="21">
        <f>IFERROR(__xludf.DUMMYFUNCTION("""COMPUTED_VALUE"""),0.0)</f>
        <v>0</v>
      </c>
      <c r="E17" s="22" t="str">
        <f>IFERROR(__xludf.DUMMYFUNCTION("""COMPUTED_VALUE"""),"")</f>
        <v/>
      </c>
      <c r="F17" s="23"/>
      <c r="G17" s="23" t="str">
        <f>IFERROR(__xludf.DUMMYFUNCTION("""COMPUTED_VALUE"""),"")</f>
        <v/>
      </c>
      <c r="H17" s="24" t="str">
        <f>IFERROR(__xludf.DUMMYFUNCTION("""COMPUTED_VALUE"""),"")</f>
        <v/>
      </c>
      <c r="I17" s="19"/>
      <c r="J17" s="20">
        <f>IFERROR(__xludf.DUMMYFUNCTION("""COMPUTED_VALUE"""),0.0)</f>
        <v>0</v>
      </c>
      <c r="K17" s="21">
        <f>IFERROR(__xludf.DUMMYFUNCTION("""COMPUTED_VALUE"""),0.0)</f>
        <v>0</v>
      </c>
      <c r="L17" s="22" t="str">
        <f>IFERROR(__xludf.DUMMYFUNCTION("""COMPUTED_VALUE"""),"")</f>
        <v/>
      </c>
      <c r="M17" s="25"/>
      <c r="N17" s="23" t="str">
        <f>IFERROR(__xludf.DUMMYFUNCTION("""COMPUTED_VALUE"""),"")</f>
        <v/>
      </c>
      <c r="O17" s="26" t="str">
        <f>IFERROR(__xludf.DUMMYFUNCTION("""COMPUTED_VALUE"""),"")</f>
        <v/>
      </c>
      <c r="P17" s="19"/>
      <c r="Q17" s="20">
        <f>IFERROR(__xludf.DUMMYFUNCTION("""COMPUTED_VALUE"""),0.0)</f>
        <v>0</v>
      </c>
      <c r="R17" s="21">
        <f>IFERROR(__xludf.DUMMYFUNCTION("""COMPUTED_VALUE"""),0.0)</f>
        <v>0</v>
      </c>
      <c r="S17" s="27" t="str">
        <f>IFERROR(__xludf.DUMMYFUNCTION("""COMPUTED_VALUE"""),"")</f>
        <v/>
      </c>
      <c r="T17" s="23"/>
      <c r="U17" s="23" t="str">
        <f>IFERROR(__xludf.DUMMYFUNCTION("""COMPUTED_VALUE"""),"")</f>
        <v/>
      </c>
      <c r="V17" s="24" t="str">
        <f>IFERROR(__xludf.DUMMYFUNCTION("""COMPUTED_VALUE"""),"")</f>
        <v/>
      </c>
      <c r="W17" s="19"/>
      <c r="X17" s="20">
        <f>IFERROR(__xludf.DUMMYFUNCTION("""COMPUTED_VALUE"""),1.0)</f>
        <v>1</v>
      </c>
      <c r="Y17" s="21">
        <f>IFERROR(__xludf.DUMMYFUNCTION("""COMPUTED_VALUE"""),1.0)</f>
        <v>1</v>
      </c>
      <c r="Z17" s="28" t="str">
        <f>IFERROR(__xludf.DUMMYFUNCTION("""COMPUTED_VALUE"""),"")</f>
        <v/>
      </c>
      <c r="AA17" s="19"/>
      <c r="AB17" s="20">
        <f>IFERROR(__xludf.DUMMYFUNCTION("""COMPUTED_VALUE"""),14900.0)</f>
        <v>14900</v>
      </c>
      <c r="AC17" s="21">
        <f>IFERROR(__xludf.DUMMYFUNCTION("""COMPUTED_VALUE"""),14900.0)</f>
        <v>14900</v>
      </c>
      <c r="AD17" s="28" t="str">
        <f>IFERROR(__xludf.DUMMYFUNCTION("""COMPUTED_VALUE"""),"")</f>
        <v/>
      </c>
      <c r="AE17" s="19"/>
      <c r="AF17" s="20">
        <f>IFERROR(__xludf.DUMMYFUNCTION("""COMPUTED_VALUE"""),14900.0)</f>
        <v>14900</v>
      </c>
      <c r="AG17" s="21">
        <f>IFERROR(__xludf.DUMMYFUNCTION("""COMPUTED_VALUE"""),14900.0)</f>
        <v>14900</v>
      </c>
      <c r="AH17" s="29" t="str">
        <f>IFERROR(__xludf.DUMMYFUNCTION("""COMPUTED_VALUE"""),"")</f>
        <v/>
      </c>
      <c r="AI17" s="30">
        <f>IFERROR(__xludf.DUMMYFUNCTION("""COMPUTED_VALUE"""),0.0)</f>
        <v>0</v>
      </c>
      <c r="AJ17" s="30">
        <f>IFERROR(__xludf.DUMMYFUNCTION("""COMPUTED_VALUE"""),0.0)</f>
        <v>0</v>
      </c>
      <c r="AK17" s="4"/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IFERROR(__xludf.DUMMYFUNCTION("""COMPUTED_VALUE"""),"Form G4 Incompleto Instagram")</f>
        <v>Form G4 Incompleto Instagram</v>
      </c>
      <c r="B18" s="19"/>
      <c r="C18" s="20">
        <f>IFERROR(__xludf.DUMMYFUNCTION("""COMPUTED_VALUE"""),0.0)</f>
        <v>0</v>
      </c>
      <c r="D18" s="21">
        <f>IFERROR(__xludf.DUMMYFUNCTION("""COMPUTED_VALUE"""),0.0)</f>
        <v>0</v>
      </c>
      <c r="E18" s="22" t="str">
        <f>IFERROR(__xludf.DUMMYFUNCTION("""COMPUTED_VALUE"""),"")</f>
        <v/>
      </c>
      <c r="F18" s="23"/>
      <c r="G18" s="23" t="str">
        <f>IFERROR(__xludf.DUMMYFUNCTION("""COMPUTED_VALUE"""),"")</f>
        <v/>
      </c>
      <c r="H18" s="24" t="str">
        <f>IFERROR(__xludf.DUMMYFUNCTION("""COMPUTED_VALUE"""),"")</f>
        <v/>
      </c>
      <c r="I18" s="19"/>
      <c r="J18" s="20">
        <f>IFERROR(__xludf.DUMMYFUNCTION("""COMPUTED_VALUE"""),0.0)</f>
        <v>0</v>
      </c>
      <c r="K18" s="21">
        <f>IFERROR(__xludf.DUMMYFUNCTION("""COMPUTED_VALUE"""),0.0)</f>
        <v>0</v>
      </c>
      <c r="L18" s="22" t="str">
        <f>IFERROR(__xludf.DUMMYFUNCTION("""COMPUTED_VALUE"""),"")</f>
        <v/>
      </c>
      <c r="M18" s="25"/>
      <c r="N18" s="23" t="str">
        <f>IFERROR(__xludf.DUMMYFUNCTION("""COMPUTED_VALUE"""),"")</f>
        <v/>
      </c>
      <c r="O18" s="26" t="str">
        <f>IFERROR(__xludf.DUMMYFUNCTION("""COMPUTED_VALUE"""),"")</f>
        <v/>
      </c>
      <c r="P18" s="19"/>
      <c r="Q18" s="20">
        <f>IFERROR(__xludf.DUMMYFUNCTION("""COMPUTED_VALUE"""),1.0)</f>
        <v>1</v>
      </c>
      <c r="R18" s="21">
        <f>IFERROR(__xludf.DUMMYFUNCTION("""COMPUTED_VALUE"""),1.0)</f>
        <v>1</v>
      </c>
      <c r="S18" s="27" t="str">
        <f>IFERROR(__xludf.DUMMYFUNCTION("""COMPUTED_VALUE"""),"")</f>
        <v/>
      </c>
      <c r="T18" s="23"/>
      <c r="U18" s="23">
        <f>IFERROR(__xludf.DUMMYFUNCTION("""COMPUTED_VALUE"""),0.0)</f>
        <v>0</v>
      </c>
      <c r="V18" s="24" t="str">
        <f>IFERROR(__xludf.DUMMYFUNCTION("""COMPUTED_VALUE"""),"")</f>
        <v/>
      </c>
      <c r="W18" s="19"/>
      <c r="X18" s="20">
        <f>IFERROR(__xludf.DUMMYFUNCTION("""COMPUTED_VALUE"""),0.0)</f>
        <v>0</v>
      </c>
      <c r="Y18" s="21">
        <f>IFERROR(__xludf.DUMMYFUNCTION("""COMPUTED_VALUE"""),0.0)</f>
        <v>0</v>
      </c>
      <c r="Z18" s="28" t="str">
        <f>IFERROR(__xludf.DUMMYFUNCTION("""COMPUTED_VALUE"""),"")</f>
        <v/>
      </c>
      <c r="AA18" s="19"/>
      <c r="AB18" s="20">
        <f>IFERROR(__xludf.DUMMYFUNCTION("""COMPUTED_VALUE"""),0.0)</f>
        <v>0</v>
      </c>
      <c r="AC18" s="21">
        <f>IFERROR(__xludf.DUMMYFUNCTION("""COMPUTED_VALUE"""),0.0)</f>
        <v>0</v>
      </c>
      <c r="AD18" s="28" t="str">
        <f>IFERROR(__xludf.DUMMYFUNCTION("""COMPUTED_VALUE"""),"")</f>
        <v/>
      </c>
      <c r="AE18" s="19"/>
      <c r="AF18" s="20">
        <f>IFERROR(__xludf.DUMMYFUNCTION("""COMPUTED_VALUE"""),0.0)</f>
        <v>0</v>
      </c>
      <c r="AG18" s="21">
        <f>IFERROR(__xludf.DUMMYFUNCTION("""COMPUTED_VALUE"""),0.0)</f>
        <v>0</v>
      </c>
      <c r="AH18" s="29" t="str">
        <f>IFERROR(__xludf.DUMMYFUNCTION("""COMPUTED_VALUE"""),"")</f>
        <v/>
      </c>
      <c r="AI18" s="30">
        <f>IFERROR(__xludf.DUMMYFUNCTION("""COMPUTED_VALUE"""),0.0)</f>
        <v>0</v>
      </c>
      <c r="AJ18" s="30">
        <f>IFERROR(__xludf.DUMMYFUNCTION("""COMPUTED_VALUE"""),0.0)</f>
        <v>0</v>
      </c>
      <c r="AK18" s="4"/>
      <c r="AL18" s="4">
        <f>IFERROR(__xludf.DUMMYFUNCTION("""COMPUTED_VALUE"""),0.0)</f>
        <v>0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9"/>
      <c r="C19" s="20"/>
      <c r="D19" s="21"/>
      <c r="E19" s="22"/>
      <c r="F19" s="23"/>
      <c r="G19" s="23"/>
      <c r="H19" s="24"/>
      <c r="I19" s="19"/>
      <c r="J19" s="20"/>
      <c r="K19" s="21"/>
      <c r="L19" s="22"/>
      <c r="M19" s="25"/>
      <c r="N19" s="23"/>
      <c r="O19" s="26"/>
      <c r="P19" s="19"/>
      <c r="Q19" s="20"/>
      <c r="R19" s="21"/>
      <c r="S19" s="27"/>
      <c r="T19" s="23"/>
      <c r="U19" s="23"/>
      <c r="V19" s="24"/>
      <c r="W19" s="19"/>
      <c r="X19" s="20"/>
      <c r="Y19" s="21"/>
      <c r="Z19" s="28"/>
      <c r="AA19" s="19"/>
      <c r="AB19" s="20"/>
      <c r="AC19" s="21"/>
      <c r="AD19" s="28"/>
      <c r="AE19" s="19"/>
      <c r="AF19" s="20"/>
      <c r="AG19" s="21"/>
      <c r="AH19" s="29"/>
      <c r="AI19" s="30"/>
      <c r="AJ19" s="30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9"/>
      <c r="C20" s="20"/>
      <c r="D20" s="21"/>
      <c r="E20" s="22"/>
      <c r="F20" s="23"/>
      <c r="G20" s="23"/>
      <c r="H20" s="24"/>
      <c r="I20" s="19"/>
      <c r="J20" s="20"/>
      <c r="K20" s="21"/>
      <c r="L20" s="22"/>
      <c r="M20" s="25"/>
      <c r="N20" s="23"/>
      <c r="O20" s="26"/>
      <c r="P20" s="19"/>
      <c r="Q20" s="20"/>
      <c r="R20" s="21"/>
      <c r="S20" s="27"/>
      <c r="T20" s="23"/>
      <c r="U20" s="23"/>
      <c r="V20" s="24"/>
      <c r="W20" s="19"/>
      <c r="X20" s="20"/>
      <c r="Y20" s="21"/>
      <c r="Z20" s="28"/>
      <c r="AA20" s="19"/>
      <c r="AB20" s="20"/>
      <c r="AC20" s="21"/>
      <c r="AD20" s="28"/>
      <c r="AE20" s="19"/>
      <c r="AF20" s="20"/>
      <c r="AG20" s="21"/>
      <c r="AH20" s="29"/>
      <c r="AI20" s="30"/>
      <c r="AJ20" s="30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9"/>
      <c r="C21" s="20"/>
      <c r="D21" s="21"/>
      <c r="E21" s="22"/>
      <c r="F21" s="23"/>
      <c r="G21" s="23"/>
      <c r="H21" s="24"/>
      <c r="I21" s="19"/>
      <c r="J21" s="20"/>
      <c r="K21" s="21"/>
      <c r="L21" s="22"/>
      <c r="M21" s="25"/>
      <c r="N21" s="23"/>
      <c r="O21" s="26"/>
      <c r="P21" s="19"/>
      <c r="Q21" s="20"/>
      <c r="R21" s="21"/>
      <c r="S21" s="27"/>
      <c r="T21" s="23"/>
      <c r="U21" s="23"/>
      <c r="V21" s="24"/>
      <c r="W21" s="19"/>
      <c r="X21" s="20"/>
      <c r="Y21" s="21"/>
      <c r="Z21" s="28"/>
      <c r="AA21" s="19"/>
      <c r="AB21" s="20"/>
      <c r="AC21" s="21"/>
      <c r="AD21" s="28"/>
      <c r="AE21" s="19"/>
      <c r="AF21" s="20"/>
      <c r="AG21" s="21"/>
      <c r="AH21" s="29"/>
      <c r="AI21" s="30"/>
      <c r="AJ21" s="30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9"/>
      <c r="C22" s="20"/>
      <c r="D22" s="21"/>
      <c r="E22" s="22"/>
      <c r="F22" s="23"/>
      <c r="G22" s="23"/>
      <c r="H22" s="24"/>
      <c r="I22" s="19"/>
      <c r="J22" s="20"/>
      <c r="K22" s="21"/>
      <c r="L22" s="22"/>
      <c r="M22" s="25"/>
      <c r="N22" s="23"/>
      <c r="O22" s="26"/>
      <c r="P22" s="19"/>
      <c r="Q22" s="20"/>
      <c r="R22" s="21"/>
      <c r="S22" s="27"/>
      <c r="T22" s="23"/>
      <c r="U22" s="23"/>
      <c r="V22" s="24"/>
      <c r="W22" s="19"/>
      <c r="X22" s="20"/>
      <c r="Y22" s="21"/>
      <c r="Z22" s="28"/>
      <c r="AA22" s="19"/>
      <c r="AB22" s="20"/>
      <c r="AC22" s="21"/>
      <c r="AD22" s="28"/>
      <c r="AE22" s="19"/>
      <c r="AF22" s="20"/>
      <c r="AG22" s="21"/>
      <c r="AH22" s="29"/>
      <c r="AI22" s="30"/>
      <c r="AJ22" s="30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9"/>
      <c r="C23" s="20"/>
      <c r="D23" s="21"/>
      <c r="E23" s="22"/>
      <c r="F23" s="23"/>
      <c r="G23" s="23"/>
      <c r="H23" s="24"/>
      <c r="I23" s="19"/>
      <c r="J23" s="20"/>
      <c r="K23" s="21"/>
      <c r="L23" s="22"/>
      <c r="M23" s="25"/>
      <c r="N23" s="23"/>
      <c r="O23" s="26"/>
      <c r="P23" s="19"/>
      <c r="Q23" s="20"/>
      <c r="R23" s="21"/>
      <c r="S23" s="27"/>
      <c r="T23" s="23"/>
      <c r="U23" s="23"/>
      <c r="V23" s="24"/>
      <c r="W23" s="19"/>
      <c r="X23" s="20"/>
      <c r="Y23" s="21"/>
      <c r="Z23" s="28"/>
      <c r="AA23" s="19"/>
      <c r="AB23" s="20"/>
      <c r="AC23" s="21"/>
      <c r="AD23" s="28"/>
      <c r="AE23" s="19"/>
      <c r="AF23" s="20"/>
      <c r="AG23" s="21"/>
      <c r="AH23" s="29"/>
      <c r="AI23" s="30"/>
      <c r="AJ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9"/>
      <c r="C24" s="20"/>
      <c r="D24" s="21"/>
      <c r="E24" s="22"/>
      <c r="F24" s="23"/>
      <c r="G24" s="23"/>
      <c r="H24" s="24"/>
      <c r="I24" s="19"/>
      <c r="J24" s="20"/>
      <c r="K24" s="21"/>
      <c r="L24" s="22"/>
      <c r="M24" s="25"/>
      <c r="N24" s="23"/>
      <c r="O24" s="26"/>
      <c r="P24" s="19"/>
      <c r="Q24" s="20"/>
      <c r="R24" s="21"/>
      <c r="S24" s="27"/>
      <c r="T24" s="23"/>
      <c r="U24" s="23"/>
      <c r="V24" s="24"/>
      <c r="W24" s="19"/>
      <c r="X24" s="20"/>
      <c r="Y24" s="21"/>
      <c r="Z24" s="28"/>
      <c r="AA24" s="19"/>
      <c r="AB24" s="20"/>
      <c r="AC24" s="21"/>
      <c r="AD24" s="28"/>
      <c r="AE24" s="19"/>
      <c r="AF24" s="20"/>
      <c r="AG24" s="21"/>
      <c r="AH24" s="29"/>
      <c r="AI24" s="30"/>
      <c r="AJ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9"/>
      <c r="C25" s="20"/>
      <c r="D25" s="21"/>
      <c r="E25" s="22"/>
      <c r="F25" s="23"/>
      <c r="G25" s="23"/>
      <c r="H25" s="24"/>
      <c r="I25" s="19"/>
      <c r="J25" s="20"/>
      <c r="K25" s="21"/>
      <c r="L25" s="22"/>
      <c r="M25" s="25"/>
      <c r="N25" s="23"/>
      <c r="O25" s="26"/>
      <c r="P25" s="19"/>
      <c r="Q25" s="20"/>
      <c r="R25" s="21"/>
      <c r="S25" s="27"/>
      <c r="T25" s="23"/>
      <c r="U25" s="23"/>
      <c r="V25" s="24"/>
      <c r="W25" s="19"/>
      <c r="X25" s="20"/>
      <c r="Y25" s="21"/>
      <c r="Z25" s="28"/>
      <c r="AA25" s="19"/>
      <c r="AB25" s="20"/>
      <c r="AC25" s="21"/>
      <c r="AD25" s="28"/>
      <c r="AE25" s="19"/>
      <c r="AF25" s="20"/>
      <c r="AG25" s="21"/>
      <c r="AH25" s="29"/>
      <c r="AI25" s="30"/>
      <c r="AJ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9"/>
      <c r="C26" s="20"/>
      <c r="D26" s="21"/>
      <c r="E26" s="22"/>
      <c r="F26" s="23"/>
      <c r="G26" s="23"/>
      <c r="H26" s="24"/>
      <c r="I26" s="19"/>
      <c r="J26" s="20"/>
      <c r="K26" s="21"/>
      <c r="L26" s="22"/>
      <c r="M26" s="25"/>
      <c r="N26" s="23"/>
      <c r="O26" s="26"/>
      <c r="P26" s="19"/>
      <c r="Q26" s="20"/>
      <c r="R26" s="21"/>
      <c r="S26" s="27"/>
      <c r="T26" s="23"/>
      <c r="U26" s="23"/>
      <c r="V26" s="24"/>
      <c r="W26" s="19"/>
      <c r="X26" s="20"/>
      <c r="Y26" s="21"/>
      <c r="Z26" s="28"/>
      <c r="AA26" s="19"/>
      <c r="AB26" s="20"/>
      <c r="AC26" s="21"/>
      <c r="AD26" s="28"/>
      <c r="AE26" s="19"/>
      <c r="AF26" s="20"/>
      <c r="AG26" s="21"/>
      <c r="AH26" s="29"/>
      <c r="AI26" s="30"/>
      <c r="AJ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9"/>
      <c r="C27" s="20"/>
      <c r="D27" s="21"/>
      <c r="E27" s="22"/>
      <c r="F27" s="23"/>
      <c r="G27" s="23"/>
      <c r="H27" s="24"/>
      <c r="I27" s="19"/>
      <c r="J27" s="20"/>
      <c r="K27" s="21"/>
      <c r="L27" s="22"/>
      <c r="M27" s="25"/>
      <c r="N27" s="23"/>
      <c r="O27" s="26"/>
      <c r="P27" s="19"/>
      <c r="Q27" s="20"/>
      <c r="R27" s="21"/>
      <c r="S27" s="27"/>
      <c r="T27" s="23"/>
      <c r="U27" s="23"/>
      <c r="V27" s="24"/>
      <c r="W27" s="19"/>
      <c r="X27" s="20"/>
      <c r="Y27" s="21"/>
      <c r="Z27" s="28"/>
      <c r="AA27" s="19"/>
      <c r="AB27" s="20"/>
      <c r="AC27" s="21"/>
      <c r="AD27" s="28"/>
      <c r="AE27" s="19"/>
      <c r="AF27" s="20"/>
      <c r="AG27" s="21"/>
      <c r="AH27" s="29"/>
      <c r="AI27" s="30"/>
      <c r="AJ27" s="30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9"/>
      <c r="C28" s="20"/>
      <c r="D28" s="21"/>
      <c r="E28" s="22"/>
      <c r="F28" s="23"/>
      <c r="G28" s="23"/>
      <c r="H28" s="24"/>
      <c r="I28" s="19"/>
      <c r="J28" s="20"/>
      <c r="K28" s="21"/>
      <c r="L28" s="22"/>
      <c r="M28" s="25"/>
      <c r="N28" s="23"/>
      <c r="O28" s="26"/>
      <c r="P28" s="19"/>
      <c r="Q28" s="20"/>
      <c r="R28" s="21"/>
      <c r="S28" s="27"/>
      <c r="T28" s="23"/>
      <c r="U28" s="23"/>
      <c r="V28" s="24"/>
      <c r="W28" s="19"/>
      <c r="X28" s="20"/>
      <c r="Y28" s="21"/>
      <c r="Z28" s="28"/>
      <c r="AA28" s="19"/>
      <c r="AB28" s="20"/>
      <c r="AC28" s="21"/>
      <c r="AD28" s="28"/>
      <c r="AE28" s="19"/>
      <c r="AF28" s="20"/>
      <c r="AG28" s="21"/>
      <c r="AH28" s="29"/>
      <c r="AI28" s="30"/>
      <c r="AJ28" s="3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9"/>
      <c r="C29" s="20"/>
      <c r="D29" s="21"/>
      <c r="E29" s="22"/>
      <c r="F29" s="23"/>
      <c r="G29" s="23"/>
      <c r="H29" s="24"/>
      <c r="I29" s="19"/>
      <c r="J29" s="20"/>
      <c r="K29" s="21"/>
      <c r="L29" s="22"/>
      <c r="M29" s="25"/>
      <c r="N29" s="23"/>
      <c r="O29" s="26"/>
      <c r="P29" s="19"/>
      <c r="Q29" s="20"/>
      <c r="R29" s="21"/>
      <c r="S29" s="27"/>
      <c r="T29" s="23"/>
      <c r="U29" s="23"/>
      <c r="V29" s="24"/>
      <c r="W29" s="19"/>
      <c r="X29" s="20"/>
      <c r="Y29" s="21"/>
      <c r="Z29" s="28"/>
      <c r="AA29" s="19"/>
      <c r="AB29" s="20"/>
      <c r="AC29" s="21"/>
      <c r="AD29" s="28"/>
      <c r="AE29" s="19"/>
      <c r="AF29" s="20"/>
      <c r="AG29" s="21"/>
      <c r="AH29" s="29"/>
      <c r="AI29" s="30"/>
      <c r="AJ29" s="30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9"/>
      <c r="C30" s="20"/>
      <c r="D30" s="21"/>
      <c r="E30" s="22"/>
      <c r="F30" s="23"/>
      <c r="G30" s="23"/>
      <c r="H30" s="24"/>
      <c r="I30" s="19"/>
      <c r="J30" s="20"/>
      <c r="K30" s="21"/>
      <c r="L30" s="22"/>
      <c r="M30" s="25"/>
      <c r="N30" s="23"/>
      <c r="O30" s="26"/>
      <c r="P30" s="19"/>
      <c r="Q30" s="20"/>
      <c r="R30" s="21"/>
      <c r="S30" s="27"/>
      <c r="T30" s="23"/>
      <c r="U30" s="23"/>
      <c r="V30" s="24"/>
      <c r="W30" s="19"/>
      <c r="X30" s="20"/>
      <c r="Y30" s="21"/>
      <c r="Z30" s="28"/>
      <c r="AA30" s="19"/>
      <c r="AB30" s="20"/>
      <c r="AC30" s="21"/>
      <c r="AD30" s="28"/>
      <c r="AE30" s="19"/>
      <c r="AF30" s="20"/>
      <c r="AG30" s="21"/>
      <c r="AH30" s="29"/>
      <c r="AI30" s="30"/>
      <c r="AJ30" s="30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9"/>
      <c r="C31" s="20"/>
      <c r="D31" s="21"/>
      <c r="E31" s="22"/>
      <c r="F31" s="23"/>
      <c r="G31" s="23"/>
      <c r="H31" s="24"/>
      <c r="I31" s="19"/>
      <c r="J31" s="20"/>
      <c r="K31" s="21"/>
      <c r="L31" s="22"/>
      <c r="M31" s="25"/>
      <c r="N31" s="23"/>
      <c r="O31" s="26"/>
      <c r="P31" s="19"/>
      <c r="Q31" s="20"/>
      <c r="R31" s="21"/>
      <c r="S31" s="27"/>
      <c r="T31" s="23"/>
      <c r="U31" s="23"/>
      <c r="V31" s="24"/>
      <c r="W31" s="19"/>
      <c r="X31" s="20"/>
      <c r="Y31" s="21"/>
      <c r="Z31" s="28"/>
      <c r="AA31" s="19"/>
      <c r="AB31" s="20"/>
      <c r="AC31" s="21"/>
      <c r="AD31" s="28"/>
      <c r="AE31" s="19"/>
      <c r="AF31" s="20"/>
      <c r="AG31" s="21"/>
      <c r="AH31" s="29"/>
      <c r="AI31" s="30"/>
      <c r="AJ31" s="30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9"/>
      <c r="C32" s="20"/>
      <c r="D32" s="21"/>
      <c r="E32" s="22"/>
      <c r="F32" s="23"/>
      <c r="G32" s="23"/>
      <c r="H32" s="24"/>
      <c r="I32" s="19"/>
      <c r="J32" s="20"/>
      <c r="K32" s="21"/>
      <c r="L32" s="22"/>
      <c r="M32" s="25"/>
      <c r="N32" s="23"/>
      <c r="O32" s="26"/>
      <c r="P32" s="19"/>
      <c r="Q32" s="20"/>
      <c r="R32" s="21"/>
      <c r="S32" s="27"/>
      <c r="T32" s="23"/>
      <c r="U32" s="23"/>
      <c r="V32" s="24"/>
      <c r="W32" s="19"/>
      <c r="X32" s="20"/>
      <c r="Y32" s="21"/>
      <c r="Z32" s="28"/>
      <c r="AA32" s="19"/>
      <c r="AB32" s="20"/>
      <c r="AC32" s="21"/>
      <c r="AD32" s="28"/>
      <c r="AE32" s="19"/>
      <c r="AF32" s="20"/>
      <c r="AG32" s="21"/>
      <c r="AH32" s="29"/>
      <c r="AI32" s="30"/>
      <c r="AJ32" s="30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9"/>
      <c r="C33" s="20"/>
      <c r="D33" s="21"/>
      <c r="E33" s="22"/>
      <c r="F33" s="23"/>
      <c r="G33" s="23"/>
      <c r="H33" s="24"/>
      <c r="I33" s="19"/>
      <c r="J33" s="20"/>
      <c r="K33" s="21"/>
      <c r="L33" s="22"/>
      <c r="M33" s="25"/>
      <c r="N33" s="23"/>
      <c r="O33" s="26"/>
      <c r="P33" s="19"/>
      <c r="Q33" s="20"/>
      <c r="R33" s="21"/>
      <c r="S33" s="27"/>
      <c r="T33" s="23"/>
      <c r="U33" s="23"/>
      <c r="V33" s="24"/>
      <c r="W33" s="19"/>
      <c r="X33" s="20"/>
      <c r="Y33" s="21"/>
      <c r="Z33" s="28"/>
      <c r="AA33" s="19"/>
      <c r="AB33" s="20"/>
      <c r="AC33" s="21"/>
      <c r="AD33" s="28"/>
      <c r="AE33" s="19"/>
      <c r="AF33" s="20"/>
      <c r="AG33" s="21"/>
      <c r="AH33" s="29"/>
      <c r="AI33" s="30"/>
      <c r="AJ33" s="30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9"/>
      <c r="C34" s="20"/>
      <c r="D34" s="21"/>
      <c r="E34" s="22"/>
      <c r="F34" s="23"/>
      <c r="G34" s="23"/>
      <c r="H34" s="24"/>
      <c r="I34" s="19"/>
      <c r="J34" s="20"/>
      <c r="K34" s="21"/>
      <c r="L34" s="22"/>
      <c r="M34" s="25"/>
      <c r="N34" s="23"/>
      <c r="O34" s="26"/>
      <c r="P34" s="19"/>
      <c r="Q34" s="20"/>
      <c r="R34" s="21"/>
      <c r="S34" s="27"/>
      <c r="T34" s="23"/>
      <c r="U34" s="23"/>
      <c r="V34" s="24"/>
      <c r="W34" s="19"/>
      <c r="X34" s="20"/>
      <c r="Y34" s="21"/>
      <c r="Z34" s="28"/>
      <c r="AA34" s="19"/>
      <c r="AB34" s="20"/>
      <c r="AC34" s="21"/>
      <c r="AD34" s="28"/>
      <c r="AE34" s="19"/>
      <c r="AF34" s="20"/>
      <c r="AG34" s="21"/>
      <c r="AH34" s="29"/>
      <c r="AI34" s="30"/>
      <c r="AJ34" s="30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9"/>
      <c r="C35" s="20"/>
      <c r="D35" s="21"/>
      <c r="E35" s="22"/>
      <c r="F35" s="23"/>
      <c r="G35" s="23"/>
      <c r="H35" s="24"/>
      <c r="I35" s="19"/>
      <c r="J35" s="20"/>
      <c r="K35" s="21"/>
      <c r="L35" s="22"/>
      <c r="M35" s="25"/>
      <c r="N35" s="23"/>
      <c r="O35" s="26"/>
      <c r="P35" s="19"/>
      <c r="Q35" s="20"/>
      <c r="R35" s="21"/>
      <c r="S35" s="27"/>
      <c r="T35" s="23"/>
      <c r="U35" s="23"/>
      <c r="V35" s="24"/>
      <c r="W35" s="19"/>
      <c r="X35" s="20"/>
      <c r="Y35" s="21"/>
      <c r="Z35" s="28"/>
      <c r="AA35" s="19"/>
      <c r="AB35" s="20"/>
      <c r="AC35" s="21"/>
      <c r="AD35" s="28"/>
      <c r="AE35" s="19"/>
      <c r="AF35" s="20"/>
      <c r="AG35" s="21"/>
      <c r="AH35" s="29"/>
      <c r="AI35" s="30"/>
      <c r="AJ35" s="30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9"/>
      <c r="C36" s="20"/>
      <c r="D36" s="21"/>
      <c r="E36" s="22"/>
      <c r="F36" s="23"/>
      <c r="G36" s="23"/>
      <c r="H36" s="24"/>
      <c r="I36" s="19"/>
      <c r="J36" s="20"/>
      <c r="K36" s="21"/>
      <c r="L36" s="22"/>
      <c r="M36" s="25"/>
      <c r="N36" s="23"/>
      <c r="O36" s="26"/>
      <c r="P36" s="19"/>
      <c r="Q36" s="20"/>
      <c r="R36" s="21"/>
      <c r="S36" s="27"/>
      <c r="T36" s="23"/>
      <c r="U36" s="23"/>
      <c r="V36" s="24"/>
      <c r="W36" s="19"/>
      <c r="X36" s="20"/>
      <c r="Y36" s="21"/>
      <c r="Z36" s="28"/>
      <c r="AA36" s="19"/>
      <c r="AB36" s="20"/>
      <c r="AC36" s="21"/>
      <c r="AD36" s="28"/>
      <c r="AE36" s="19"/>
      <c r="AF36" s="20"/>
      <c r="AG36" s="21"/>
      <c r="AH36" s="29"/>
      <c r="AI36" s="30"/>
      <c r="AJ36" s="30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9"/>
      <c r="C37" s="20"/>
      <c r="D37" s="21"/>
      <c r="E37" s="22"/>
      <c r="F37" s="23"/>
      <c r="G37" s="23"/>
      <c r="H37" s="24"/>
      <c r="I37" s="19"/>
      <c r="J37" s="20"/>
      <c r="K37" s="21"/>
      <c r="L37" s="22"/>
      <c r="M37" s="25"/>
      <c r="N37" s="23"/>
      <c r="O37" s="26"/>
      <c r="P37" s="19"/>
      <c r="Q37" s="20"/>
      <c r="R37" s="21"/>
      <c r="S37" s="27"/>
      <c r="T37" s="23"/>
      <c r="U37" s="23"/>
      <c r="V37" s="24"/>
      <c r="W37" s="19"/>
      <c r="X37" s="20"/>
      <c r="Y37" s="21"/>
      <c r="Z37" s="28"/>
      <c r="AA37" s="19"/>
      <c r="AB37" s="20"/>
      <c r="AC37" s="21"/>
      <c r="AD37" s="28"/>
      <c r="AE37" s="19"/>
      <c r="AF37" s="20"/>
      <c r="AG37" s="21"/>
      <c r="AH37" s="29"/>
      <c r="AI37" s="30"/>
      <c r="AJ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9"/>
      <c r="C38" s="20"/>
      <c r="D38" s="21"/>
      <c r="E38" s="22"/>
      <c r="F38" s="23"/>
      <c r="G38" s="23"/>
      <c r="H38" s="24"/>
      <c r="I38" s="19"/>
      <c r="J38" s="20"/>
      <c r="K38" s="21"/>
      <c r="L38" s="22"/>
      <c r="M38" s="25"/>
      <c r="N38" s="23"/>
      <c r="O38" s="26"/>
      <c r="P38" s="19"/>
      <c r="Q38" s="20"/>
      <c r="R38" s="21"/>
      <c r="S38" s="27"/>
      <c r="T38" s="23"/>
      <c r="U38" s="23"/>
      <c r="V38" s="24"/>
      <c r="W38" s="19"/>
      <c r="X38" s="20"/>
      <c r="Y38" s="21"/>
      <c r="Z38" s="28"/>
      <c r="AA38" s="19"/>
      <c r="AB38" s="20"/>
      <c r="AC38" s="21"/>
      <c r="AD38" s="28"/>
      <c r="AE38" s="19"/>
      <c r="AF38" s="20"/>
      <c r="AG38" s="21"/>
      <c r="AH38" s="29"/>
      <c r="AI38" s="30"/>
      <c r="AJ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9"/>
      <c r="C39" s="20"/>
      <c r="D39" s="21"/>
      <c r="E39" s="22"/>
      <c r="F39" s="23"/>
      <c r="G39" s="23"/>
      <c r="H39" s="24"/>
      <c r="I39" s="19"/>
      <c r="J39" s="20"/>
      <c r="K39" s="21"/>
      <c r="L39" s="22"/>
      <c r="M39" s="25"/>
      <c r="N39" s="23"/>
      <c r="O39" s="26"/>
      <c r="P39" s="19"/>
      <c r="Q39" s="20"/>
      <c r="R39" s="21"/>
      <c r="S39" s="27"/>
      <c r="T39" s="23"/>
      <c r="U39" s="23"/>
      <c r="V39" s="24"/>
      <c r="W39" s="19"/>
      <c r="X39" s="20"/>
      <c r="Y39" s="21"/>
      <c r="Z39" s="28"/>
      <c r="AA39" s="19"/>
      <c r="AB39" s="20"/>
      <c r="AC39" s="21"/>
      <c r="AD39" s="28"/>
      <c r="AE39" s="19"/>
      <c r="AF39" s="20"/>
      <c r="AG39" s="21"/>
      <c r="AH39" s="29"/>
      <c r="AI39" s="30"/>
      <c r="AJ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9"/>
      <c r="C40" s="20"/>
      <c r="D40" s="21"/>
      <c r="E40" s="22"/>
      <c r="F40" s="23"/>
      <c r="G40" s="23"/>
      <c r="H40" s="24"/>
      <c r="I40" s="19"/>
      <c r="J40" s="20"/>
      <c r="K40" s="21"/>
      <c r="L40" s="22"/>
      <c r="M40" s="25"/>
      <c r="N40" s="23"/>
      <c r="O40" s="26"/>
      <c r="P40" s="19"/>
      <c r="Q40" s="20"/>
      <c r="R40" s="21"/>
      <c r="S40" s="27"/>
      <c r="T40" s="23"/>
      <c r="U40" s="23"/>
      <c r="V40" s="24"/>
      <c r="W40" s="19"/>
      <c r="X40" s="20"/>
      <c r="Y40" s="21"/>
      <c r="Z40" s="28"/>
      <c r="AA40" s="19"/>
      <c r="AB40" s="20"/>
      <c r="AC40" s="21"/>
      <c r="AD40" s="28"/>
      <c r="AE40" s="19"/>
      <c r="AF40" s="20"/>
      <c r="AG40" s="21"/>
      <c r="AH40" s="29"/>
      <c r="AI40" s="30"/>
      <c r="AJ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9"/>
      <c r="C41" s="20"/>
      <c r="D41" s="21"/>
      <c r="E41" s="22"/>
      <c r="F41" s="23"/>
      <c r="G41" s="23"/>
      <c r="H41" s="24"/>
      <c r="I41" s="19"/>
      <c r="J41" s="20"/>
      <c r="K41" s="21"/>
      <c r="L41" s="22"/>
      <c r="M41" s="25"/>
      <c r="N41" s="23"/>
      <c r="O41" s="26"/>
      <c r="P41" s="19"/>
      <c r="Q41" s="20"/>
      <c r="R41" s="21"/>
      <c r="S41" s="27"/>
      <c r="T41" s="23"/>
      <c r="U41" s="23"/>
      <c r="V41" s="24"/>
      <c r="W41" s="19"/>
      <c r="X41" s="20"/>
      <c r="Y41" s="21"/>
      <c r="Z41" s="28"/>
      <c r="AA41" s="19"/>
      <c r="AB41" s="20"/>
      <c r="AC41" s="21"/>
      <c r="AD41" s="28"/>
      <c r="AE41" s="19"/>
      <c r="AF41" s="20"/>
      <c r="AG41" s="21"/>
      <c r="AH41" s="29"/>
      <c r="AI41" s="30"/>
      <c r="AJ41" s="30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9"/>
      <c r="C42" s="20"/>
      <c r="D42" s="21"/>
      <c r="E42" s="22"/>
      <c r="F42" s="23"/>
      <c r="G42" s="23"/>
      <c r="H42" s="24"/>
      <c r="I42" s="19"/>
      <c r="J42" s="20"/>
      <c r="K42" s="21"/>
      <c r="L42" s="22"/>
      <c r="M42" s="25"/>
      <c r="N42" s="23"/>
      <c r="O42" s="26"/>
      <c r="P42" s="19"/>
      <c r="Q42" s="20"/>
      <c r="R42" s="21"/>
      <c r="S42" s="27"/>
      <c r="T42" s="23"/>
      <c r="U42" s="23"/>
      <c r="V42" s="24"/>
      <c r="W42" s="19"/>
      <c r="X42" s="20"/>
      <c r="Y42" s="21"/>
      <c r="Z42" s="28"/>
      <c r="AA42" s="19"/>
      <c r="AB42" s="20"/>
      <c r="AC42" s="21"/>
      <c r="AD42" s="28"/>
      <c r="AE42" s="19"/>
      <c r="AF42" s="20"/>
      <c r="AG42" s="21"/>
      <c r="AH42" s="29"/>
      <c r="AI42" s="30"/>
      <c r="AJ42" s="30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9"/>
      <c r="C43" s="20"/>
      <c r="D43" s="21"/>
      <c r="E43" s="22"/>
      <c r="F43" s="23"/>
      <c r="G43" s="23"/>
      <c r="H43" s="24"/>
      <c r="I43" s="19"/>
      <c r="J43" s="20"/>
      <c r="K43" s="21"/>
      <c r="L43" s="22"/>
      <c r="M43" s="25"/>
      <c r="N43" s="23"/>
      <c r="O43" s="26"/>
      <c r="P43" s="19"/>
      <c r="Q43" s="20"/>
      <c r="R43" s="21"/>
      <c r="S43" s="27"/>
      <c r="T43" s="23"/>
      <c r="U43" s="23"/>
      <c r="V43" s="24"/>
      <c r="W43" s="19"/>
      <c r="X43" s="20"/>
      <c r="Y43" s="21"/>
      <c r="Z43" s="28"/>
      <c r="AA43" s="19"/>
      <c r="AB43" s="20"/>
      <c r="AC43" s="21"/>
      <c r="AD43" s="28"/>
      <c r="AE43" s="19"/>
      <c r="AF43" s="20"/>
      <c r="AG43" s="21"/>
      <c r="AH43" s="29"/>
      <c r="AI43" s="30"/>
      <c r="AJ43" s="30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9"/>
      <c r="C44" s="20"/>
      <c r="D44" s="21"/>
      <c r="E44" s="22"/>
      <c r="F44" s="23"/>
      <c r="G44" s="23"/>
      <c r="H44" s="24"/>
      <c r="I44" s="19"/>
      <c r="J44" s="20"/>
      <c r="K44" s="21"/>
      <c r="L44" s="22"/>
      <c r="M44" s="25"/>
      <c r="N44" s="23"/>
      <c r="O44" s="26"/>
      <c r="P44" s="19"/>
      <c r="Q44" s="20"/>
      <c r="R44" s="21"/>
      <c r="S44" s="27"/>
      <c r="T44" s="23"/>
      <c r="U44" s="23"/>
      <c r="V44" s="24"/>
      <c r="W44" s="19"/>
      <c r="X44" s="20"/>
      <c r="Y44" s="21"/>
      <c r="Z44" s="28"/>
      <c r="AA44" s="19"/>
      <c r="AB44" s="20"/>
      <c r="AC44" s="21"/>
      <c r="AD44" s="28"/>
      <c r="AE44" s="19"/>
      <c r="AF44" s="20"/>
      <c r="AG44" s="21"/>
      <c r="AH44" s="29"/>
      <c r="AI44" s="30"/>
      <c r="AJ44" s="30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9"/>
      <c r="C45" s="20"/>
      <c r="D45" s="21"/>
      <c r="E45" s="22"/>
      <c r="F45" s="23"/>
      <c r="G45" s="23"/>
      <c r="H45" s="24"/>
      <c r="I45" s="19"/>
      <c r="J45" s="20"/>
      <c r="K45" s="21"/>
      <c r="L45" s="22"/>
      <c r="M45" s="25"/>
      <c r="N45" s="23"/>
      <c r="O45" s="26"/>
      <c r="P45" s="19"/>
      <c r="Q45" s="20"/>
      <c r="R45" s="21"/>
      <c r="S45" s="27"/>
      <c r="T45" s="23"/>
      <c r="U45" s="23"/>
      <c r="V45" s="24"/>
      <c r="W45" s="19"/>
      <c r="X45" s="20"/>
      <c r="Y45" s="21"/>
      <c r="Z45" s="28"/>
      <c r="AA45" s="19"/>
      <c r="AB45" s="20"/>
      <c r="AC45" s="21"/>
      <c r="AD45" s="28"/>
      <c r="AE45" s="19"/>
      <c r="AF45" s="20"/>
      <c r="AG45" s="21"/>
      <c r="AH45" s="29"/>
      <c r="AI45" s="30"/>
      <c r="AJ45" s="30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9"/>
      <c r="C46" s="20"/>
      <c r="D46" s="21"/>
      <c r="E46" s="22"/>
      <c r="F46" s="23"/>
      <c r="G46" s="23"/>
      <c r="H46" s="24"/>
      <c r="I46" s="19"/>
      <c r="J46" s="20"/>
      <c r="K46" s="21"/>
      <c r="L46" s="22"/>
      <c r="M46" s="25"/>
      <c r="N46" s="23"/>
      <c r="O46" s="26"/>
      <c r="P46" s="19"/>
      <c r="Q46" s="20"/>
      <c r="R46" s="21"/>
      <c r="S46" s="27"/>
      <c r="T46" s="23"/>
      <c r="U46" s="23"/>
      <c r="V46" s="24"/>
      <c r="W46" s="19"/>
      <c r="X46" s="20"/>
      <c r="Y46" s="21"/>
      <c r="Z46" s="28"/>
      <c r="AA46" s="19"/>
      <c r="AB46" s="20"/>
      <c r="AC46" s="21"/>
      <c r="AD46" s="28"/>
      <c r="AE46" s="19"/>
      <c r="AF46" s="20"/>
      <c r="AG46" s="21"/>
      <c r="AH46" s="29"/>
      <c r="AI46" s="30"/>
      <c r="AJ46" s="30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9"/>
      <c r="C47" s="20"/>
      <c r="D47" s="21"/>
      <c r="E47" s="22"/>
      <c r="F47" s="23"/>
      <c r="G47" s="23"/>
      <c r="H47" s="24"/>
      <c r="I47" s="19"/>
      <c r="J47" s="20"/>
      <c r="K47" s="21"/>
      <c r="L47" s="22"/>
      <c r="M47" s="25"/>
      <c r="N47" s="23"/>
      <c r="O47" s="26"/>
      <c r="P47" s="19"/>
      <c r="Q47" s="20"/>
      <c r="R47" s="21"/>
      <c r="S47" s="27"/>
      <c r="T47" s="23"/>
      <c r="U47" s="23"/>
      <c r="V47" s="24"/>
      <c r="W47" s="19"/>
      <c r="X47" s="20"/>
      <c r="Y47" s="21"/>
      <c r="Z47" s="28"/>
      <c r="AA47" s="19"/>
      <c r="AB47" s="20"/>
      <c r="AC47" s="21"/>
      <c r="AD47" s="28"/>
      <c r="AE47" s="19"/>
      <c r="AF47" s="20"/>
      <c r="AG47" s="21"/>
      <c r="AH47" s="29"/>
      <c r="AI47" s="30"/>
      <c r="AJ47" s="30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9"/>
      <c r="C48" s="20"/>
      <c r="D48" s="21"/>
      <c r="E48" s="22"/>
      <c r="F48" s="23"/>
      <c r="G48" s="23"/>
      <c r="H48" s="24"/>
      <c r="I48" s="19"/>
      <c r="J48" s="20"/>
      <c r="K48" s="21"/>
      <c r="L48" s="22"/>
      <c r="M48" s="25"/>
      <c r="N48" s="23"/>
      <c r="O48" s="26"/>
      <c r="P48" s="19"/>
      <c r="Q48" s="20"/>
      <c r="R48" s="21"/>
      <c r="S48" s="27"/>
      <c r="T48" s="23"/>
      <c r="U48" s="23"/>
      <c r="V48" s="24"/>
      <c r="W48" s="19"/>
      <c r="X48" s="20"/>
      <c r="Y48" s="21"/>
      <c r="Z48" s="28"/>
      <c r="AA48" s="19"/>
      <c r="AB48" s="20"/>
      <c r="AC48" s="21"/>
      <c r="AD48" s="28"/>
      <c r="AE48" s="19"/>
      <c r="AF48" s="20"/>
      <c r="AG48" s="21"/>
      <c r="AH48" s="29"/>
      <c r="AI48" s="30"/>
      <c r="AJ48" s="30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9"/>
      <c r="C49" s="20"/>
      <c r="D49" s="21"/>
      <c r="E49" s="22"/>
      <c r="F49" s="23"/>
      <c r="G49" s="23"/>
      <c r="H49" s="24"/>
      <c r="I49" s="19"/>
      <c r="J49" s="20"/>
      <c r="K49" s="21"/>
      <c r="L49" s="22"/>
      <c r="M49" s="25"/>
      <c r="N49" s="23"/>
      <c r="O49" s="26"/>
      <c r="P49" s="19"/>
      <c r="Q49" s="20"/>
      <c r="R49" s="21"/>
      <c r="S49" s="27"/>
      <c r="T49" s="23"/>
      <c r="U49" s="23"/>
      <c r="V49" s="24"/>
      <c r="W49" s="19"/>
      <c r="X49" s="20"/>
      <c r="Y49" s="21"/>
      <c r="Z49" s="28"/>
      <c r="AA49" s="19"/>
      <c r="AB49" s="20"/>
      <c r="AC49" s="21"/>
      <c r="AD49" s="28"/>
      <c r="AE49" s="19"/>
      <c r="AF49" s="20"/>
      <c r="AG49" s="21"/>
      <c r="AH49" s="29"/>
      <c r="AI49" s="30"/>
      <c r="AJ49" s="30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9"/>
      <c r="C50" s="20"/>
      <c r="D50" s="21"/>
      <c r="E50" s="22"/>
      <c r="F50" s="23"/>
      <c r="G50" s="23"/>
      <c r="H50" s="24"/>
      <c r="I50" s="19"/>
      <c r="J50" s="20"/>
      <c r="K50" s="21"/>
      <c r="L50" s="22"/>
      <c r="M50" s="25"/>
      <c r="N50" s="23"/>
      <c r="O50" s="26"/>
      <c r="P50" s="19"/>
      <c r="Q50" s="20"/>
      <c r="R50" s="21"/>
      <c r="S50" s="27"/>
      <c r="T50" s="23"/>
      <c r="U50" s="23"/>
      <c r="V50" s="24"/>
      <c r="W50" s="19"/>
      <c r="X50" s="20"/>
      <c r="Y50" s="21"/>
      <c r="Z50" s="28"/>
      <c r="AA50" s="19"/>
      <c r="AB50" s="20"/>
      <c r="AC50" s="21"/>
      <c r="AD50" s="28"/>
      <c r="AE50" s="19"/>
      <c r="AF50" s="20"/>
      <c r="AG50" s="21"/>
      <c r="AH50" s="29"/>
      <c r="AI50" s="30"/>
      <c r="AJ50" s="30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9"/>
      <c r="C51" s="20"/>
      <c r="D51" s="21"/>
      <c r="E51" s="22"/>
      <c r="F51" s="23"/>
      <c r="G51" s="23"/>
      <c r="H51" s="24"/>
      <c r="I51" s="19"/>
      <c r="J51" s="20"/>
      <c r="K51" s="21"/>
      <c r="L51" s="22"/>
      <c r="M51" s="25"/>
      <c r="N51" s="23"/>
      <c r="O51" s="26"/>
      <c r="P51" s="19"/>
      <c r="Q51" s="20"/>
      <c r="R51" s="21"/>
      <c r="S51" s="27"/>
      <c r="T51" s="23"/>
      <c r="U51" s="23"/>
      <c r="V51" s="24"/>
      <c r="W51" s="19"/>
      <c r="X51" s="20"/>
      <c r="Y51" s="21"/>
      <c r="Z51" s="28"/>
      <c r="AA51" s="19"/>
      <c r="AB51" s="20"/>
      <c r="AC51" s="21"/>
      <c r="AD51" s="28"/>
      <c r="AE51" s="19"/>
      <c r="AF51" s="20"/>
      <c r="AG51" s="21"/>
      <c r="AH51" s="29"/>
      <c r="AI51" s="30"/>
      <c r="AJ51" s="30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9"/>
      <c r="C52" s="20"/>
      <c r="D52" s="21"/>
      <c r="E52" s="22"/>
      <c r="F52" s="23"/>
      <c r="G52" s="23"/>
      <c r="H52" s="24"/>
      <c r="I52" s="19"/>
      <c r="J52" s="20"/>
      <c r="K52" s="21"/>
      <c r="L52" s="22"/>
      <c r="M52" s="25"/>
      <c r="N52" s="23"/>
      <c r="O52" s="26"/>
      <c r="P52" s="19"/>
      <c r="Q52" s="20"/>
      <c r="R52" s="21"/>
      <c r="S52" s="27"/>
      <c r="T52" s="23"/>
      <c r="U52" s="23"/>
      <c r="V52" s="24"/>
      <c r="W52" s="19"/>
      <c r="X52" s="20"/>
      <c r="Y52" s="21"/>
      <c r="Z52" s="28"/>
      <c r="AA52" s="19"/>
      <c r="AB52" s="20"/>
      <c r="AC52" s="21"/>
      <c r="AD52" s="28"/>
      <c r="AE52" s="19"/>
      <c r="AF52" s="20"/>
      <c r="AG52" s="21"/>
      <c r="AH52" s="29"/>
      <c r="AI52" s="30"/>
      <c r="AJ52" s="30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9"/>
      <c r="C53" s="20"/>
      <c r="D53" s="21"/>
      <c r="E53" s="22"/>
      <c r="F53" s="23"/>
      <c r="G53" s="23"/>
      <c r="H53" s="24"/>
      <c r="I53" s="19"/>
      <c r="J53" s="20"/>
      <c r="K53" s="21"/>
      <c r="L53" s="22"/>
      <c r="M53" s="25"/>
      <c r="N53" s="23"/>
      <c r="O53" s="26"/>
      <c r="P53" s="19"/>
      <c r="Q53" s="20"/>
      <c r="R53" s="21"/>
      <c r="S53" s="27"/>
      <c r="T53" s="23"/>
      <c r="U53" s="23"/>
      <c r="V53" s="24"/>
      <c r="W53" s="19"/>
      <c r="X53" s="20"/>
      <c r="Y53" s="21"/>
      <c r="Z53" s="28"/>
      <c r="AA53" s="19"/>
      <c r="AB53" s="20"/>
      <c r="AC53" s="21"/>
      <c r="AD53" s="28"/>
      <c r="AE53" s="19"/>
      <c r="AF53" s="20"/>
      <c r="AG53" s="21"/>
      <c r="AH53" s="29"/>
      <c r="AI53" s="30"/>
      <c r="AJ53" s="30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9"/>
      <c r="C54" s="20"/>
      <c r="D54" s="21"/>
      <c r="E54" s="22"/>
      <c r="F54" s="23"/>
      <c r="G54" s="23"/>
      <c r="H54" s="24"/>
      <c r="I54" s="19"/>
      <c r="J54" s="20"/>
      <c r="K54" s="21"/>
      <c r="L54" s="22"/>
      <c r="M54" s="25"/>
      <c r="N54" s="23"/>
      <c r="O54" s="26"/>
      <c r="P54" s="19"/>
      <c r="Q54" s="20"/>
      <c r="R54" s="21"/>
      <c r="S54" s="27"/>
      <c r="T54" s="23"/>
      <c r="U54" s="23"/>
      <c r="V54" s="24"/>
      <c r="W54" s="19"/>
      <c r="X54" s="20"/>
      <c r="Y54" s="21"/>
      <c r="Z54" s="28"/>
      <c r="AA54" s="19"/>
      <c r="AB54" s="20"/>
      <c r="AC54" s="21"/>
      <c r="AD54" s="28"/>
      <c r="AE54" s="19"/>
      <c r="AF54" s="20"/>
      <c r="AG54" s="21"/>
      <c r="AH54" s="29"/>
      <c r="AI54" s="30"/>
      <c r="AJ54" s="30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9"/>
      <c r="C55" s="20"/>
      <c r="D55" s="21"/>
      <c r="E55" s="22"/>
      <c r="F55" s="23"/>
      <c r="G55" s="23"/>
      <c r="H55" s="24"/>
      <c r="I55" s="19"/>
      <c r="J55" s="20"/>
      <c r="K55" s="21"/>
      <c r="L55" s="22"/>
      <c r="M55" s="25"/>
      <c r="N55" s="23"/>
      <c r="O55" s="26"/>
      <c r="P55" s="19"/>
      <c r="Q55" s="20"/>
      <c r="R55" s="21"/>
      <c r="S55" s="27"/>
      <c r="T55" s="23"/>
      <c r="U55" s="23"/>
      <c r="V55" s="24"/>
      <c r="W55" s="19"/>
      <c r="X55" s="20"/>
      <c r="Y55" s="21"/>
      <c r="Z55" s="28"/>
      <c r="AA55" s="19"/>
      <c r="AB55" s="20"/>
      <c r="AC55" s="21"/>
      <c r="AD55" s="28"/>
      <c r="AE55" s="19"/>
      <c r="AF55" s="20"/>
      <c r="AG55" s="21"/>
      <c r="AH55" s="29"/>
      <c r="AI55" s="30"/>
      <c r="AJ55" s="30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9"/>
      <c r="C56" s="20"/>
      <c r="D56" s="21"/>
      <c r="E56" s="22"/>
      <c r="F56" s="23"/>
      <c r="G56" s="23"/>
      <c r="H56" s="24"/>
      <c r="I56" s="19"/>
      <c r="J56" s="20"/>
      <c r="K56" s="21"/>
      <c r="L56" s="22"/>
      <c r="M56" s="25"/>
      <c r="N56" s="23"/>
      <c r="O56" s="26"/>
      <c r="P56" s="19"/>
      <c r="Q56" s="20"/>
      <c r="R56" s="21"/>
      <c r="S56" s="27"/>
      <c r="T56" s="23"/>
      <c r="U56" s="23"/>
      <c r="V56" s="24"/>
      <c r="W56" s="19"/>
      <c r="X56" s="20"/>
      <c r="Y56" s="21"/>
      <c r="Z56" s="28"/>
      <c r="AA56" s="19"/>
      <c r="AB56" s="20"/>
      <c r="AC56" s="21"/>
      <c r="AD56" s="28"/>
      <c r="AE56" s="19"/>
      <c r="AF56" s="20"/>
      <c r="AG56" s="21"/>
      <c r="AH56" s="29"/>
      <c r="AI56" s="30"/>
      <c r="AJ56" s="30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9"/>
      <c r="C57" s="20"/>
      <c r="D57" s="21"/>
      <c r="E57" s="22"/>
      <c r="F57" s="23"/>
      <c r="G57" s="23"/>
      <c r="H57" s="24"/>
      <c r="I57" s="19"/>
      <c r="J57" s="20"/>
      <c r="K57" s="21"/>
      <c r="L57" s="22"/>
      <c r="M57" s="25"/>
      <c r="N57" s="23"/>
      <c r="O57" s="26"/>
      <c r="P57" s="19"/>
      <c r="Q57" s="20"/>
      <c r="R57" s="21"/>
      <c r="S57" s="27"/>
      <c r="T57" s="23"/>
      <c r="U57" s="23"/>
      <c r="V57" s="24"/>
      <c r="W57" s="19"/>
      <c r="X57" s="20"/>
      <c r="Y57" s="21"/>
      <c r="Z57" s="28"/>
      <c r="AA57" s="19"/>
      <c r="AB57" s="20"/>
      <c r="AC57" s="21"/>
      <c r="AD57" s="28"/>
      <c r="AE57" s="19"/>
      <c r="AF57" s="20"/>
      <c r="AG57" s="21"/>
      <c r="AH57" s="29"/>
      <c r="AI57" s="30"/>
      <c r="AJ57" s="30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9"/>
      <c r="C58" s="20"/>
      <c r="D58" s="21"/>
      <c r="E58" s="22"/>
      <c r="F58" s="23"/>
      <c r="G58" s="23"/>
      <c r="H58" s="24"/>
      <c r="I58" s="19"/>
      <c r="J58" s="20"/>
      <c r="K58" s="21"/>
      <c r="L58" s="22"/>
      <c r="M58" s="25"/>
      <c r="N58" s="23"/>
      <c r="O58" s="26"/>
      <c r="P58" s="19"/>
      <c r="Q58" s="20"/>
      <c r="R58" s="21"/>
      <c r="S58" s="27"/>
      <c r="T58" s="23"/>
      <c r="U58" s="23"/>
      <c r="V58" s="24"/>
      <c r="W58" s="19"/>
      <c r="X58" s="20"/>
      <c r="Y58" s="21"/>
      <c r="Z58" s="28"/>
      <c r="AA58" s="19"/>
      <c r="AB58" s="20"/>
      <c r="AC58" s="21"/>
      <c r="AD58" s="28"/>
      <c r="AE58" s="19"/>
      <c r="AF58" s="20"/>
      <c r="AG58" s="21"/>
      <c r="AH58" s="29"/>
      <c r="AI58" s="30"/>
      <c r="AJ58" s="30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9"/>
      <c r="C59" s="20"/>
      <c r="D59" s="21"/>
      <c r="E59" s="22"/>
      <c r="F59" s="23"/>
      <c r="G59" s="23"/>
      <c r="H59" s="24"/>
      <c r="I59" s="19"/>
      <c r="J59" s="20"/>
      <c r="K59" s="21"/>
      <c r="L59" s="22"/>
      <c r="M59" s="25"/>
      <c r="N59" s="23"/>
      <c r="O59" s="26"/>
      <c r="P59" s="19"/>
      <c r="Q59" s="20"/>
      <c r="R59" s="21"/>
      <c r="S59" s="27"/>
      <c r="T59" s="23"/>
      <c r="U59" s="23"/>
      <c r="V59" s="24"/>
      <c r="W59" s="19"/>
      <c r="X59" s="20"/>
      <c r="Y59" s="21"/>
      <c r="Z59" s="28"/>
      <c r="AA59" s="19"/>
      <c r="AB59" s="20"/>
      <c r="AC59" s="21"/>
      <c r="AD59" s="28"/>
      <c r="AE59" s="19"/>
      <c r="AF59" s="20"/>
      <c r="AG59" s="21"/>
      <c r="AH59" s="29"/>
      <c r="AI59" s="30"/>
      <c r="AJ59" s="30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9"/>
      <c r="C60" s="20"/>
      <c r="D60" s="21"/>
      <c r="E60" s="22"/>
      <c r="F60" s="23"/>
      <c r="G60" s="23"/>
      <c r="H60" s="24"/>
      <c r="I60" s="19"/>
      <c r="J60" s="20"/>
      <c r="K60" s="21"/>
      <c r="L60" s="22"/>
      <c r="M60" s="25"/>
      <c r="N60" s="23"/>
      <c r="O60" s="26"/>
      <c r="P60" s="19"/>
      <c r="Q60" s="20"/>
      <c r="R60" s="21"/>
      <c r="S60" s="27"/>
      <c r="T60" s="23"/>
      <c r="U60" s="23"/>
      <c r="V60" s="24"/>
      <c r="W60" s="19"/>
      <c r="X60" s="20"/>
      <c r="Y60" s="21"/>
      <c r="Z60" s="28"/>
      <c r="AA60" s="19"/>
      <c r="AB60" s="20"/>
      <c r="AC60" s="21"/>
      <c r="AD60" s="28"/>
      <c r="AE60" s="19"/>
      <c r="AF60" s="20"/>
      <c r="AG60" s="21"/>
      <c r="AH60" s="29"/>
      <c r="AI60" s="30"/>
      <c r="AJ60" s="30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9"/>
      <c r="C61" s="20"/>
      <c r="D61" s="21"/>
      <c r="E61" s="22"/>
      <c r="F61" s="23"/>
      <c r="G61" s="23"/>
      <c r="H61" s="24"/>
      <c r="I61" s="19"/>
      <c r="J61" s="20"/>
      <c r="K61" s="21"/>
      <c r="L61" s="22"/>
      <c r="M61" s="25"/>
      <c r="N61" s="23"/>
      <c r="O61" s="26"/>
      <c r="P61" s="19"/>
      <c r="Q61" s="20"/>
      <c r="R61" s="21"/>
      <c r="S61" s="27"/>
      <c r="T61" s="23"/>
      <c r="U61" s="23"/>
      <c r="V61" s="24"/>
      <c r="W61" s="19"/>
      <c r="X61" s="20"/>
      <c r="Y61" s="21"/>
      <c r="Z61" s="28"/>
      <c r="AA61" s="19"/>
      <c r="AB61" s="20"/>
      <c r="AC61" s="21"/>
      <c r="AD61" s="28"/>
      <c r="AE61" s="19"/>
      <c r="AF61" s="20"/>
      <c r="AG61" s="21"/>
      <c r="AH61" s="29"/>
      <c r="AI61" s="30"/>
      <c r="AJ61" s="30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9"/>
      <c r="C62" s="20"/>
      <c r="D62" s="21"/>
      <c r="E62" s="22"/>
      <c r="F62" s="23"/>
      <c r="G62" s="23"/>
      <c r="H62" s="24"/>
      <c r="I62" s="19"/>
      <c r="J62" s="20"/>
      <c r="K62" s="21"/>
      <c r="L62" s="22"/>
      <c r="M62" s="25"/>
      <c r="N62" s="23"/>
      <c r="O62" s="26"/>
      <c r="P62" s="19"/>
      <c r="Q62" s="20"/>
      <c r="R62" s="21"/>
      <c r="S62" s="27"/>
      <c r="T62" s="23"/>
      <c r="U62" s="23"/>
      <c r="V62" s="24"/>
      <c r="W62" s="19"/>
      <c r="X62" s="20"/>
      <c r="Y62" s="21"/>
      <c r="Z62" s="28"/>
      <c r="AA62" s="19"/>
      <c r="AB62" s="20"/>
      <c r="AC62" s="21"/>
      <c r="AD62" s="28"/>
      <c r="AE62" s="19"/>
      <c r="AF62" s="20"/>
      <c r="AG62" s="21"/>
      <c r="AH62" s="29"/>
      <c r="AI62" s="30"/>
      <c r="AJ62" s="30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9"/>
      <c r="C63" s="20"/>
      <c r="D63" s="21"/>
      <c r="E63" s="22"/>
      <c r="F63" s="23"/>
      <c r="G63" s="23"/>
      <c r="H63" s="24"/>
      <c r="I63" s="19"/>
      <c r="J63" s="20"/>
      <c r="K63" s="21"/>
      <c r="L63" s="22"/>
      <c r="M63" s="25"/>
      <c r="N63" s="23"/>
      <c r="O63" s="26"/>
      <c r="P63" s="19"/>
      <c r="Q63" s="20"/>
      <c r="R63" s="21"/>
      <c r="S63" s="27"/>
      <c r="T63" s="23"/>
      <c r="U63" s="23"/>
      <c r="V63" s="24"/>
      <c r="W63" s="19"/>
      <c r="X63" s="20"/>
      <c r="Y63" s="21"/>
      <c r="Z63" s="28"/>
      <c r="AA63" s="19"/>
      <c r="AB63" s="20"/>
      <c r="AC63" s="21"/>
      <c r="AD63" s="28"/>
      <c r="AE63" s="19"/>
      <c r="AF63" s="20"/>
      <c r="AG63" s="21"/>
      <c r="AH63" s="29"/>
      <c r="AI63" s="30"/>
      <c r="AJ63" s="30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9"/>
      <c r="C64" s="20"/>
      <c r="D64" s="21"/>
      <c r="E64" s="22"/>
      <c r="F64" s="23"/>
      <c r="G64" s="23"/>
      <c r="H64" s="24"/>
      <c r="I64" s="19"/>
      <c r="J64" s="20"/>
      <c r="K64" s="21"/>
      <c r="L64" s="22"/>
      <c r="M64" s="25"/>
      <c r="N64" s="23"/>
      <c r="O64" s="26"/>
      <c r="P64" s="19"/>
      <c r="Q64" s="20"/>
      <c r="R64" s="21"/>
      <c r="S64" s="27"/>
      <c r="T64" s="23"/>
      <c r="U64" s="23"/>
      <c r="V64" s="24"/>
      <c r="W64" s="19"/>
      <c r="X64" s="20"/>
      <c r="Y64" s="21"/>
      <c r="Z64" s="28"/>
      <c r="AA64" s="19"/>
      <c r="AB64" s="20"/>
      <c r="AC64" s="21"/>
      <c r="AD64" s="28"/>
      <c r="AE64" s="19"/>
      <c r="AF64" s="20"/>
      <c r="AG64" s="21"/>
      <c r="AH64" s="29"/>
      <c r="AI64" s="30"/>
      <c r="AJ64" s="30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9"/>
      <c r="C65" s="20"/>
      <c r="D65" s="21"/>
      <c r="E65" s="22"/>
      <c r="F65" s="23"/>
      <c r="G65" s="23"/>
      <c r="H65" s="24"/>
      <c r="I65" s="19"/>
      <c r="J65" s="20"/>
      <c r="K65" s="21"/>
      <c r="L65" s="22"/>
      <c r="M65" s="25"/>
      <c r="N65" s="23"/>
      <c r="O65" s="26"/>
      <c r="P65" s="19"/>
      <c r="Q65" s="20"/>
      <c r="R65" s="21"/>
      <c r="S65" s="27"/>
      <c r="T65" s="23"/>
      <c r="U65" s="23"/>
      <c r="V65" s="24"/>
      <c r="W65" s="19"/>
      <c r="X65" s="20"/>
      <c r="Y65" s="21"/>
      <c r="Z65" s="28"/>
      <c r="AA65" s="19"/>
      <c r="AB65" s="20"/>
      <c r="AC65" s="21"/>
      <c r="AD65" s="28"/>
      <c r="AE65" s="19"/>
      <c r="AF65" s="20"/>
      <c r="AG65" s="21"/>
      <c r="AH65" s="29"/>
      <c r="AI65" s="30"/>
      <c r="AJ65" s="30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9"/>
      <c r="C66" s="20"/>
      <c r="D66" s="21"/>
      <c r="E66" s="22"/>
      <c r="F66" s="23"/>
      <c r="G66" s="23"/>
      <c r="H66" s="24"/>
      <c r="I66" s="19"/>
      <c r="J66" s="20"/>
      <c r="K66" s="21"/>
      <c r="L66" s="22"/>
      <c r="M66" s="25"/>
      <c r="N66" s="23"/>
      <c r="O66" s="26"/>
      <c r="P66" s="19"/>
      <c r="Q66" s="20"/>
      <c r="R66" s="21"/>
      <c r="S66" s="27"/>
      <c r="T66" s="23"/>
      <c r="U66" s="23"/>
      <c r="V66" s="24"/>
      <c r="W66" s="19"/>
      <c r="X66" s="20"/>
      <c r="Y66" s="21"/>
      <c r="Z66" s="28"/>
      <c r="AA66" s="19"/>
      <c r="AB66" s="20"/>
      <c r="AC66" s="21"/>
      <c r="AD66" s="28"/>
      <c r="AE66" s="19"/>
      <c r="AF66" s="20"/>
      <c r="AG66" s="21"/>
      <c r="AH66" s="29"/>
      <c r="AI66" s="30"/>
      <c r="AJ66" s="30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9"/>
      <c r="C67" s="20"/>
      <c r="D67" s="21"/>
      <c r="E67" s="22"/>
      <c r="F67" s="23"/>
      <c r="G67" s="23"/>
      <c r="H67" s="24"/>
      <c r="I67" s="19"/>
      <c r="J67" s="20"/>
      <c r="K67" s="21"/>
      <c r="L67" s="22"/>
      <c r="M67" s="25"/>
      <c r="N67" s="23"/>
      <c r="O67" s="26"/>
      <c r="P67" s="19"/>
      <c r="Q67" s="20"/>
      <c r="R67" s="21"/>
      <c r="S67" s="27"/>
      <c r="T67" s="23"/>
      <c r="U67" s="23"/>
      <c r="V67" s="24"/>
      <c r="W67" s="19"/>
      <c r="X67" s="20"/>
      <c r="Y67" s="21"/>
      <c r="Z67" s="28"/>
      <c r="AA67" s="19"/>
      <c r="AB67" s="20"/>
      <c r="AC67" s="21"/>
      <c r="AD67" s="28"/>
      <c r="AE67" s="19"/>
      <c r="AF67" s="20"/>
      <c r="AG67" s="21"/>
      <c r="AH67" s="29"/>
      <c r="AI67" s="30"/>
      <c r="AJ67" s="30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9"/>
      <c r="C68" s="20"/>
      <c r="D68" s="21"/>
      <c r="E68" s="22"/>
      <c r="F68" s="23"/>
      <c r="G68" s="23"/>
      <c r="H68" s="24"/>
      <c r="I68" s="19"/>
      <c r="J68" s="20"/>
      <c r="K68" s="21"/>
      <c r="L68" s="22"/>
      <c r="M68" s="25"/>
      <c r="N68" s="23"/>
      <c r="O68" s="26"/>
      <c r="P68" s="19"/>
      <c r="Q68" s="20"/>
      <c r="R68" s="21"/>
      <c r="S68" s="27"/>
      <c r="T68" s="23"/>
      <c r="U68" s="23"/>
      <c r="V68" s="24"/>
      <c r="W68" s="19"/>
      <c r="X68" s="20"/>
      <c r="Y68" s="21"/>
      <c r="Z68" s="28"/>
      <c r="AA68" s="19"/>
      <c r="AB68" s="20"/>
      <c r="AC68" s="21"/>
      <c r="AD68" s="28"/>
      <c r="AE68" s="19"/>
      <c r="AF68" s="20"/>
      <c r="AG68" s="21"/>
      <c r="AH68" s="29"/>
      <c r="AI68" s="30"/>
      <c r="AJ68" s="30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9"/>
      <c r="C69" s="20"/>
      <c r="D69" s="21"/>
      <c r="E69" s="22"/>
      <c r="F69" s="23"/>
      <c r="G69" s="23"/>
      <c r="H69" s="24"/>
      <c r="I69" s="19"/>
      <c r="J69" s="20"/>
      <c r="K69" s="21"/>
      <c r="L69" s="22"/>
      <c r="M69" s="25"/>
      <c r="N69" s="23"/>
      <c r="O69" s="26"/>
      <c r="P69" s="19"/>
      <c r="Q69" s="20"/>
      <c r="R69" s="21"/>
      <c r="S69" s="27"/>
      <c r="T69" s="23"/>
      <c r="U69" s="23"/>
      <c r="V69" s="24"/>
      <c r="W69" s="19"/>
      <c r="X69" s="20"/>
      <c r="Y69" s="21"/>
      <c r="Z69" s="28"/>
      <c r="AA69" s="19"/>
      <c r="AB69" s="20"/>
      <c r="AC69" s="21"/>
      <c r="AD69" s="28"/>
      <c r="AE69" s="19"/>
      <c r="AF69" s="20"/>
      <c r="AG69" s="21"/>
      <c r="AH69" s="29"/>
      <c r="AI69" s="30"/>
      <c r="AJ69" s="30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9"/>
      <c r="C70" s="20"/>
      <c r="D70" s="21"/>
      <c r="E70" s="22"/>
      <c r="F70" s="23"/>
      <c r="G70" s="23"/>
      <c r="H70" s="24"/>
      <c r="I70" s="19"/>
      <c r="J70" s="20"/>
      <c r="K70" s="21"/>
      <c r="L70" s="22"/>
      <c r="M70" s="25"/>
      <c r="N70" s="23"/>
      <c r="O70" s="26"/>
      <c r="P70" s="19"/>
      <c r="Q70" s="20"/>
      <c r="R70" s="21"/>
      <c r="S70" s="27"/>
      <c r="T70" s="23"/>
      <c r="U70" s="23"/>
      <c r="V70" s="24"/>
      <c r="W70" s="19"/>
      <c r="X70" s="20"/>
      <c r="Y70" s="21"/>
      <c r="Z70" s="28"/>
      <c r="AA70" s="19"/>
      <c r="AB70" s="20"/>
      <c r="AC70" s="21"/>
      <c r="AD70" s="28"/>
      <c r="AE70" s="19"/>
      <c r="AF70" s="20"/>
      <c r="AG70" s="21"/>
      <c r="AH70" s="29"/>
      <c r="AI70" s="30"/>
      <c r="AJ70" s="30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9"/>
      <c r="C71" s="20"/>
      <c r="D71" s="21"/>
      <c r="E71" s="22"/>
      <c r="F71" s="23"/>
      <c r="G71" s="23"/>
      <c r="H71" s="24"/>
      <c r="I71" s="19"/>
      <c r="J71" s="20"/>
      <c r="K71" s="21"/>
      <c r="L71" s="22"/>
      <c r="M71" s="25"/>
      <c r="N71" s="23"/>
      <c r="O71" s="26"/>
      <c r="P71" s="19"/>
      <c r="Q71" s="20"/>
      <c r="R71" s="21"/>
      <c r="S71" s="27"/>
      <c r="T71" s="23"/>
      <c r="U71" s="23"/>
      <c r="V71" s="24"/>
      <c r="W71" s="19"/>
      <c r="X71" s="20"/>
      <c r="Y71" s="21"/>
      <c r="Z71" s="28"/>
      <c r="AA71" s="19"/>
      <c r="AB71" s="20"/>
      <c r="AC71" s="21"/>
      <c r="AD71" s="28"/>
      <c r="AE71" s="19"/>
      <c r="AF71" s="20"/>
      <c r="AG71" s="21"/>
      <c r="AH71" s="29"/>
      <c r="AI71" s="30"/>
      <c r="AJ71" s="30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9"/>
      <c r="C72" s="20"/>
      <c r="D72" s="21"/>
      <c r="E72" s="22"/>
      <c r="F72" s="23"/>
      <c r="G72" s="23"/>
      <c r="H72" s="24"/>
      <c r="I72" s="19"/>
      <c r="J72" s="20"/>
      <c r="K72" s="21"/>
      <c r="L72" s="22"/>
      <c r="M72" s="25"/>
      <c r="N72" s="23"/>
      <c r="O72" s="26"/>
      <c r="P72" s="19"/>
      <c r="Q72" s="20"/>
      <c r="R72" s="21"/>
      <c r="S72" s="27"/>
      <c r="T72" s="23"/>
      <c r="U72" s="23"/>
      <c r="V72" s="24"/>
      <c r="W72" s="19"/>
      <c r="X72" s="20"/>
      <c r="Y72" s="21"/>
      <c r="Z72" s="28"/>
      <c r="AA72" s="19"/>
      <c r="AB72" s="20"/>
      <c r="AC72" s="21"/>
      <c r="AD72" s="28"/>
      <c r="AE72" s="19"/>
      <c r="AF72" s="20"/>
      <c r="AG72" s="21"/>
      <c r="AH72" s="29"/>
      <c r="AI72" s="30"/>
      <c r="AJ72" s="30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9"/>
      <c r="C73" s="20"/>
      <c r="D73" s="21"/>
      <c r="E73" s="22"/>
      <c r="F73" s="23"/>
      <c r="G73" s="23"/>
      <c r="H73" s="24"/>
      <c r="I73" s="19"/>
      <c r="J73" s="20"/>
      <c r="K73" s="21"/>
      <c r="L73" s="22"/>
      <c r="M73" s="25"/>
      <c r="N73" s="23"/>
      <c r="O73" s="26"/>
      <c r="P73" s="19"/>
      <c r="Q73" s="20"/>
      <c r="R73" s="21"/>
      <c r="S73" s="27"/>
      <c r="T73" s="23"/>
      <c r="U73" s="23"/>
      <c r="V73" s="24"/>
      <c r="W73" s="19"/>
      <c r="X73" s="20"/>
      <c r="Y73" s="21"/>
      <c r="Z73" s="28"/>
      <c r="AA73" s="19"/>
      <c r="AB73" s="20"/>
      <c r="AC73" s="21"/>
      <c r="AD73" s="28"/>
      <c r="AE73" s="19"/>
      <c r="AF73" s="20"/>
      <c r="AG73" s="21"/>
      <c r="AH73" s="29"/>
      <c r="AI73" s="30"/>
      <c r="AJ73" s="30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9"/>
      <c r="C74" s="20"/>
      <c r="D74" s="21"/>
      <c r="E74" s="22"/>
      <c r="F74" s="23"/>
      <c r="G74" s="23"/>
      <c r="H74" s="24"/>
      <c r="I74" s="19"/>
      <c r="J74" s="20"/>
      <c r="K74" s="21"/>
      <c r="L74" s="22"/>
      <c r="M74" s="25"/>
      <c r="N74" s="23"/>
      <c r="O74" s="26"/>
      <c r="P74" s="19"/>
      <c r="Q74" s="20"/>
      <c r="R74" s="21"/>
      <c r="S74" s="27"/>
      <c r="T74" s="23"/>
      <c r="U74" s="23"/>
      <c r="V74" s="24"/>
      <c r="W74" s="19"/>
      <c r="X74" s="20"/>
      <c r="Y74" s="21"/>
      <c r="Z74" s="28"/>
      <c r="AA74" s="19"/>
      <c r="AB74" s="20"/>
      <c r="AC74" s="21"/>
      <c r="AD74" s="28"/>
      <c r="AE74" s="19"/>
      <c r="AF74" s="20"/>
      <c r="AG74" s="21"/>
      <c r="AH74" s="29"/>
      <c r="AI74" s="30"/>
      <c r="AJ74" s="30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9"/>
      <c r="C75" s="20"/>
      <c r="D75" s="21"/>
      <c r="E75" s="22"/>
      <c r="F75" s="23"/>
      <c r="G75" s="23"/>
      <c r="H75" s="24"/>
      <c r="I75" s="19"/>
      <c r="J75" s="20"/>
      <c r="K75" s="21"/>
      <c r="L75" s="22"/>
      <c r="M75" s="25"/>
      <c r="N75" s="23"/>
      <c r="O75" s="26"/>
      <c r="P75" s="19"/>
      <c r="Q75" s="20"/>
      <c r="R75" s="21"/>
      <c r="S75" s="27"/>
      <c r="T75" s="23"/>
      <c r="U75" s="23"/>
      <c r="V75" s="24"/>
      <c r="W75" s="19"/>
      <c r="X75" s="20"/>
      <c r="Y75" s="21"/>
      <c r="Z75" s="28"/>
      <c r="AA75" s="19"/>
      <c r="AB75" s="20"/>
      <c r="AC75" s="21"/>
      <c r="AD75" s="28"/>
      <c r="AE75" s="19"/>
      <c r="AF75" s="20"/>
      <c r="AG75" s="21"/>
      <c r="AH75" s="29"/>
      <c r="AI75" s="30"/>
      <c r="AJ75" s="30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9"/>
      <c r="C76" s="20"/>
      <c r="D76" s="21"/>
      <c r="E76" s="22"/>
      <c r="F76" s="23"/>
      <c r="G76" s="23"/>
      <c r="H76" s="24"/>
      <c r="I76" s="19"/>
      <c r="J76" s="20"/>
      <c r="K76" s="21"/>
      <c r="L76" s="22"/>
      <c r="M76" s="25"/>
      <c r="N76" s="23"/>
      <c r="O76" s="26"/>
      <c r="P76" s="19"/>
      <c r="Q76" s="20"/>
      <c r="R76" s="21"/>
      <c r="S76" s="27"/>
      <c r="T76" s="23"/>
      <c r="U76" s="23"/>
      <c r="V76" s="24"/>
      <c r="W76" s="19"/>
      <c r="X76" s="20"/>
      <c r="Y76" s="21"/>
      <c r="Z76" s="28"/>
      <c r="AA76" s="19"/>
      <c r="AB76" s="20"/>
      <c r="AC76" s="21"/>
      <c r="AD76" s="28"/>
      <c r="AE76" s="19"/>
      <c r="AF76" s="20"/>
      <c r="AG76" s="21"/>
      <c r="AH76" s="29"/>
      <c r="AI76" s="30"/>
      <c r="AJ76" s="30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9"/>
      <c r="C77" s="20"/>
      <c r="D77" s="21"/>
      <c r="E77" s="22"/>
      <c r="F77" s="23"/>
      <c r="G77" s="23"/>
      <c r="H77" s="24"/>
      <c r="I77" s="19"/>
      <c r="J77" s="20"/>
      <c r="K77" s="21"/>
      <c r="L77" s="22"/>
      <c r="M77" s="25"/>
      <c r="N77" s="23"/>
      <c r="O77" s="26"/>
      <c r="P77" s="19"/>
      <c r="Q77" s="20"/>
      <c r="R77" s="21"/>
      <c r="S77" s="27"/>
      <c r="T77" s="23"/>
      <c r="U77" s="23"/>
      <c r="V77" s="24"/>
      <c r="W77" s="19"/>
      <c r="X77" s="20"/>
      <c r="Y77" s="21"/>
      <c r="Z77" s="28"/>
      <c r="AA77" s="19"/>
      <c r="AB77" s="20"/>
      <c r="AC77" s="21"/>
      <c r="AD77" s="28"/>
      <c r="AE77" s="19"/>
      <c r="AF77" s="20"/>
      <c r="AG77" s="21"/>
      <c r="AH77" s="29"/>
      <c r="AI77" s="30"/>
      <c r="AJ77" s="30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9"/>
      <c r="C78" s="20"/>
      <c r="D78" s="21"/>
      <c r="E78" s="22"/>
      <c r="F78" s="23"/>
      <c r="G78" s="23"/>
      <c r="H78" s="24"/>
      <c r="I78" s="19"/>
      <c r="J78" s="20"/>
      <c r="K78" s="21"/>
      <c r="L78" s="22"/>
      <c r="M78" s="25"/>
      <c r="N78" s="23"/>
      <c r="O78" s="26"/>
      <c r="P78" s="19"/>
      <c r="Q78" s="20"/>
      <c r="R78" s="21"/>
      <c r="S78" s="27"/>
      <c r="T78" s="23"/>
      <c r="U78" s="23"/>
      <c r="V78" s="24"/>
      <c r="W78" s="19"/>
      <c r="X78" s="20"/>
      <c r="Y78" s="21"/>
      <c r="Z78" s="28"/>
      <c r="AA78" s="19"/>
      <c r="AB78" s="20"/>
      <c r="AC78" s="21"/>
      <c r="AD78" s="28"/>
      <c r="AE78" s="19"/>
      <c r="AF78" s="20"/>
      <c r="AG78" s="21"/>
      <c r="AH78" s="29"/>
      <c r="AI78" s="30"/>
      <c r="AJ78" s="30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9"/>
      <c r="C79" s="20"/>
      <c r="D79" s="21"/>
      <c r="E79" s="22"/>
      <c r="F79" s="23"/>
      <c r="G79" s="23"/>
      <c r="H79" s="24"/>
      <c r="I79" s="19"/>
      <c r="J79" s="20"/>
      <c r="K79" s="21"/>
      <c r="L79" s="22"/>
      <c r="M79" s="25"/>
      <c r="N79" s="23"/>
      <c r="O79" s="26"/>
      <c r="P79" s="19"/>
      <c r="Q79" s="20"/>
      <c r="R79" s="21"/>
      <c r="S79" s="27"/>
      <c r="T79" s="23"/>
      <c r="U79" s="23"/>
      <c r="V79" s="24"/>
      <c r="W79" s="19"/>
      <c r="X79" s="20"/>
      <c r="Y79" s="21"/>
      <c r="Z79" s="28"/>
      <c r="AA79" s="19"/>
      <c r="AB79" s="20"/>
      <c r="AC79" s="21"/>
      <c r="AD79" s="28"/>
      <c r="AE79" s="19"/>
      <c r="AF79" s="20"/>
      <c r="AG79" s="21"/>
      <c r="AH79" s="29"/>
      <c r="AI79" s="30"/>
      <c r="AJ79" s="30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9"/>
      <c r="C80" s="20"/>
      <c r="D80" s="21"/>
      <c r="E80" s="22"/>
      <c r="F80" s="23"/>
      <c r="G80" s="23"/>
      <c r="H80" s="24"/>
      <c r="I80" s="19"/>
      <c r="J80" s="20"/>
      <c r="K80" s="21"/>
      <c r="L80" s="22"/>
      <c r="M80" s="25"/>
      <c r="N80" s="23"/>
      <c r="O80" s="26"/>
      <c r="P80" s="19"/>
      <c r="Q80" s="20"/>
      <c r="R80" s="21"/>
      <c r="S80" s="27"/>
      <c r="T80" s="23"/>
      <c r="U80" s="23"/>
      <c r="V80" s="24"/>
      <c r="W80" s="19"/>
      <c r="X80" s="20"/>
      <c r="Y80" s="21"/>
      <c r="Z80" s="28"/>
      <c r="AA80" s="19"/>
      <c r="AB80" s="20"/>
      <c r="AC80" s="21"/>
      <c r="AD80" s="28"/>
      <c r="AE80" s="19"/>
      <c r="AF80" s="20"/>
      <c r="AG80" s="21"/>
      <c r="AH80" s="29"/>
      <c r="AI80" s="30"/>
      <c r="AJ80" s="30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9"/>
      <c r="C81" s="20"/>
      <c r="D81" s="21"/>
      <c r="E81" s="22"/>
      <c r="F81" s="23"/>
      <c r="G81" s="23"/>
      <c r="H81" s="24"/>
      <c r="I81" s="19"/>
      <c r="J81" s="20"/>
      <c r="K81" s="21"/>
      <c r="L81" s="22"/>
      <c r="M81" s="25"/>
      <c r="N81" s="23"/>
      <c r="O81" s="26"/>
      <c r="P81" s="19"/>
      <c r="Q81" s="20"/>
      <c r="R81" s="21"/>
      <c r="S81" s="27"/>
      <c r="T81" s="23"/>
      <c r="U81" s="23"/>
      <c r="V81" s="24"/>
      <c r="W81" s="19"/>
      <c r="X81" s="20"/>
      <c r="Y81" s="21"/>
      <c r="Z81" s="28"/>
      <c r="AA81" s="19"/>
      <c r="AB81" s="20"/>
      <c r="AC81" s="21"/>
      <c r="AD81" s="28"/>
      <c r="AE81" s="19"/>
      <c r="AF81" s="20"/>
      <c r="AG81" s="21"/>
      <c r="AH81" s="29"/>
      <c r="AI81" s="30"/>
      <c r="AJ81" s="30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9"/>
      <c r="C82" s="20"/>
      <c r="D82" s="21"/>
      <c r="E82" s="22"/>
      <c r="F82" s="23"/>
      <c r="G82" s="23"/>
      <c r="H82" s="24"/>
      <c r="I82" s="19"/>
      <c r="J82" s="20"/>
      <c r="K82" s="21"/>
      <c r="L82" s="22"/>
      <c r="M82" s="25"/>
      <c r="N82" s="23"/>
      <c r="O82" s="26"/>
      <c r="P82" s="19"/>
      <c r="Q82" s="20"/>
      <c r="R82" s="21"/>
      <c r="S82" s="27"/>
      <c r="T82" s="23"/>
      <c r="U82" s="23"/>
      <c r="V82" s="24"/>
      <c r="W82" s="19"/>
      <c r="X82" s="20"/>
      <c r="Y82" s="21"/>
      <c r="Z82" s="28"/>
      <c r="AA82" s="19"/>
      <c r="AB82" s="20"/>
      <c r="AC82" s="21"/>
      <c r="AD82" s="28"/>
      <c r="AE82" s="19"/>
      <c r="AF82" s="20"/>
      <c r="AG82" s="21"/>
      <c r="AH82" s="29"/>
      <c r="AI82" s="30"/>
      <c r="AJ82" s="30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9"/>
      <c r="C83" s="20"/>
      <c r="D83" s="21"/>
      <c r="E83" s="22"/>
      <c r="F83" s="23"/>
      <c r="G83" s="23"/>
      <c r="H83" s="24"/>
      <c r="I83" s="19"/>
      <c r="J83" s="20"/>
      <c r="K83" s="21"/>
      <c r="L83" s="22"/>
      <c r="M83" s="25"/>
      <c r="N83" s="23"/>
      <c r="O83" s="26"/>
      <c r="P83" s="19"/>
      <c r="Q83" s="20"/>
      <c r="R83" s="21"/>
      <c r="S83" s="27"/>
      <c r="T83" s="23"/>
      <c r="U83" s="23"/>
      <c r="V83" s="24"/>
      <c r="W83" s="19"/>
      <c r="X83" s="20"/>
      <c r="Y83" s="21"/>
      <c r="Z83" s="28"/>
      <c r="AA83" s="19"/>
      <c r="AB83" s="20"/>
      <c r="AC83" s="21"/>
      <c r="AD83" s="28"/>
      <c r="AE83" s="19"/>
      <c r="AF83" s="20"/>
      <c r="AG83" s="21"/>
      <c r="AH83" s="29"/>
      <c r="AI83" s="30"/>
      <c r="AJ83" s="30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9"/>
      <c r="C84" s="20"/>
      <c r="D84" s="21"/>
      <c r="E84" s="22"/>
      <c r="F84" s="23"/>
      <c r="G84" s="23"/>
      <c r="H84" s="24"/>
      <c r="I84" s="19"/>
      <c r="J84" s="20"/>
      <c r="K84" s="21"/>
      <c r="L84" s="22"/>
      <c r="M84" s="25"/>
      <c r="N84" s="23"/>
      <c r="O84" s="26"/>
      <c r="P84" s="19"/>
      <c r="Q84" s="20"/>
      <c r="R84" s="21"/>
      <c r="S84" s="27"/>
      <c r="T84" s="23"/>
      <c r="U84" s="23"/>
      <c r="V84" s="24"/>
      <c r="W84" s="19"/>
      <c r="X84" s="20"/>
      <c r="Y84" s="21"/>
      <c r="Z84" s="28"/>
      <c r="AA84" s="19"/>
      <c r="AB84" s="20"/>
      <c r="AC84" s="21"/>
      <c r="AD84" s="28"/>
      <c r="AE84" s="19"/>
      <c r="AF84" s="20"/>
      <c r="AG84" s="21"/>
      <c r="AH84" s="29"/>
      <c r="AI84" s="30"/>
      <c r="AJ84" s="30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9"/>
      <c r="C85" s="20"/>
      <c r="D85" s="21"/>
      <c r="E85" s="22"/>
      <c r="F85" s="23"/>
      <c r="G85" s="23"/>
      <c r="H85" s="24"/>
      <c r="I85" s="19"/>
      <c r="J85" s="20"/>
      <c r="K85" s="21"/>
      <c r="L85" s="22"/>
      <c r="M85" s="25"/>
      <c r="N85" s="23"/>
      <c r="O85" s="26"/>
      <c r="P85" s="19"/>
      <c r="Q85" s="20"/>
      <c r="R85" s="21"/>
      <c r="S85" s="27"/>
      <c r="T85" s="23"/>
      <c r="U85" s="23"/>
      <c r="V85" s="24"/>
      <c r="W85" s="19"/>
      <c r="X85" s="20"/>
      <c r="Y85" s="21"/>
      <c r="Z85" s="28"/>
      <c r="AA85" s="19"/>
      <c r="AB85" s="20"/>
      <c r="AC85" s="21"/>
      <c r="AD85" s="28"/>
      <c r="AE85" s="19"/>
      <c r="AF85" s="20"/>
      <c r="AG85" s="21"/>
      <c r="AH85" s="29"/>
      <c r="AI85" s="30"/>
      <c r="AJ85" s="30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9"/>
      <c r="C86" s="20"/>
      <c r="D86" s="21"/>
      <c r="E86" s="22"/>
      <c r="F86" s="23"/>
      <c r="G86" s="23"/>
      <c r="H86" s="24"/>
      <c r="I86" s="19"/>
      <c r="J86" s="20"/>
      <c r="K86" s="21"/>
      <c r="L86" s="22"/>
      <c r="M86" s="25"/>
      <c r="N86" s="23"/>
      <c r="O86" s="26"/>
      <c r="P86" s="19"/>
      <c r="Q86" s="20"/>
      <c r="R86" s="21"/>
      <c r="S86" s="27"/>
      <c r="T86" s="23"/>
      <c r="U86" s="23"/>
      <c r="V86" s="24"/>
      <c r="W86" s="19"/>
      <c r="X86" s="20"/>
      <c r="Y86" s="21"/>
      <c r="Z86" s="28"/>
      <c r="AA86" s="19"/>
      <c r="AB86" s="20"/>
      <c r="AC86" s="21"/>
      <c r="AD86" s="28"/>
      <c r="AE86" s="19"/>
      <c r="AF86" s="20"/>
      <c r="AG86" s="21"/>
      <c r="AH86" s="29"/>
      <c r="AI86" s="30"/>
      <c r="AJ86" s="30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3"/>
      <c r="C87" s="33"/>
      <c r="D87" s="33"/>
      <c r="E87" s="5"/>
      <c r="F87" s="33"/>
      <c r="G87" s="33"/>
      <c r="H87" s="34"/>
      <c r="I87" s="33"/>
      <c r="J87" s="33"/>
      <c r="K87" s="33"/>
      <c r="L87" s="33"/>
      <c r="M87" s="5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0"/>
      <c r="AJ87" s="30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3"/>
      <c r="C88" s="33"/>
      <c r="D88" s="33"/>
      <c r="E88" s="5"/>
      <c r="F88" s="33"/>
      <c r="G88" s="33"/>
      <c r="H88" s="34"/>
      <c r="I88" s="33"/>
      <c r="J88" s="33"/>
      <c r="K88" s="33"/>
      <c r="L88" s="33"/>
      <c r="M88" s="5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0"/>
      <c r="AJ88" s="30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3"/>
      <c r="C89" s="33"/>
      <c r="D89" s="33"/>
      <c r="E89" s="5"/>
      <c r="F89" s="33"/>
      <c r="G89" s="33"/>
      <c r="H89" s="34"/>
      <c r="I89" s="33"/>
      <c r="J89" s="33"/>
      <c r="K89" s="33"/>
      <c r="L89" s="33"/>
      <c r="M89" s="5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0"/>
      <c r="AJ89" s="30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3"/>
      <c r="C90" s="33"/>
      <c r="D90" s="33"/>
      <c r="E90" s="5"/>
      <c r="F90" s="33"/>
      <c r="G90" s="33"/>
      <c r="H90" s="34"/>
      <c r="I90" s="33"/>
      <c r="J90" s="33"/>
      <c r="K90" s="33"/>
      <c r="L90" s="33"/>
      <c r="M90" s="5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0"/>
      <c r="AJ90" s="30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3"/>
      <c r="C91" s="33"/>
      <c r="D91" s="33"/>
      <c r="E91" s="5"/>
      <c r="F91" s="33"/>
      <c r="G91" s="33"/>
      <c r="H91" s="34"/>
      <c r="I91" s="33"/>
      <c r="J91" s="33"/>
      <c r="K91" s="33"/>
      <c r="L91" s="33"/>
      <c r="M91" s="5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0"/>
      <c r="AJ91" s="30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3"/>
      <c r="C92" s="33"/>
      <c r="D92" s="33"/>
      <c r="E92" s="5"/>
      <c r="F92" s="33"/>
      <c r="G92" s="33"/>
      <c r="H92" s="34"/>
      <c r="I92" s="33"/>
      <c r="J92" s="33"/>
      <c r="K92" s="33"/>
      <c r="L92" s="33"/>
      <c r="M92" s="5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0"/>
      <c r="AJ92" s="30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3"/>
      <c r="C93" s="33"/>
      <c r="D93" s="33"/>
      <c r="E93" s="5"/>
      <c r="F93" s="33"/>
      <c r="G93" s="33"/>
      <c r="H93" s="34"/>
      <c r="I93" s="33"/>
      <c r="J93" s="33"/>
      <c r="K93" s="33"/>
      <c r="L93" s="33"/>
      <c r="M93" s="5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0"/>
      <c r="AJ93" s="30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3"/>
      <c r="C94" s="33"/>
      <c r="D94" s="33"/>
      <c r="E94" s="5"/>
      <c r="F94" s="33"/>
      <c r="G94" s="33"/>
      <c r="H94" s="34"/>
      <c r="I94" s="33"/>
      <c r="J94" s="33"/>
      <c r="K94" s="33"/>
      <c r="L94" s="33"/>
      <c r="M94" s="5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0"/>
      <c r="AJ94" s="30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3"/>
      <c r="C95" s="33"/>
      <c r="D95" s="33"/>
      <c r="E95" s="5"/>
      <c r="F95" s="33"/>
      <c r="G95" s="33"/>
      <c r="H95" s="34"/>
      <c r="I95" s="33"/>
      <c r="J95" s="33"/>
      <c r="K95" s="33"/>
      <c r="L95" s="33"/>
      <c r="M95" s="5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0"/>
      <c r="AJ95" s="30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0"/>
      <c r="AJ96" s="30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0"/>
      <c r="AJ97" s="30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0"/>
      <c r="AJ98" s="30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0"/>
      <c r="AJ99" s="30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0"/>
      <c r="AJ100" s="30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0"/>
      <c r="AJ101" s="30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0"/>
      <c r="AJ102" s="30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0"/>
      <c r="AJ103" s="30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0"/>
      <c r="AJ104" s="30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0"/>
      <c r="AJ105" s="30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0"/>
      <c r="AJ106" s="30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0"/>
      <c r="AJ107" s="30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0"/>
      <c r="AJ108" s="30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0"/>
      <c r="AJ109" s="30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0"/>
      <c r="AJ110" s="30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0"/>
      <c r="AJ111" s="30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0"/>
      <c r="AJ112" s="30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0"/>
      <c r="AJ113" s="30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0"/>
      <c r="AJ114" s="30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0"/>
      <c r="AJ115" s="30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0"/>
      <c r="AJ116" s="30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0"/>
      <c r="AJ117" s="30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0"/>
      <c r="AJ118" s="30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0"/>
      <c r="AJ119" s="30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0"/>
      <c r="AJ120" s="30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0"/>
      <c r="AJ121" s="30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0"/>
      <c r="AJ122" s="30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0"/>
      <c r="AJ123" s="30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0"/>
      <c r="AJ124" s="30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0"/>
      <c r="AJ125" s="30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0"/>
      <c r="AJ126" s="30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0"/>
      <c r="AJ127" s="30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0"/>
      <c r="AJ128" s="30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0"/>
      <c r="AJ129" s="30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0"/>
      <c r="AJ130" s="30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0"/>
      <c r="AJ131" s="30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0"/>
      <c r="AJ132" s="30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0"/>
      <c r="AJ133" s="30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0"/>
      <c r="AJ134" s="30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0"/>
      <c r="AJ135" s="30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0"/>
      <c r="AJ136" s="30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0"/>
      <c r="AJ137" s="30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0"/>
      <c r="AJ138" s="30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0"/>
      <c r="AJ139" s="30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0"/>
      <c r="AJ140" s="30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0"/>
      <c r="AJ141" s="30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0"/>
      <c r="AJ142" s="30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0"/>
      <c r="AJ143" s="30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0"/>
      <c r="AJ144" s="30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0"/>
      <c r="AJ145" s="30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0"/>
      <c r="AJ146" s="30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0"/>
      <c r="AJ147" s="30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0"/>
      <c r="AJ148" s="30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0"/>
      <c r="AJ149" s="30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0"/>
      <c r="AJ150" s="30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0"/>
      <c r="AJ151" s="30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0"/>
      <c r="AJ152" s="30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0"/>
      <c r="AJ153" s="30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0"/>
      <c r="AJ154" s="30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0"/>
      <c r="AJ155" s="30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0"/>
      <c r="AJ156" s="30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0"/>
      <c r="AJ157" s="30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0"/>
      <c r="AJ158" s="30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0"/>
      <c r="AJ159" s="30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0"/>
      <c r="AJ160" s="30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0"/>
      <c r="AJ161" s="30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0"/>
      <c r="AJ162" s="30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0"/>
      <c r="AJ163" s="30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0"/>
      <c r="AJ164" s="30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0"/>
      <c r="AJ165" s="30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0"/>
      <c r="AJ166" s="30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0"/>
      <c r="AJ167" s="30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0"/>
      <c r="AJ168" s="30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0"/>
      <c r="AJ169" s="30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0"/>
      <c r="AJ170" s="30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0"/>
      <c r="AJ171" s="30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0"/>
      <c r="AJ172" s="30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0"/>
      <c r="AJ173" s="30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0"/>
      <c r="AJ174" s="30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0"/>
      <c r="AJ175" s="30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0"/>
      <c r="AJ176" s="30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0"/>
      <c r="AJ177" s="30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0"/>
      <c r="AJ178" s="30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0"/>
      <c r="AJ179" s="30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0"/>
      <c r="AJ180" s="30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0"/>
      <c r="AJ181" s="30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0"/>
      <c r="AJ182" s="30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0"/>
      <c r="AJ183" s="30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0"/>
      <c r="AJ184" s="30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0"/>
      <c r="AJ185" s="30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0"/>
      <c r="AJ186" s="30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0"/>
      <c r="AJ187" s="30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0"/>
      <c r="AJ188" s="30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0"/>
      <c r="AJ189" s="30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0"/>
      <c r="AJ190" s="30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0"/>
      <c r="AJ191" s="30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0"/>
      <c r="AJ192" s="30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0"/>
      <c r="AJ193" s="30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0"/>
      <c r="AJ194" s="30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0"/>
      <c r="AJ195" s="30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0"/>
      <c r="AJ196" s="30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0"/>
      <c r="AJ197" s="30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0"/>
      <c r="AJ198" s="30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0"/>
      <c r="AJ199" s="30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0"/>
      <c r="AJ200" s="30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0"/>
      <c r="AJ201" s="30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0"/>
      <c r="AJ202" s="30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0"/>
      <c r="AJ203" s="30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0"/>
      <c r="AJ204" s="30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0"/>
      <c r="AJ205" s="30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0"/>
      <c r="AJ206" s="30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0"/>
      <c r="AJ207" s="30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0"/>
      <c r="AJ208" s="30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0"/>
      <c r="AJ209" s="30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0"/>
      <c r="AJ210" s="30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0"/>
      <c r="AJ211" s="30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0"/>
      <c r="AJ212" s="30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0"/>
      <c r="AJ213" s="30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0"/>
      <c r="AJ214" s="30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0"/>
      <c r="AJ215" s="30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0"/>
      <c r="AJ216" s="30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0"/>
      <c r="AJ217" s="30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0"/>
      <c r="AJ218" s="30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0"/>
      <c r="AJ219" s="30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0"/>
      <c r="AJ220" s="30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0"/>
      <c r="AJ221" s="30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0"/>
      <c r="AJ222" s="30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0"/>
      <c r="AJ223" s="30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0"/>
      <c r="AJ224" s="30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0"/>
      <c r="AJ225" s="30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0"/>
      <c r="AJ226" s="30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0"/>
      <c r="AJ227" s="30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0"/>
      <c r="AJ228" s="30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0"/>
      <c r="AJ229" s="30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0"/>
      <c r="AJ230" s="30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0"/>
      <c r="AJ231" s="30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0"/>
      <c r="AJ232" s="30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0"/>
      <c r="AJ233" s="30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0"/>
      <c r="AJ234" s="30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0"/>
      <c r="AJ235" s="30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0"/>
      <c r="AJ236" s="30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0"/>
      <c r="AJ237" s="30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0"/>
      <c r="AJ238" s="30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0"/>
      <c r="AJ239" s="30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0"/>
      <c r="AJ240" s="30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0"/>
      <c r="AJ241" s="30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0"/>
      <c r="AJ242" s="30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0"/>
      <c r="AJ243" s="30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0"/>
      <c r="AJ244" s="30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0"/>
      <c r="AJ245" s="30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0"/>
      <c r="AJ246" s="30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0"/>
      <c r="AJ247" s="30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0"/>
      <c r="AJ248" s="30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0"/>
      <c r="AJ249" s="30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0"/>
      <c r="AJ250" s="30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0"/>
      <c r="AJ251" s="30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0"/>
      <c r="AJ252" s="30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0"/>
      <c r="AJ253" s="30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0"/>
      <c r="AJ254" s="30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0"/>
      <c r="AJ255" s="30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0"/>
      <c r="AJ256" s="30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0"/>
      <c r="AJ257" s="30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0"/>
      <c r="AJ258" s="30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0"/>
      <c r="AJ259" s="30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0"/>
      <c r="AJ260" s="30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0"/>
      <c r="AJ261" s="30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0"/>
      <c r="AJ262" s="30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0"/>
      <c r="AJ263" s="30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0"/>
      <c r="AJ264" s="30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0"/>
      <c r="AJ265" s="30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0"/>
      <c r="AJ266" s="30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0"/>
      <c r="AJ267" s="30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0"/>
      <c r="AJ268" s="30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0"/>
      <c r="AJ269" s="30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0"/>
      <c r="AJ270" s="30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0"/>
      <c r="AJ271" s="30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0"/>
      <c r="AJ272" s="30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0"/>
      <c r="AJ273" s="30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0"/>
      <c r="AJ274" s="30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0"/>
      <c r="AJ275" s="30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0"/>
      <c r="AJ276" s="30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0"/>
      <c r="AJ277" s="30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0"/>
      <c r="AJ278" s="30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0"/>
      <c r="AJ279" s="30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0"/>
      <c r="AJ280" s="30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0"/>
      <c r="AJ281" s="30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0"/>
      <c r="AJ282" s="30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0"/>
      <c r="AJ283" s="30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0"/>
      <c r="AJ284" s="30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0"/>
      <c r="AJ285" s="30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0"/>
      <c r="AJ286" s="30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0"/>
      <c r="AJ287" s="30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0"/>
      <c r="AJ288" s="30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0"/>
      <c r="AJ289" s="30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0"/>
      <c r="AJ290" s="30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0"/>
      <c r="AJ291" s="30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0"/>
      <c r="AJ292" s="30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0"/>
      <c r="AJ293" s="30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0"/>
      <c r="AJ294" s="30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0"/>
      <c r="AJ295" s="30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0"/>
      <c r="AJ296" s="30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0"/>
      <c r="AJ297" s="30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0"/>
      <c r="AJ298" s="30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0"/>
      <c r="AJ299" s="30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0"/>
      <c r="AJ300" s="30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0"/>
      <c r="AJ301" s="30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0"/>
      <c r="AJ302" s="30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0"/>
      <c r="AJ303" s="30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0"/>
      <c r="AJ304" s="30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0"/>
      <c r="AJ305" s="30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0"/>
      <c r="AJ306" s="30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0"/>
      <c r="AJ307" s="30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0"/>
      <c r="AJ308" s="30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0"/>
      <c r="AJ309" s="30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0"/>
      <c r="AJ310" s="30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0"/>
      <c r="AJ311" s="30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0"/>
      <c r="AJ312" s="30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0"/>
      <c r="AJ313" s="30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0"/>
      <c r="AJ314" s="30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0"/>
      <c r="AJ315" s="30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0"/>
      <c r="AJ316" s="30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0"/>
      <c r="AJ317" s="30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0"/>
      <c r="AJ318" s="30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0"/>
      <c r="AJ319" s="30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0"/>
      <c r="AJ320" s="30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0"/>
      <c r="AJ321" s="30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0"/>
      <c r="AJ322" s="30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0"/>
      <c r="AJ323" s="30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0"/>
      <c r="AJ324" s="30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0"/>
      <c r="AJ325" s="30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0"/>
      <c r="AJ326" s="30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0"/>
      <c r="AJ327" s="30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0"/>
      <c r="AJ328" s="30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0"/>
      <c r="AJ329" s="30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0"/>
      <c r="AJ330" s="30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0"/>
      <c r="AJ331" s="30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0"/>
      <c r="AJ332" s="30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0"/>
      <c r="AJ333" s="30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0"/>
      <c r="AJ334" s="30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0"/>
      <c r="AJ335" s="30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0"/>
      <c r="AJ336" s="30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0"/>
      <c r="AJ337" s="30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0"/>
      <c r="AJ338" s="30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0"/>
      <c r="AJ339" s="30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0"/>
      <c r="AJ340" s="30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0"/>
      <c r="AJ341" s="30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0"/>
      <c r="AJ342" s="30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0"/>
      <c r="AJ343" s="30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0"/>
      <c r="AJ344" s="30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0"/>
      <c r="AJ345" s="30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0"/>
      <c r="AJ346" s="30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0"/>
      <c r="AJ347" s="30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0"/>
      <c r="AJ348" s="30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0"/>
      <c r="AJ349" s="30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0"/>
      <c r="AJ350" s="30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0"/>
      <c r="AJ351" s="30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0"/>
      <c r="AJ352" s="30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0"/>
      <c r="AJ353" s="30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0"/>
      <c r="AJ354" s="30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0"/>
      <c r="AJ355" s="30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0"/>
      <c r="AJ356" s="30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0"/>
      <c r="AJ357" s="30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0"/>
      <c r="AJ358" s="30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0"/>
      <c r="AJ359" s="30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0"/>
      <c r="AJ360" s="30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0"/>
      <c r="AJ361" s="30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0"/>
      <c r="AJ362" s="30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0"/>
      <c r="AJ363" s="30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0"/>
      <c r="AJ364" s="30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0"/>
      <c r="AJ365" s="30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0"/>
      <c r="AJ366" s="30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0"/>
      <c r="AJ367" s="30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0"/>
      <c r="AJ368" s="30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0"/>
      <c r="AJ369" s="30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0"/>
      <c r="AJ370" s="30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0"/>
      <c r="AJ371" s="30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0"/>
      <c r="AJ372" s="30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0"/>
      <c r="AJ373" s="30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0"/>
      <c r="AJ374" s="30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0"/>
      <c r="AJ375" s="30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0"/>
      <c r="AJ376" s="30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0"/>
      <c r="AJ377" s="30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0"/>
      <c r="AJ378" s="30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0"/>
      <c r="AJ379" s="30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0"/>
      <c r="AJ380" s="30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0"/>
      <c r="AJ381" s="30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0"/>
      <c r="AJ382" s="30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0"/>
      <c r="AJ383" s="30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0"/>
      <c r="AJ384" s="30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0"/>
      <c r="AJ385" s="30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0"/>
      <c r="AJ386" s="30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0"/>
      <c r="AJ387" s="30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0"/>
      <c r="AJ388" s="30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0"/>
      <c r="AJ389" s="30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0"/>
      <c r="AJ390" s="30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0"/>
      <c r="AJ391" s="30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0"/>
      <c r="AJ392" s="30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0"/>
      <c r="AJ393" s="30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0"/>
      <c r="AJ394" s="30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0"/>
      <c r="AJ395" s="30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0"/>
      <c r="AJ396" s="30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0"/>
      <c r="AJ397" s="30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0"/>
      <c r="AJ398" s="30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0"/>
      <c r="AJ399" s="30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0"/>
      <c r="AJ400" s="30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0"/>
      <c r="AJ401" s="30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0"/>
      <c r="AJ402" s="30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0"/>
      <c r="AJ403" s="30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0"/>
      <c r="AJ404" s="30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0"/>
      <c r="AJ405" s="30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0"/>
      <c r="AJ406" s="30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0"/>
      <c r="AJ407" s="30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0"/>
      <c r="AJ408" s="30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0"/>
      <c r="AJ409" s="30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0"/>
      <c r="AJ410" s="30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0"/>
      <c r="AJ411" s="30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0"/>
      <c r="AJ412" s="30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0"/>
      <c r="AJ413" s="30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0"/>
      <c r="AJ414" s="30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0"/>
      <c r="AJ415" s="30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0"/>
      <c r="AJ416" s="30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0"/>
      <c r="AJ417" s="30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0"/>
      <c r="AJ418" s="30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0"/>
      <c r="AJ419" s="30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0"/>
      <c r="AJ420" s="30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0"/>
      <c r="AJ421" s="30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0"/>
      <c r="AJ422" s="30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0"/>
      <c r="AJ423" s="30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0"/>
      <c r="AJ424" s="30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0"/>
      <c r="AJ425" s="30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0"/>
      <c r="AJ426" s="30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0"/>
      <c r="AJ427" s="30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0"/>
      <c r="AJ428" s="30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0"/>
      <c r="AJ429" s="30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0"/>
      <c r="AJ430" s="30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0"/>
      <c r="AJ431" s="30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0"/>
      <c r="AJ432" s="30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0"/>
      <c r="AJ433" s="30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0"/>
      <c r="AJ434" s="30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0"/>
      <c r="AJ435" s="30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0"/>
      <c r="AJ436" s="30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0"/>
      <c r="AJ437" s="30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0"/>
      <c r="AJ438" s="30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0"/>
      <c r="AJ439" s="30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0"/>
      <c r="AJ440" s="30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0"/>
      <c r="AJ441" s="30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0"/>
      <c r="AJ442" s="30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0"/>
      <c r="AJ443" s="30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0"/>
      <c r="AJ444" s="30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0"/>
      <c r="AJ445" s="30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0"/>
      <c r="AJ446" s="30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0"/>
      <c r="AJ447" s="30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0"/>
      <c r="AJ448" s="30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0"/>
      <c r="AJ449" s="30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0"/>
      <c r="AJ450" s="30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0"/>
      <c r="AJ451" s="30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0"/>
      <c r="AJ452" s="30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0"/>
      <c r="AJ453" s="30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0"/>
      <c r="AJ454" s="30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0"/>
      <c r="AJ455" s="30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0"/>
      <c r="AJ456" s="30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0"/>
      <c r="AJ457" s="30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0"/>
      <c r="AJ458" s="30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0"/>
      <c r="AJ459" s="30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0"/>
      <c r="AJ460" s="30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0"/>
      <c r="AJ461" s="30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0"/>
      <c r="AJ462" s="30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0"/>
      <c r="AJ463" s="30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0"/>
      <c r="AJ464" s="30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0"/>
      <c r="AJ465" s="30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0"/>
      <c r="AJ466" s="30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0"/>
      <c r="AJ467" s="30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0"/>
      <c r="AJ468" s="30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0"/>
      <c r="AJ469" s="30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0"/>
      <c r="AJ470" s="30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0"/>
      <c r="AJ471" s="30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0"/>
      <c r="AJ472" s="30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0"/>
      <c r="AJ473" s="30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0"/>
      <c r="AJ474" s="30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0"/>
      <c r="AJ475" s="30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0"/>
      <c r="AJ476" s="30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0"/>
      <c r="AJ477" s="30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0"/>
      <c r="AJ478" s="30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0"/>
      <c r="AJ479" s="30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0"/>
      <c r="AJ480" s="30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0"/>
      <c r="AJ481" s="30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0"/>
      <c r="AJ482" s="30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0"/>
      <c r="AJ483" s="30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0"/>
      <c r="AJ484" s="30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0"/>
      <c r="AJ485" s="30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0"/>
      <c r="AJ486" s="30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0"/>
      <c r="AJ487" s="30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0"/>
      <c r="AJ488" s="30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0"/>
      <c r="AJ489" s="30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0"/>
      <c r="AJ490" s="30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0"/>
      <c r="AJ491" s="30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0"/>
      <c r="AJ492" s="30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0"/>
      <c r="AJ493" s="30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0"/>
      <c r="AJ494" s="30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0"/>
      <c r="AJ495" s="30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0"/>
      <c r="AJ496" s="30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0"/>
      <c r="AJ497" s="30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0"/>
      <c r="AJ498" s="30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0"/>
      <c r="AJ499" s="30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0"/>
      <c r="AJ500" s="30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0"/>
      <c r="AJ501" s="30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0"/>
      <c r="AJ502" s="30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0"/>
      <c r="AJ503" s="30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0"/>
      <c r="AJ504" s="30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0"/>
      <c r="AJ505" s="30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0"/>
      <c r="AJ506" s="30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0"/>
      <c r="AJ507" s="30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0"/>
      <c r="AJ508" s="30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0"/>
      <c r="AJ509" s="30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0"/>
      <c r="AJ510" s="30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0"/>
      <c r="AJ511" s="30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0"/>
      <c r="AJ512" s="30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0"/>
      <c r="AJ513" s="30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0"/>
      <c r="AJ514" s="30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0"/>
      <c r="AJ515" s="30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0"/>
      <c r="AJ516" s="30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0"/>
      <c r="AJ517" s="30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0"/>
      <c r="AJ518" s="30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0"/>
      <c r="AJ519" s="30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0"/>
      <c r="AJ520" s="30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0"/>
      <c r="AJ521" s="30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0"/>
      <c r="AJ522" s="30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0"/>
      <c r="AJ523" s="30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0"/>
      <c r="AJ524" s="30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0"/>
      <c r="AJ525" s="30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0"/>
      <c r="AJ526" s="30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0"/>
      <c r="AJ527" s="30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0"/>
      <c r="AJ528" s="30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0"/>
      <c r="AJ529" s="30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0"/>
      <c r="AJ530" s="30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0"/>
      <c r="AJ531" s="30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0"/>
      <c r="AJ532" s="30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0"/>
      <c r="AJ533" s="30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0"/>
      <c r="AJ534" s="30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0"/>
      <c r="AJ535" s="30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0"/>
      <c r="AJ536" s="30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0"/>
      <c r="AJ537" s="30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0"/>
      <c r="AJ538" s="30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0"/>
      <c r="AJ539" s="30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0"/>
      <c r="AJ540" s="30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0"/>
      <c r="AJ541" s="30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0"/>
      <c r="AJ542" s="30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0"/>
      <c r="AJ543" s="30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0"/>
      <c r="AJ544" s="30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0"/>
      <c r="AJ545" s="30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0"/>
      <c r="AJ546" s="30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0"/>
      <c r="AJ547" s="30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0"/>
      <c r="AJ548" s="30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0"/>
      <c r="AJ549" s="30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0"/>
      <c r="AJ550" s="30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0"/>
      <c r="AJ551" s="30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0"/>
      <c r="AJ552" s="30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0"/>
      <c r="AJ553" s="30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0"/>
      <c r="AJ554" s="30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0"/>
      <c r="AJ555" s="30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0"/>
      <c r="AJ556" s="30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0"/>
      <c r="AJ557" s="30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0"/>
      <c r="AJ558" s="30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0"/>
      <c r="AJ559" s="30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0"/>
      <c r="AJ560" s="30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0"/>
      <c r="AJ561" s="30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0"/>
      <c r="AJ562" s="30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0"/>
      <c r="AJ563" s="30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0"/>
      <c r="AJ564" s="30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0"/>
      <c r="AJ565" s="30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0"/>
      <c r="AJ566" s="30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0"/>
      <c r="AJ567" s="30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0"/>
      <c r="AJ568" s="30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0"/>
      <c r="AJ569" s="30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0"/>
      <c r="AJ570" s="30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0"/>
      <c r="AJ571" s="30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0"/>
      <c r="AJ572" s="30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0"/>
      <c r="AJ573" s="30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0"/>
      <c r="AJ574" s="30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0"/>
      <c r="AJ575" s="30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0"/>
      <c r="AJ576" s="30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0"/>
      <c r="AJ577" s="30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0"/>
      <c r="AJ578" s="30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0"/>
      <c r="AJ579" s="30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0"/>
      <c r="AJ580" s="30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0"/>
      <c r="AJ581" s="30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0"/>
      <c r="AJ582" s="30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0"/>
      <c r="AJ583" s="30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0"/>
      <c r="AJ584" s="30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0"/>
      <c r="AJ585" s="30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0"/>
      <c r="AJ586" s="30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0"/>
      <c r="AJ587" s="30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0"/>
      <c r="AJ588" s="30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0"/>
      <c r="AJ589" s="30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0"/>
      <c r="AJ590" s="30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0"/>
      <c r="AJ591" s="30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0"/>
      <c r="AJ592" s="30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0"/>
      <c r="AJ593" s="30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0"/>
      <c r="AJ594" s="30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0"/>
      <c r="AJ595" s="30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0"/>
      <c r="AJ596" s="30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0"/>
      <c r="AJ597" s="30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0"/>
      <c r="AJ598" s="30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0"/>
      <c r="AJ599" s="30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0"/>
      <c r="AJ600" s="30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0"/>
      <c r="AJ601" s="30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0"/>
      <c r="AJ602" s="30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0"/>
      <c r="AJ603" s="30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0"/>
      <c r="AJ604" s="30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0"/>
      <c r="AJ605" s="30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0"/>
      <c r="AJ606" s="30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0"/>
      <c r="AJ607" s="30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0"/>
      <c r="AJ608" s="30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0"/>
      <c r="AJ609" s="30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0"/>
      <c r="AJ610" s="30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0"/>
      <c r="AJ611" s="30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0"/>
      <c r="AJ612" s="30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0"/>
      <c r="AJ613" s="30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0"/>
      <c r="AJ614" s="30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0"/>
      <c r="AJ615" s="30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0"/>
      <c r="AJ616" s="30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0"/>
      <c r="AJ617" s="30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0"/>
      <c r="AJ618" s="30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0"/>
      <c r="AJ619" s="30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0"/>
      <c r="AJ620" s="30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0"/>
      <c r="AJ621" s="30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0"/>
      <c r="AJ622" s="30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0"/>
      <c r="AJ623" s="30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0"/>
      <c r="AJ624" s="30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0"/>
      <c r="AJ625" s="30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0"/>
      <c r="AJ626" s="30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0"/>
      <c r="AJ627" s="30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0"/>
      <c r="AJ628" s="30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0"/>
      <c r="AJ629" s="30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0"/>
      <c r="AJ630" s="30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0"/>
      <c r="AJ631" s="30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0"/>
      <c r="AJ632" s="30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0"/>
      <c r="AJ633" s="30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0"/>
      <c r="AJ634" s="30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0"/>
      <c r="AJ635" s="30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0"/>
      <c r="AJ636" s="30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0"/>
      <c r="AJ637" s="30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0"/>
      <c r="AJ638" s="30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0"/>
      <c r="AJ639" s="30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0"/>
      <c r="AJ640" s="30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0"/>
      <c r="AJ641" s="30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0"/>
      <c r="AJ642" s="30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0"/>
      <c r="AJ643" s="30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0"/>
      <c r="AJ644" s="30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0"/>
      <c r="AJ645" s="30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0"/>
      <c r="AJ646" s="30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0"/>
      <c r="AJ647" s="30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0"/>
      <c r="AJ648" s="30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0"/>
      <c r="AJ649" s="30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0"/>
      <c r="AJ650" s="30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0"/>
      <c r="AJ651" s="30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0"/>
      <c r="AJ652" s="30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0"/>
      <c r="AJ653" s="30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0"/>
      <c r="AJ654" s="30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0"/>
      <c r="AJ655" s="30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0"/>
      <c r="AJ656" s="30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0"/>
      <c r="AJ657" s="30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0"/>
      <c r="AJ658" s="30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0"/>
      <c r="AJ659" s="30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0"/>
      <c r="AJ660" s="30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0"/>
      <c r="AJ661" s="30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0"/>
      <c r="AJ662" s="30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0"/>
      <c r="AJ663" s="30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0"/>
      <c r="AJ664" s="30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0"/>
      <c r="AJ665" s="30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0"/>
      <c r="AJ666" s="30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0"/>
      <c r="AJ667" s="30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0"/>
      <c r="AJ668" s="30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0"/>
      <c r="AJ669" s="30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0"/>
      <c r="AJ670" s="30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0"/>
      <c r="AJ671" s="30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0"/>
      <c r="AJ672" s="30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0"/>
      <c r="AJ673" s="30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0"/>
      <c r="AJ674" s="30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0"/>
      <c r="AJ675" s="30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0"/>
      <c r="AJ676" s="30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0"/>
      <c r="AJ677" s="30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0"/>
      <c r="AJ678" s="30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0"/>
      <c r="AJ679" s="30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0"/>
      <c r="AJ680" s="30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0"/>
      <c r="AJ681" s="30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0"/>
      <c r="AJ682" s="30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0"/>
      <c r="AJ683" s="30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0"/>
      <c r="AJ684" s="30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0"/>
      <c r="AJ685" s="30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0"/>
      <c r="AJ686" s="30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0"/>
      <c r="AJ687" s="30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0"/>
      <c r="AJ688" s="30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0"/>
      <c r="AJ689" s="30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0"/>
      <c r="AJ690" s="30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0"/>
      <c r="AJ691" s="30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0"/>
      <c r="AJ692" s="30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0"/>
      <c r="AJ693" s="30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0"/>
      <c r="AJ694" s="30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0"/>
      <c r="AJ695" s="30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0"/>
      <c r="AJ696" s="30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0"/>
      <c r="AJ697" s="30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0"/>
      <c r="AJ698" s="30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0"/>
      <c r="AJ699" s="30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0"/>
      <c r="AJ700" s="30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0"/>
      <c r="AJ701" s="30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0"/>
      <c r="AJ702" s="30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0"/>
      <c r="AJ703" s="30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0"/>
      <c r="AJ704" s="30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0"/>
      <c r="AJ705" s="30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0"/>
      <c r="AJ706" s="30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0"/>
      <c r="AJ707" s="30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0"/>
      <c r="AJ708" s="30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0"/>
      <c r="AJ709" s="30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0"/>
      <c r="AJ710" s="30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0"/>
      <c r="AJ711" s="30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0"/>
      <c r="AJ712" s="30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0"/>
      <c r="AJ713" s="30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0"/>
      <c r="AJ714" s="30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0"/>
      <c r="AJ715" s="30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0"/>
      <c r="AJ716" s="30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0"/>
      <c r="AJ717" s="30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0"/>
      <c r="AJ718" s="30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0"/>
      <c r="AJ719" s="30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0"/>
      <c r="AJ720" s="30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0"/>
      <c r="AJ721" s="30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0"/>
      <c r="AJ722" s="30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0"/>
      <c r="AJ723" s="30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0"/>
      <c r="AJ724" s="30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0"/>
      <c r="AJ725" s="30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0"/>
      <c r="AJ726" s="30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0"/>
      <c r="AJ727" s="30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0"/>
      <c r="AJ728" s="30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0"/>
      <c r="AJ729" s="30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0"/>
      <c r="AJ730" s="30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0"/>
      <c r="AJ731" s="30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0"/>
      <c r="AJ732" s="30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0"/>
      <c r="AJ733" s="30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0"/>
      <c r="AJ734" s="30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0"/>
      <c r="AJ735" s="30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0"/>
      <c r="AJ736" s="30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0"/>
      <c r="AJ737" s="30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0"/>
      <c r="AJ738" s="30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0"/>
      <c r="AJ739" s="30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0"/>
      <c r="AJ740" s="30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0"/>
      <c r="AJ741" s="30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0"/>
      <c r="AJ742" s="30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0"/>
      <c r="AJ743" s="30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0"/>
      <c r="AJ744" s="30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0"/>
      <c r="AJ745" s="30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0"/>
      <c r="AJ746" s="30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0"/>
      <c r="AJ747" s="30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0"/>
      <c r="AJ748" s="30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0"/>
      <c r="AJ749" s="30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0"/>
      <c r="AJ750" s="30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0"/>
      <c r="AJ751" s="30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0"/>
      <c r="AJ752" s="30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0"/>
      <c r="AJ753" s="30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0"/>
      <c r="AJ754" s="30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0"/>
      <c r="AJ755" s="30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0"/>
      <c r="AJ756" s="30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0"/>
      <c r="AJ757" s="30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0"/>
      <c r="AJ758" s="30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0"/>
      <c r="AJ759" s="30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0"/>
      <c r="AJ760" s="30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0"/>
      <c r="AJ761" s="30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0"/>
      <c r="AJ762" s="30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0"/>
      <c r="AJ763" s="30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0"/>
      <c r="AJ764" s="30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0"/>
      <c r="AJ765" s="30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0"/>
      <c r="AJ766" s="30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0"/>
      <c r="AJ767" s="30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0"/>
      <c r="AJ768" s="30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0"/>
      <c r="AJ769" s="30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0"/>
      <c r="AJ770" s="30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0"/>
      <c r="AJ771" s="30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0"/>
      <c r="AJ772" s="30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0"/>
      <c r="AJ773" s="30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0"/>
      <c r="AJ774" s="30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0"/>
      <c r="AJ775" s="30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0"/>
      <c r="AJ776" s="30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0"/>
      <c r="AJ777" s="30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0"/>
      <c r="AJ778" s="30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0"/>
      <c r="AJ779" s="30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0"/>
      <c r="AJ780" s="30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0"/>
      <c r="AJ781" s="30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0"/>
      <c r="AJ782" s="30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0"/>
      <c r="AJ783" s="30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0"/>
      <c r="AJ784" s="30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0"/>
      <c r="AJ785" s="30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0"/>
      <c r="AJ786" s="30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0"/>
      <c r="AJ787" s="30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0"/>
      <c r="AJ788" s="30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0"/>
      <c r="AJ789" s="30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0"/>
      <c r="AJ790" s="30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0"/>
      <c r="AJ791" s="30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0"/>
      <c r="AJ792" s="30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0"/>
      <c r="AJ793" s="30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0"/>
      <c r="AJ794" s="30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0"/>
      <c r="AJ795" s="30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0"/>
      <c r="AJ796" s="30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0"/>
      <c r="AJ797" s="30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0"/>
      <c r="AJ798" s="30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0"/>
      <c r="AJ799" s="30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0"/>
      <c r="AJ800" s="30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0"/>
      <c r="AJ801" s="30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0"/>
      <c r="AJ802" s="30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0"/>
      <c r="AJ803" s="30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0"/>
      <c r="AJ804" s="30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0"/>
      <c r="AJ805" s="30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0"/>
      <c r="AJ806" s="30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0"/>
      <c r="AJ807" s="30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0"/>
      <c r="AJ808" s="30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0"/>
      <c r="AJ809" s="30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0"/>
      <c r="AJ810" s="30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0"/>
      <c r="AJ811" s="30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0"/>
      <c r="AJ812" s="30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0"/>
      <c r="AJ813" s="30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0"/>
      <c r="AJ814" s="30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0"/>
      <c r="AJ815" s="30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0"/>
      <c r="AJ816" s="30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0"/>
      <c r="AJ817" s="30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0"/>
      <c r="AJ818" s="30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0"/>
      <c r="AJ819" s="30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0"/>
      <c r="AJ820" s="30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0"/>
      <c r="AJ821" s="30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0"/>
      <c r="AJ822" s="30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0"/>
      <c r="AJ823" s="30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0"/>
      <c r="AJ824" s="30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0"/>
      <c r="AJ825" s="30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0"/>
      <c r="AJ826" s="30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0"/>
      <c r="AJ827" s="30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0"/>
      <c r="AJ828" s="30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0"/>
      <c r="AJ829" s="30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0"/>
      <c r="AJ830" s="30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0"/>
      <c r="AJ831" s="30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0"/>
      <c r="AJ832" s="30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0"/>
      <c r="AJ833" s="30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0"/>
      <c r="AJ834" s="30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0"/>
      <c r="AJ835" s="30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0"/>
      <c r="AJ836" s="30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0"/>
      <c r="AJ837" s="30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0"/>
      <c r="AJ838" s="30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0"/>
      <c r="AJ839" s="30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0"/>
      <c r="AJ840" s="30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0"/>
      <c r="AJ841" s="30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0"/>
      <c r="AJ842" s="30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0"/>
      <c r="AJ843" s="30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0"/>
      <c r="AJ844" s="30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0"/>
      <c r="AJ845" s="30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0"/>
      <c r="AJ846" s="30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0"/>
      <c r="AJ847" s="30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0"/>
      <c r="AJ848" s="30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0"/>
      <c r="AJ849" s="30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0"/>
      <c r="AJ850" s="30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0"/>
      <c r="AJ851" s="30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0"/>
      <c r="AJ852" s="30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0"/>
      <c r="AJ853" s="30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0"/>
      <c r="AJ854" s="30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0"/>
      <c r="AJ855" s="30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0"/>
      <c r="AJ856" s="30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0"/>
      <c r="AJ857" s="30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0"/>
      <c r="AJ858" s="30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0"/>
      <c r="AJ859" s="30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0"/>
      <c r="AJ860" s="30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0"/>
      <c r="AJ861" s="30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0"/>
      <c r="AJ862" s="30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0"/>
      <c r="AJ863" s="30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0"/>
      <c r="AJ864" s="30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0"/>
      <c r="AJ865" s="30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0"/>
      <c r="AJ866" s="30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0"/>
      <c r="AJ867" s="30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0"/>
      <c r="AJ868" s="30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0"/>
      <c r="AJ869" s="30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0"/>
      <c r="AJ870" s="30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0"/>
      <c r="AJ871" s="30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0"/>
      <c r="AJ872" s="30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0"/>
      <c r="AJ873" s="30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0"/>
      <c r="AJ874" s="30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0"/>
      <c r="AJ875" s="30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0"/>
      <c r="AJ876" s="30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0"/>
      <c r="AJ877" s="30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0"/>
      <c r="AJ878" s="30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0"/>
      <c r="AJ879" s="30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0"/>
      <c r="AJ880" s="30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0"/>
      <c r="AJ881" s="30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0"/>
      <c r="AJ882" s="30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0"/>
      <c r="AJ883" s="30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0"/>
      <c r="AJ884" s="30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0"/>
      <c r="AJ885" s="30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0"/>
      <c r="AJ886" s="30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0"/>
      <c r="AJ887" s="30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0"/>
      <c r="AJ888" s="30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0"/>
      <c r="AJ889" s="30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0"/>
      <c r="AJ890" s="30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0"/>
      <c r="AJ891" s="30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0"/>
      <c r="AJ892" s="30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0"/>
      <c r="AJ893" s="30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0"/>
      <c r="AJ894" s="30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0"/>
      <c r="AJ895" s="30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0"/>
      <c r="AJ896" s="30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0"/>
      <c r="AJ897" s="30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0"/>
      <c r="AJ898" s="30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0"/>
      <c r="AJ899" s="30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0"/>
      <c r="AJ900" s="30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0"/>
      <c r="AJ901" s="30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0"/>
      <c r="AJ902" s="30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0"/>
      <c r="AJ903" s="30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0"/>
      <c r="AJ904" s="30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0"/>
      <c r="AJ905" s="30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0"/>
      <c r="AJ906" s="30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0"/>
      <c r="AJ907" s="30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0"/>
      <c r="AJ908" s="30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0"/>
      <c r="AJ909" s="30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0"/>
      <c r="AJ910" s="30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0"/>
      <c r="AJ911" s="30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0"/>
      <c r="AJ912" s="30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0"/>
      <c r="AJ913" s="30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0"/>
      <c r="AJ914" s="30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0"/>
      <c r="AJ915" s="30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0"/>
      <c r="AJ916" s="30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0"/>
      <c r="AJ917" s="30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0"/>
      <c r="AJ918" s="30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0"/>
      <c r="AJ919" s="30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0"/>
      <c r="AJ920" s="30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0"/>
      <c r="AJ921" s="30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0"/>
      <c r="AJ922" s="30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0"/>
      <c r="AJ923" s="30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0"/>
      <c r="AJ924" s="30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0"/>
      <c r="AJ925" s="30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0"/>
      <c r="AJ926" s="30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0"/>
      <c r="AJ927" s="30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0"/>
      <c r="AJ928" s="30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0"/>
      <c r="AJ929" s="30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0"/>
      <c r="AJ930" s="30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0"/>
      <c r="AJ931" s="30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0"/>
      <c r="AJ932" s="30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0"/>
      <c r="AJ933" s="30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0"/>
      <c r="AJ934" s="30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0"/>
      <c r="AJ935" s="30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0"/>
      <c r="AJ936" s="30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0"/>
      <c r="AJ937" s="30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0"/>
      <c r="AJ938" s="30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0"/>
      <c r="AJ939" s="30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0"/>
      <c r="AJ940" s="30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0"/>
      <c r="AJ941" s="30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0"/>
      <c r="AJ942" s="30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0"/>
      <c r="AJ943" s="30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0"/>
      <c r="AJ944" s="30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0"/>
      <c r="AJ945" s="30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0"/>
      <c r="AJ946" s="30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0"/>
      <c r="AJ947" s="30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0"/>
      <c r="AJ948" s="30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0"/>
      <c r="AJ949" s="30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0"/>
      <c r="AJ950" s="30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0"/>
      <c r="AJ951" s="30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0"/>
      <c r="AJ952" s="30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0"/>
      <c r="AJ953" s="30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0"/>
      <c r="AJ954" s="30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0"/>
      <c r="AJ955" s="30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0"/>
      <c r="AJ956" s="30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0"/>
      <c r="AJ957" s="30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0"/>
      <c r="AJ958" s="30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0"/>
      <c r="AJ959" s="30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0"/>
      <c r="AJ960" s="30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0"/>
      <c r="AJ961" s="30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0"/>
      <c r="AJ962" s="30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0"/>
      <c r="AJ963" s="30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0"/>
      <c r="AJ964" s="30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0"/>
      <c r="AJ965" s="30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0"/>
      <c r="AJ966" s="30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0"/>
      <c r="AJ967" s="30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0"/>
      <c r="AJ968" s="30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0"/>
      <c r="AJ969" s="30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0"/>
      <c r="AJ970" s="30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0"/>
      <c r="AJ971" s="30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0"/>
      <c r="AJ972" s="30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0"/>
      <c r="AJ973" s="30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0"/>
      <c r="AJ974" s="30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0"/>
      <c r="AJ975" s="30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0"/>
      <c r="AJ976" s="30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0"/>
      <c r="AJ977" s="30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0"/>
      <c r="AJ978" s="30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0"/>
      <c r="AJ979" s="30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0"/>
      <c r="AJ980" s="30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0"/>
      <c r="AJ981" s="30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0"/>
      <c r="AJ982" s="30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0"/>
      <c r="AJ983" s="30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0"/>
      <c r="AJ984" s="30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0"/>
      <c r="AJ985" s="30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0"/>
      <c r="AJ986" s="30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0"/>
      <c r="AJ987" s="30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0"/>
      <c r="AJ988" s="30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0"/>
      <c r="AJ989" s="30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0"/>
      <c r="AJ990" s="30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0"/>
      <c r="AJ991" s="30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0"/>
      <c r="AJ992" s="30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0"/>
      <c r="AJ993" s="30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0"/>
      <c r="AJ994" s="30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0"/>
      <c r="AJ995" s="30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0"/>
      <c r="AJ996" s="30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0"/>
      <c r="AJ997" s="30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0"/>
      <c r="AJ998" s="30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0"/>
      <c r="AJ999" s="30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0"/>
      <c r="AJ1000" s="30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4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0"/>
      <c r="AJ1001" s="30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4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0"/>
      <c r="AJ1002" s="30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4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0"/>
      <c r="AJ1003" s="30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4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0"/>
      <c r="AJ1004" s="30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4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0"/>
      <c r="AJ1005" s="30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4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0"/>
      <c r="AJ1006" s="30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4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0"/>
      <c r="AJ1007" s="30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4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0"/>
      <c r="AJ1008" s="30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4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0"/>
      <c r="AJ1009" s="30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4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0"/>
      <c r="AJ1010" s="30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4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0"/>
      <c r="AJ1011" s="30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4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0"/>
      <c r="AJ1012" s="30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4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0"/>
      <c r="AJ1013" s="30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4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0"/>
      <c r="AJ1014" s="30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4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0"/>
      <c r="AJ1015" s="30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4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0"/>
      <c r="AJ1016" s="30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4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0"/>
      <c r="AJ1017" s="30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4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0"/>
      <c r="AJ1018" s="30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4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0"/>
      <c r="AJ1019" s="30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4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0"/>
      <c r="AJ1020" s="30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4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0"/>
      <c r="AJ1021" s="30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4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0"/>
      <c r="AJ1022" s="30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4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0"/>
      <c r="AJ1023" s="30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4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0"/>
      <c r="AJ1024" s="30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4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0"/>
      <c r="AJ1025" s="30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4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0"/>
      <c r="AJ1026" s="30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4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0"/>
      <c r="AJ1027" s="30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4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0"/>
      <c r="AJ1028" s="30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4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0"/>
      <c r="AJ1029" s="30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4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0"/>
      <c r="AJ1030" s="30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4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0"/>
      <c r="AJ1031" s="30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4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0"/>
      <c r="AJ1032" s="30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4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0"/>
      <c r="AJ1033" s="30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4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0"/>
      <c r="AJ1034" s="30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4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0"/>
      <c r="AJ1035" s="30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4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0"/>
      <c r="AJ1036" s="30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4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0"/>
      <c r="AJ1037" s="30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4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0"/>
      <c r="AJ1038" s="30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4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0"/>
      <c r="AJ1039" s="30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4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0"/>
      <c r="AJ1040" s="30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4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0"/>
      <c r="AJ1041" s="30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4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0"/>
      <c r="AJ1042" s="30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4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0"/>
      <c r="AJ1043" s="30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4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0"/>
      <c r="AJ1044" s="30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4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0"/>
      <c r="AJ1045" s="30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4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0"/>
      <c r="AJ1046" s="30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4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0"/>
      <c r="AJ1047" s="30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4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0"/>
      <c r="AJ1048" s="30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4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0"/>
      <c r="AJ1049" s="30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4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0"/>
      <c r="AJ1050" s="3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4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0"/>
      <c r="AJ1051" s="30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4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0"/>
      <c r="AJ1052" s="30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4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0"/>
      <c r="AJ1053" s="30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4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0"/>
      <c r="AJ1054" s="30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4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0"/>
      <c r="AJ1055" s="30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4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0"/>
      <c r="AJ1056" s="30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4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0"/>
      <c r="AJ1057" s="30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4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0"/>
      <c r="AJ1058" s="30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4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0"/>
      <c r="AJ1059" s="30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4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0"/>
      <c r="AJ1060" s="3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4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0"/>
      <c r="AJ1061" s="30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4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0"/>
      <c r="AJ1062" s="30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4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0"/>
      <c r="AJ1063" s="30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4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0"/>
      <c r="AJ1064" s="30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4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0"/>
      <c r="AJ1065" s="30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4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0"/>
      <c r="AJ1066" s="30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4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0"/>
      <c r="AJ1067" s="30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4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0"/>
      <c r="AJ1068" s="30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4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0"/>
      <c r="AJ1069" s="30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4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0"/>
      <c r="AJ1070" s="3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4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0"/>
      <c r="AJ1071" s="30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4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0"/>
      <c r="AJ1072" s="30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4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0"/>
      <c r="AJ1073" s="30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4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0"/>
      <c r="AJ1074" s="30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4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0"/>
      <c r="AJ1075" s="30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4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0"/>
      <c r="AJ1076" s="30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4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0"/>
      <c r="AJ1077" s="30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4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0"/>
      <c r="AJ1078" s="30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4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0"/>
      <c r="AJ1079" s="30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4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0"/>
      <c r="AJ1080" s="30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4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0"/>
      <c r="AJ1081" s="30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4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0"/>
      <c r="AJ1082" s="30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4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0"/>
      <c r="AJ1083" s="30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4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0"/>
      <c r="AJ1084" s="30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4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0"/>
      <c r="AJ1085" s="30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4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0"/>
      <c r="AJ1086" s="30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4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0"/>
      <c r="AJ1087" s="30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4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0"/>
      <c r="AJ1088" s="30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4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0"/>
      <c r="AJ1089" s="30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4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0"/>
      <c r="AJ1090" s="30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4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0"/>
      <c r="AJ1091" s="30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4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0"/>
      <c r="AJ1092" s="30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4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0"/>
      <c r="AJ1093" s="30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4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0"/>
      <c r="AJ1094" s="30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4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0"/>
      <c r="AJ1095" s="30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4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0"/>
      <c r="AJ1096" s="30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4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0"/>
      <c r="AJ1097" s="30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4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0"/>
      <c r="AJ1098" s="30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4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0"/>
      <c r="AJ1099" s="30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4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0"/>
      <c r="AJ1100" s="30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4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0"/>
      <c r="AJ1101" s="30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4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0"/>
      <c r="AJ1102" s="30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4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0"/>
      <c r="AJ1103" s="30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4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0"/>
      <c r="AJ1104" s="30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4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0"/>
      <c r="AJ1105" s="30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4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0"/>
      <c r="AJ1106" s="30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4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0"/>
      <c r="AJ1107" s="30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4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0"/>
      <c r="AJ1108" s="30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4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0"/>
      <c r="AJ1109" s="30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4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0"/>
      <c r="AJ1110" s="30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4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0"/>
      <c r="AJ1111" s="30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4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0"/>
      <c r="AJ1112" s="30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4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0"/>
      <c r="AJ1113" s="30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4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0"/>
      <c r="AJ1114" s="30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4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0"/>
      <c r="AJ1115" s="30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4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0"/>
      <c r="AJ1116" s="30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4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0"/>
      <c r="AJ1117" s="30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4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0"/>
      <c r="AJ1118" s="30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4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0"/>
      <c r="AJ1119" s="30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4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0"/>
      <c r="AJ1120" s="30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4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0"/>
      <c r="AJ1121" s="30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4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0"/>
      <c r="AJ1122" s="30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4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0"/>
      <c r="AJ1123" s="30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4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0"/>
      <c r="AJ1124" s="30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4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0"/>
      <c r="AJ1125" s="30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4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0"/>
      <c r="AJ1126" s="30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4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0"/>
      <c r="AJ1127" s="30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4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0"/>
      <c r="AJ1128" s="30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4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0"/>
      <c r="AJ1129" s="30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4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0"/>
      <c r="AJ1130" s="30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4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0"/>
      <c r="AJ1131" s="30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4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0"/>
      <c r="AJ1132" s="30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4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0"/>
      <c r="AJ1133" s="30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4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0"/>
      <c r="AJ1134" s="30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4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0"/>
      <c r="AJ1135" s="30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4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0"/>
      <c r="AJ1136" s="30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4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0"/>
      <c r="AJ1137" s="30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4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0"/>
      <c r="AJ1138" s="30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4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0"/>
      <c r="AJ1139" s="30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4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0"/>
      <c r="AJ1140" s="30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4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0"/>
      <c r="AJ1141" s="30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4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0"/>
      <c r="AJ1142" s="30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4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0"/>
      <c r="AJ1143" s="30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4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0"/>
      <c r="AJ1144" s="30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4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0"/>
      <c r="AJ1145" s="30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4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0"/>
      <c r="AJ1146" s="30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4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0"/>
      <c r="AJ1147" s="30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4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0"/>
      <c r="AJ1148" s="30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4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0"/>
      <c r="AJ1149" s="30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4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0"/>
      <c r="AJ1150" s="30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4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0"/>
      <c r="AJ1151" s="30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4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0"/>
      <c r="AJ1152" s="30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4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0"/>
      <c r="AJ1153" s="30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4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0"/>
      <c r="AJ1154" s="30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4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0"/>
      <c r="AJ1155" s="30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4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0"/>
      <c r="AJ1156" s="30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4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0"/>
      <c r="AJ1157" s="30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4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0"/>
      <c r="AJ1158" s="30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4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0"/>
      <c r="AJ1159" s="30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4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0"/>
      <c r="AJ1160" s="30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4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0"/>
      <c r="AJ1161" s="30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4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0"/>
      <c r="AJ1162" s="30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4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0"/>
      <c r="AJ1163" s="30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4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0"/>
      <c r="AJ1164" s="30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4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0"/>
      <c r="AJ1165" s="30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4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0"/>
      <c r="AJ1166" s="30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4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0"/>
      <c r="AJ1167" s="30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4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0"/>
      <c r="AJ1168" s="30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4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0"/>
      <c r="AJ1169" s="30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4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0"/>
      <c r="AJ1170" s="30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4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0"/>
      <c r="AJ1171" s="30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4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0"/>
      <c r="AJ1172" s="30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4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0"/>
      <c r="AJ1173" s="30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4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0"/>
      <c r="AJ1174" s="30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4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0"/>
      <c r="AJ1175" s="30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4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0"/>
      <c r="AJ1176" s="30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4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0"/>
      <c r="AJ1177" s="30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4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0"/>
      <c r="AJ1178" s="30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4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0"/>
      <c r="AJ1179" s="30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4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0"/>
      <c r="AJ1180" s="30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4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0"/>
      <c r="AJ1181" s="30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4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0"/>
      <c r="AJ1182" s="30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4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0"/>
      <c r="AJ1183" s="30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4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0"/>
      <c r="AJ1184" s="30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4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0"/>
      <c r="AJ1185" s="30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4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0"/>
      <c r="AJ1186" s="30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4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0"/>
      <c r="AJ1187" s="30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4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0"/>
      <c r="AJ1188" s="30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4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0"/>
      <c r="AJ1189" s="30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4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0"/>
      <c r="AJ1190" s="30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4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0"/>
      <c r="AJ1191" s="30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4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0"/>
      <c r="AJ1192" s="30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4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0"/>
      <c r="AJ1193" s="30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4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0"/>
      <c r="AJ1194" s="30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4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0"/>
      <c r="AJ1195" s="30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4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0"/>
      <c r="AJ1196" s="30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4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0"/>
      <c r="AJ1197" s="30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4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0"/>
      <c r="AJ1198" s="30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4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0"/>
      <c r="AJ1199" s="30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4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0"/>
      <c r="AJ1200" s="30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4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0"/>
      <c r="AJ1201" s="30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4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0"/>
      <c r="AJ1202" s="30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4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0"/>
      <c r="AJ1203" s="30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4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0"/>
      <c r="AJ1204" s="30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4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0"/>
      <c r="AJ1205" s="30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4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0"/>
      <c r="AJ1206" s="30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4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0"/>
      <c r="AJ1207" s="30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4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0"/>
      <c r="AJ1208" s="30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4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0"/>
      <c r="AJ1209" s="30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4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0"/>
      <c r="AJ1210" s="30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4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0"/>
      <c r="AJ1211" s="30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4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0"/>
      <c r="AJ1212" s="30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4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0"/>
      <c r="AJ1213" s="30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4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0"/>
      <c r="AJ1214" s="30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4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0"/>
      <c r="AJ1215" s="30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4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0"/>
      <c r="AJ1216" s="30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4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0"/>
      <c r="AJ1217" s="30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4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0"/>
      <c r="AJ1218" s="30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4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0"/>
      <c r="AJ1219" s="30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4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0"/>
      <c r="AJ1220" s="30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4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0"/>
      <c r="AJ1221" s="30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4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0"/>
      <c r="AJ1222" s="30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4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0"/>
      <c r="AJ1223" s="30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4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0"/>
      <c r="AJ1224" s="30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4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0"/>
      <c r="AJ1225" s="30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4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0"/>
      <c r="AJ1226" s="30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4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0"/>
      <c r="AJ1227" s="30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4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0"/>
      <c r="AJ1228" s="30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4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0"/>
      <c r="AJ1229" s="30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4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0"/>
      <c r="AJ1230" s="30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4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0"/>
      <c r="AJ1231" s="30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4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0"/>
      <c r="AJ1232" s="30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4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0"/>
      <c r="AJ1233" s="30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4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0"/>
      <c r="AJ1234" s="30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4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0"/>
      <c r="AJ1235" s="30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4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0"/>
      <c r="AJ1236" s="30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4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0"/>
      <c r="AJ1237" s="30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4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0"/>
      <c r="AJ1238" s="30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4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0"/>
      <c r="AJ1239" s="30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4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0"/>
      <c r="AJ1240" s="30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4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0"/>
      <c r="AJ1241" s="30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4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0"/>
      <c r="AJ1242" s="30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4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0"/>
      <c r="AJ1243" s="30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4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0"/>
      <c r="AJ1244" s="30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4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0"/>
      <c r="AJ1245" s="30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4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0"/>
      <c r="AJ1246" s="30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4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0"/>
      <c r="AJ1247" s="30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4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0"/>
      <c r="AJ1248" s="30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4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0"/>
      <c r="AJ1249" s="30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4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0"/>
      <c r="AJ1250" s="30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4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0"/>
      <c r="AJ1251" s="30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4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0"/>
      <c r="AJ1252" s="30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4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0"/>
      <c r="AJ1253" s="30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4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0"/>
      <c r="AJ1254" s="30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4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0"/>
      <c r="AJ1255" s="30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4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0"/>
      <c r="AJ1256" s="30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4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0"/>
      <c r="AJ1257" s="30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4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0"/>
      <c r="AJ1258" s="30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4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0"/>
      <c r="AJ1259" s="30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4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0"/>
      <c r="AJ1260" s="30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4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0"/>
      <c r="AJ1261" s="30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4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0"/>
      <c r="AJ1262" s="30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4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0"/>
      <c r="AJ1263" s="30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4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0"/>
      <c r="AJ1264" s="30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4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0"/>
      <c r="AJ1265" s="30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4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0"/>
      <c r="AJ1266" s="30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4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0"/>
      <c r="AJ1267" s="30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4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0"/>
      <c r="AJ1268" s="30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4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0"/>
      <c r="AJ1269" s="30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4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0"/>
      <c r="AJ1270" s="30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4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0"/>
      <c r="AJ1271" s="30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4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0"/>
      <c r="AJ1272" s="30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4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0"/>
      <c r="AJ1273" s="30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4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0"/>
      <c r="AJ1274" s="30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4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0"/>
      <c r="AJ1275" s="30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4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0"/>
      <c r="AJ1276" s="30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4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0"/>
      <c r="AJ1277" s="30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4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0"/>
      <c r="AJ1278" s="30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4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0"/>
      <c r="AJ1279" s="30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4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0"/>
      <c r="AJ1280" s="30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4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0"/>
      <c r="AJ1281" s="30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4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0"/>
      <c r="AJ1282" s="30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4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0"/>
      <c r="AJ1283" s="30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4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0"/>
      <c r="AJ1284" s="30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4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0"/>
      <c r="AJ1285" s="30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4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0"/>
      <c r="AJ1286" s="30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4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0"/>
      <c r="AJ1287" s="30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4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0"/>
      <c r="AJ1288" s="30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4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0"/>
      <c r="AJ1289" s="30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4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0"/>
      <c r="AJ1290" s="30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4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0"/>
      <c r="AJ1291" s="30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4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0"/>
      <c r="AJ1292" s="30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4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0"/>
      <c r="AJ1293" s="30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4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0"/>
      <c r="AJ1294" s="30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4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0"/>
      <c r="AJ1295" s="30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4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0"/>
      <c r="AJ1296" s="30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4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0"/>
      <c r="AJ1297" s="30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4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0"/>
      <c r="AJ1298" s="30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4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0"/>
      <c r="AJ1299" s="30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4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0"/>
      <c r="AJ1300" s="30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4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0"/>
      <c r="AJ1301" s="30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4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0"/>
      <c r="AJ1302" s="30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4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0"/>
      <c r="AJ1303" s="30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4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0"/>
      <c r="AJ1304" s="30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4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0"/>
      <c r="AJ1305" s="30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4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0"/>
      <c r="AJ1306" s="30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4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0"/>
      <c r="AJ1307" s="30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4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0"/>
      <c r="AJ1308" s="30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4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0"/>
      <c r="AJ1309" s="30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4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0"/>
      <c r="AJ1310" s="30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4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0"/>
      <c r="AJ1311" s="30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4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0"/>
      <c r="AJ1312" s="30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4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0"/>
      <c r="AJ1313" s="30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4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0"/>
      <c r="AJ1314" s="30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4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0"/>
      <c r="AJ1315" s="30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4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0"/>
      <c r="AJ1316" s="30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4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0"/>
      <c r="AJ1317" s="30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4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0"/>
      <c r="AJ1318" s="30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4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0"/>
      <c r="AJ1319" s="30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4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0"/>
      <c r="AJ1320" s="30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4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0"/>
      <c r="AJ1321" s="30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4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0"/>
      <c r="AJ1322" s="30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4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0"/>
      <c r="AJ1323" s="30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4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0"/>
      <c r="AJ1324" s="30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4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0"/>
      <c r="AJ1325" s="30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4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0"/>
      <c r="AJ1326" s="30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4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0"/>
      <c r="AJ1327" s="30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4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0"/>
      <c r="AJ1328" s="30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4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0"/>
      <c r="AJ1329" s="30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4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0"/>
      <c r="AJ1330" s="30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4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0"/>
      <c r="AJ1331" s="30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4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0"/>
      <c r="AJ1332" s="30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4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0"/>
      <c r="AJ1333" s="30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4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0"/>
      <c r="AJ1334" s="30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4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0"/>
      <c r="AJ1335" s="30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4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0"/>
      <c r="AJ1336" s="30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4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0"/>
      <c r="AJ1337" s="30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4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0"/>
      <c r="AJ1338" s="30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4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0"/>
      <c r="AJ1339" s="30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4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0"/>
      <c r="AJ1340" s="30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4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0"/>
      <c r="AJ1341" s="30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4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0"/>
      <c r="AJ1342" s="30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4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0"/>
      <c r="AJ1343" s="30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4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0"/>
      <c r="AJ1344" s="30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4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0"/>
      <c r="AJ1345" s="30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4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0"/>
      <c r="AJ1346" s="30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4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0"/>
      <c r="AJ1347" s="30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4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0"/>
      <c r="AJ1348" s="30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4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0"/>
      <c r="AJ1349" s="30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4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0"/>
      <c r="AJ1350" s="30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4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0"/>
      <c r="AJ1351" s="30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4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0"/>
      <c r="AJ1352" s="30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4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0"/>
      <c r="AJ1353" s="30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4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0"/>
      <c r="AJ1354" s="30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4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0"/>
      <c r="AJ1355" s="30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4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0"/>
      <c r="AJ1356" s="30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4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0"/>
      <c r="AJ1357" s="30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4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0"/>
      <c r="AJ1358" s="30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4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0"/>
      <c r="AJ1359" s="30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4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0"/>
      <c r="AJ1360" s="30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4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0"/>
      <c r="AJ1361" s="30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4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0"/>
      <c r="AJ1362" s="30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4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0"/>
      <c r="AJ1363" s="30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4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0"/>
      <c r="AJ1364" s="30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4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0"/>
      <c r="AJ1365" s="30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4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0"/>
      <c r="AJ1366" s="30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4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0"/>
      <c r="AJ1367" s="30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4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0"/>
      <c r="AJ1368" s="30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4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0"/>
      <c r="AJ1369" s="30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4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0"/>
      <c r="AJ1370" s="30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4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0"/>
      <c r="AJ1371" s="30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4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0"/>
      <c r="AJ1372" s="30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4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0"/>
      <c r="AJ1373" s="30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4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0"/>
      <c r="AJ1374" s="30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4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0"/>
      <c r="AJ1375" s="30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4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0"/>
      <c r="AJ1376" s="30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4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0"/>
      <c r="AJ1377" s="30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4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0"/>
      <c r="AJ1378" s="30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4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0"/>
      <c r="AJ1379" s="30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4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0"/>
      <c r="AJ1380" s="30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4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0"/>
      <c r="AJ1381" s="30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4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0"/>
      <c r="AJ1382" s="30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4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0"/>
      <c r="AJ1383" s="30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4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0"/>
      <c r="AJ1384" s="30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4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0"/>
      <c r="AJ1385" s="30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4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0"/>
      <c r="AJ1386" s="30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4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0"/>
      <c r="AJ1387" s="30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4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0"/>
      <c r="AJ1388" s="30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4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0"/>
      <c r="AJ1389" s="30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4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0"/>
      <c r="AJ1390" s="30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4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0"/>
      <c r="AJ1391" s="30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4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0"/>
      <c r="AJ1392" s="30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4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0"/>
      <c r="AJ1393" s="30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4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0"/>
      <c r="AJ1394" s="30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4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0"/>
      <c r="AJ1395" s="30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4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0"/>
      <c r="AJ1396" s="30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4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0"/>
      <c r="AJ1397" s="30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4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0"/>
      <c r="AJ1398" s="30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4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0"/>
      <c r="AJ1399" s="30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4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0"/>
      <c r="AJ1400" s="30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4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0"/>
      <c r="AJ1401" s="30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4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0"/>
      <c r="AJ1402" s="30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4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0"/>
      <c r="AJ1403" s="30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4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0"/>
      <c r="AJ1404" s="30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4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0"/>
      <c r="AJ1405" s="30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4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0"/>
      <c r="AJ1406" s="30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4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0"/>
      <c r="AJ1407" s="30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4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0"/>
      <c r="AJ1408" s="30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4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0"/>
      <c r="AJ1409" s="30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4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0"/>
      <c r="AJ1410" s="30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4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0"/>
      <c r="AJ1411" s="30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4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0"/>
      <c r="AJ1412" s="30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4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0"/>
      <c r="AJ1413" s="30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4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0"/>
      <c r="AJ1414" s="30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4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0"/>
      <c r="AJ1415" s="30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4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0"/>
      <c r="AJ1416" s="30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4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0"/>
      <c r="AJ1417" s="30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4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0"/>
      <c r="AJ1418" s="30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4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0"/>
      <c r="AJ1419" s="30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4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0"/>
      <c r="AJ1420" s="30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4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0"/>
      <c r="AJ1421" s="30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4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0"/>
      <c r="AJ1422" s="30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4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0"/>
      <c r="AJ1423" s="30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4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0"/>
      <c r="AJ1424" s="30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4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0"/>
      <c r="AJ1425" s="30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4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0"/>
      <c r="AJ1426" s="30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4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0"/>
      <c r="AJ1427" s="30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4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0"/>
      <c r="AJ1428" s="30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4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0"/>
      <c r="AJ1429" s="30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4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0"/>
      <c r="AJ1430" s="30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4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0"/>
      <c r="AJ1431" s="30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4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0"/>
      <c r="AJ1432" s="30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4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0"/>
      <c r="AJ1433" s="30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4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0"/>
      <c r="AJ1434" s="30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4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0"/>
      <c r="AJ1435" s="30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4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0"/>
      <c r="AJ1436" s="30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4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0"/>
      <c r="AJ1437" s="30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4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0"/>
      <c r="AJ1438" s="30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4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0"/>
      <c r="AJ1439" s="30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4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0"/>
      <c r="AJ1440" s="30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4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0"/>
      <c r="AJ1441" s="30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4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0"/>
      <c r="AJ1442" s="30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4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0"/>
      <c r="AJ1443" s="30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4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0"/>
      <c r="AJ1444" s="30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4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0"/>
      <c r="AJ1445" s="30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4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0"/>
      <c r="AJ1446" s="30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4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0"/>
      <c r="AJ1447" s="30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4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0"/>
      <c r="AJ1448" s="30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4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0"/>
      <c r="AJ1449" s="30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4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0"/>
      <c r="AJ1450" s="30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4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0"/>
      <c r="AJ1451" s="30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4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0"/>
      <c r="AJ1452" s="30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4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0"/>
      <c r="AJ1453" s="30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4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0"/>
      <c r="AJ1454" s="30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4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0"/>
      <c r="AJ1455" s="30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4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0"/>
      <c r="AJ1456" s="30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4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0"/>
      <c r="AJ1457" s="30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4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0"/>
      <c r="AJ1458" s="30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4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0"/>
      <c r="AJ1459" s="30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4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0"/>
      <c r="AJ1460" s="30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4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0"/>
      <c r="AJ1461" s="30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4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0"/>
      <c r="AJ1462" s="30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4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0"/>
      <c r="AJ1463" s="30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4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0"/>
      <c r="AJ1464" s="30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4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0"/>
      <c r="AJ1465" s="30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4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0"/>
      <c r="AJ1466" s="30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4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0"/>
      <c r="AJ1467" s="30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4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0"/>
      <c r="AJ1468" s="30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4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0"/>
      <c r="AJ1469" s="30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4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0"/>
      <c r="AJ1470" s="30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4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0"/>
      <c r="AJ1471" s="30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4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0"/>
      <c r="AJ1472" s="30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4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0"/>
      <c r="AJ1473" s="30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4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0"/>
      <c r="AJ1474" s="30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4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0"/>
      <c r="AJ1475" s="30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4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0"/>
      <c r="AJ1476" s="30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4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0"/>
      <c r="AJ1477" s="30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4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0"/>
      <c r="AJ1478" s="30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4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0"/>
      <c r="AJ1479" s="30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4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0"/>
      <c r="AJ1480" s="30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4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0"/>
      <c r="AJ1481" s="30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4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0"/>
      <c r="AJ1482" s="30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4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0"/>
      <c r="AJ1483" s="30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4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0"/>
      <c r="AJ1484" s="30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4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0"/>
      <c r="AJ1485" s="30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4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0"/>
      <c r="AJ1486" s="30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4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0"/>
      <c r="AJ1487" s="30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4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0"/>
      <c r="AJ1488" s="30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4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0"/>
      <c r="AJ1489" s="30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4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0"/>
      <c r="AJ1490" s="30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4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0"/>
      <c r="AJ1491" s="30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4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0"/>
      <c r="AJ1492" s="30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4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0"/>
      <c r="AJ1493" s="30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4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0"/>
      <c r="AJ1494" s="30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4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0"/>
      <c r="AJ1495" s="30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4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0"/>
      <c r="AJ1496" s="30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4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0"/>
      <c r="AJ1497" s="30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4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0"/>
      <c r="AJ1498" s="30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4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0"/>
      <c r="AJ1499" s="30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4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0"/>
      <c r="AJ1500" s="30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4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0"/>
      <c r="AJ1501" s="30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4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0"/>
      <c r="AJ1502" s="30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4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0"/>
      <c r="AJ1503" s="30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4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0"/>
      <c r="AJ1504" s="30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4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0"/>
      <c r="AJ1505" s="30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4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0"/>
      <c r="AJ1506" s="30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4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0"/>
      <c r="AJ1507" s="30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4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0"/>
      <c r="AJ1508" s="30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4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0"/>
      <c r="AJ1509" s="30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4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0"/>
      <c r="AJ1510" s="30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4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0"/>
      <c r="AJ1511" s="30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4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0"/>
      <c r="AJ1512" s="30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4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0"/>
      <c r="AJ1513" s="30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4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0"/>
      <c r="AJ1514" s="30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4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0"/>
      <c r="AJ1515" s="30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4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0"/>
      <c r="AJ1516" s="30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4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0"/>
      <c r="AJ1517" s="30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4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0"/>
      <c r="AJ1518" s="30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4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0"/>
      <c r="AJ1519" s="30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4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0"/>
      <c r="AJ1520" s="30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4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0"/>
      <c r="AJ1521" s="30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4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0"/>
      <c r="AJ1522" s="30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4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0"/>
      <c r="AJ1523" s="30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4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0"/>
      <c r="AJ1524" s="30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4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0"/>
      <c r="AJ1525" s="30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4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0"/>
      <c r="AJ1526" s="30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4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0"/>
      <c r="AJ1527" s="30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4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0"/>
      <c r="AJ1528" s="30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4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0"/>
      <c r="AJ1529" s="30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4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0"/>
      <c r="AJ1530" s="30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4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0"/>
      <c r="AJ1531" s="30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4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0"/>
      <c r="AJ1532" s="30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4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0"/>
      <c r="AJ1533" s="30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4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0"/>
      <c r="AJ1534" s="30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4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0"/>
      <c r="AJ1535" s="30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4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0"/>
      <c r="AJ1536" s="30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4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0"/>
      <c r="AJ1537" s="30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4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0"/>
      <c r="AJ1538" s="30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4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0"/>
      <c r="AJ1539" s="30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4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0"/>
      <c r="AJ1540" s="30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4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0"/>
      <c r="AJ1541" s="30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4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0"/>
      <c r="AJ1542" s="30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4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0"/>
      <c r="AJ1543" s="30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4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0"/>
      <c r="AJ1544" s="30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4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0"/>
      <c r="AJ1545" s="30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4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0"/>
      <c r="AJ1546" s="30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4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0"/>
      <c r="AJ1547" s="30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4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0"/>
      <c r="AJ1548" s="30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4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0"/>
      <c r="AJ1549" s="30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4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0"/>
      <c r="AJ1550" s="30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4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0"/>
      <c r="AJ1551" s="30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4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0"/>
      <c r="AJ1552" s="30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4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0"/>
      <c r="AJ1553" s="30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4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0"/>
      <c r="AJ1554" s="30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4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0"/>
      <c r="AJ1555" s="30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4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0"/>
      <c r="AJ1556" s="30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4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0"/>
      <c r="AJ1557" s="30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4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0"/>
      <c r="AJ1558" s="30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4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0"/>
      <c r="AJ1559" s="30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4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0"/>
      <c r="AJ1560" s="30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4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0"/>
      <c r="AJ1561" s="30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4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0"/>
      <c r="AJ1562" s="30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4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0"/>
      <c r="AJ1563" s="30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4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0"/>
      <c r="AJ1564" s="30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4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0"/>
      <c r="AJ1565" s="30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4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0"/>
      <c r="AJ1566" s="30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4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0"/>
      <c r="AJ1567" s="30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4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0"/>
      <c r="AJ1568" s="30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4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0"/>
      <c r="AJ1569" s="30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4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0"/>
      <c r="AJ1570" s="30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4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0"/>
      <c r="AJ1571" s="30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4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0"/>
      <c r="AJ1572" s="30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4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0"/>
      <c r="AJ1573" s="30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4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0"/>
      <c r="AJ1574" s="30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4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0"/>
      <c r="AJ1575" s="30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4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0"/>
      <c r="AJ1576" s="30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4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0"/>
      <c r="AJ1577" s="30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4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0"/>
      <c r="AJ1578" s="30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4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0"/>
      <c r="AJ1579" s="30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4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0"/>
      <c r="AJ1580" s="30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4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0"/>
      <c r="AJ1581" s="30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4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0"/>
      <c r="AJ1582" s="30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4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0"/>
      <c r="AJ1583" s="30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4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0"/>
      <c r="AJ1584" s="30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4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0"/>
      <c r="AJ1585" s="30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4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0"/>
      <c r="AJ1586" s="30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4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0"/>
      <c r="AJ1587" s="30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4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0"/>
      <c r="AJ1588" s="30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4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0"/>
      <c r="AJ1589" s="30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4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0"/>
      <c r="AJ1590" s="30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4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0"/>
      <c r="AJ1591" s="30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4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0"/>
      <c r="AJ1592" s="30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4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0"/>
      <c r="AJ1593" s="30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4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0"/>
      <c r="AJ1594" s="30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4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0"/>
      <c r="AJ1595" s="30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4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0"/>
      <c r="AJ1596" s="30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4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0"/>
      <c r="AJ1597" s="30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4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0"/>
      <c r="AJ1598" s="30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4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0"/>
      <c r="AJ1599" s="30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4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0"/>
      <c r="AJ1600" s="30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4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0"/>
      <c r="AJ1601" s="30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4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0"/>
      <c r="AJ1602" s="30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4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0"/>
      <c r="AJ1603" s="30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4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0"/>
      <c r="AJ1604" s="30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4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0"/>
      <c r="AJ1605" s="30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4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0"/>
      <c r="AJ1606" s="30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4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0"/>
      <c r="AJ1607" s="30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4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0"/>
      <c r="AJ1608" s="30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4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0"/>
      <c r="AJ1609" s="30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4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0"/>
      <c r="AJ1610" s="30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4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0"/>
      <c r="AJ1611" s="30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4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0"/>
      <c r="AJ1612" s="30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4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0"/>
      <c r="AJ1613" s="30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4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0"/>
      <c r="AJ1614" s="30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4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0"/>
      <c r="AJ1615" s="30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4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0"/>
      <c r="AJ1616" s="30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4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0"/>
      <c r="AJ1617" s="30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4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0"/>
      <c r="AJ1618" s="30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4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0"/>
      <c r="AJ1619" s="30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4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0"/>
      <c r="AJ1620" s="30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4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0"/>
      <c r="AJ1621" s="30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4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0"/>
      <c r="AJ1622" s="30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4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0"/>
      <c r="AJ1623" s="30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4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0"/>
      <c r="AJ1624" s="30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4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0"/>
      <c r="AJ1625" s="30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4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0"/>
      <c r="AJ1626" s="30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4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0"/>
      <c r="AJ1627" s="30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4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0"/>
      <c r="AJ1628" s="30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4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0"/>
      <c r="AJ1629" s="30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4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0"/>
      <c r="AJ1630" s="30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4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0"/>
      <c r="AJ1631" s="30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4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0"/>
      <c r="AJ1632" s="30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4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0"/>
      <c r="AJ1633" s="30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4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0"/>
      <c r="AJ1634" s="30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4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0"/>
      <c r="AJ1635" s="30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4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0"/>
      <c r="AJ1636" s="30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4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0"/>
      <c r="AJ1637" s="30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4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0"/>
      <c r="AJ1638" s="30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4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0"/>
      <c r="AJ1639" s="30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4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0"/>
      <c r="AJ1640" s="30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4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0"/>
      <c r="AJ1641" s="30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4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0"/>
      <c r="AJ1642" s="30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4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0"/>
      <c r="AJ1643" s="30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4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0"/>
      <c r="AJ1644" s="30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4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0"/>
      <c r="AJ1645" s="30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4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0"/>
      <c r="AJ1646" s="30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4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0"/>
      <c r="AJ1647" s="30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4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0"/>
      <c r="AJ1648" s="30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4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0"/>
      <c r="AJ1649" s="30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4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0"/>
      <c r="AJ1650" s="30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4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0"/>
      <c r="AJ1651" s="30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4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0"/>
      <c r="AJ1652" s="30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4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0"/>
      <c r="AJ1653" s="30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5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IFERROR(__xludf.DUMMYFUNCTION("""COMPUTED_VALUE"""),603.8709677419351)</f>
        <v>603.8709677</v>
      </c>
      <c r="C2" s="11">
        <f>IFERROR(__xludf.DUMMYFUNCTION("""COMPUTED_VALUE"""),719.0)</f>
        <v>719</v>
      </c>
      <c r="D2" s="11">
        <f>IFERROR(__xludf.DUMMYFUNCTION("""COMPUTED_VALUE"""),115.12903225806485)</f>
        <v>115.1290323</v>
      </c>
      <c r="E2" s="10">
        <f>IFERROR(__xludf.DUMMYFUNCTION("""COMPUTED_VALUE"""),0.19065170940171006)</f>
        <v>0.1906517094</v>
      </c>
      <c r="F2" s="10">
        <f>IFERROR(__xludf.DUMMYFUNCTION("""COMPUTED_VALUE"""),0.8603277999463558)</f>
        <v>0.8603277999</v>
      </c>
      <c r="G2" s="10">
        <f>IFERROR(__xludf.DUMMYFUNCTION("""COMPUTED_VALUE"""),0.7774687065368567)</f>
        <v>0.7774687065</v>
      </c>
      <c r="H2" s="36">
        <f>IFERROR(__xludf.DUMMYFUNCTION("""COMPUTED_VALUE"""),-8.285909340949903)</f>
        <v>-8.285909341</v>
      </c>
      <c r="I2" s="11">
        <f>IFERROR(__xludf.DUMMYFUNCTION("""COMPUTED_VALUE"""),519.5269811288958)</f>
        <v>519.5269811</v>
      </c>
      <c r="J2" s="11">
        <f>IFERROR(__xludf.DUMMYFUNCTION("""COMPUTED_VALUE"""),559.0)</f>
        <v>559</v>
      </c>
      <c r="K2" s="11">
        <f>IFERROR(__xludf.DUMMYFUNCTION("""COMPUTED_VALUE"""),39.47301887110416)</f>
        <v>39.47301887</v>
      </c>
      <c r="L2" s="10">
        <f>IFERROR(__xludf.DUMMYFUNCTION("""COMPUTED_VALUE"""),0.07597876588686894)</f>
        <v>0.07597876589</v>
      </c>
      <c r="M2" s="10">
        <f>IFERROR(__xludf.DUMMYFUNCTION("""COMPUTED_VALUE"""),0.2712500000000002)</f>
        <v>0.27125</v>
      </c>
      <c r="N2" s="10">
        <f>IFERROR(__xludf.DUMMYFUNCTION("""COMPUTED_VALUE"""),0.27549194991055453)</f>
        <v>0.2754919499</v>
      </c>
      <c r="O2" s="36">
        <f>IFERROR(__xludf.DUMMYFUNCTION("""COMPUTED_VALUE"""),0.4241949910554321)</f>
        <v>0.4241949911</v>
      </c>
      <c r="P2" s="11">
        <f>IFERROR(__xludf.DUMMYFUNCTION("""COMPUTED_VALUE"""),140.92169363121312)</f>
        <v>140.9216936</v>
      </c>
      <c r="Q2" s="11">
        <f>IFERROR(__xludf.DUMMYFUNCTION("""COMPUTED_VALUE"""),154.0)</f>
        <v>154</v>
      </c>
      <c r="R2" s="11">
        <f>IFERROR(__xludf.DUMMYFUNCTION("""COMPUTED_VALUE"""),13.078306368786883)</f>
        <v>13.07830637</v>
      </c>
      <c r="S2" s="10">
        <f>IFERROR(__xludf.DUMMYFUNCTION("""COMPUTED_VALUE"""),0.09280548673373405)</f>
        <v>0.09280548673</v>
      </c>
      <c r="T2" s="11">
        <f>IFERROR(__xludf.DUMMYFUNCTION("""COMPUTED_VALUE"""),647608.0857249293)</f>
        <v>647608.0857</v>
      </c>
      <c r="U2" s="15">
        <f>IFERROR(__xludf.DUMMYFUNCTION("""COMPUTED_VALUE"""),4940.0)</f>
        <v>4940</v>
      </c>
      <c r="V2" s="15">
        <f>IFERROR(__xludf.DUMMYFUNCTION("""COMPUTED_VALUE"""),194996.71322325454)</f>
        <v>194996.7132</v>
      </c>
      <c r="W2" s="10">
        <f>IFERROR(__xludf.DUMMYFUNCTION("""COMPUTED_VALUE"""),0.30110296261198805)</f>
        <v>0.3011029626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IFERROR(__xludf.DUMMYFUNCTION("""COMPUTED_VALUE"""),87.48387096774188)</f>
        <v>87.48387097</v>
      </c>
      <c r="C3" s="11">
        <f>IFERROR(__xludf.DUMMYFUNCTION("""COMPUTED_VALUE"""),97.0)</f>
        <v>97</v>
      </c>
      <c r="D3" s="11">
        <f>IFERROR(__xludf.DUMMYFUNCTION("""COMPUTED_VALUE"""),9.516129032258121)</f>
        <v>9.516129032</v>
      </c>
      <c r="E3" s="10">
        <f>IFERROR(__xludf.DUMMYFUNCTION("""COMPUTED_VALUE"""),0.10877581120944024)</f>
        <v>0.1087758112</v>
      </c>
      <c r="F3" s="10">
        <f>IFERROR(__xludf.DUMMYFUNCTION("""COMPUTED_VALUE"""),0.7720883770996894)</f>
        <v>0.7720883771</v>
      </c>
      <c r="G3" s="10">
        <f>IFERROR(__xludf.DUMMYFUNCTION("""COMPUTED_VALUE"""),0.8865979381443299)</f>
        <v>0.8865979381</v>
      </c>
      <c r="H3" s="36">
        <f>IFERROR(__xludf.DUMMYFUNCTION("""COMPUTED_VALUE"""),11.45095610446405)</f>
        <v>11.4509561</v>
      </c>
      <c r="I3" s="11">
        <f>IFERROR(__xludf.DUMMYFUNCTION("""COMPUTED_VALUE"""),67.54527995788246)</f>
        <v>67.54527996</v>
      </c>
      <c r="J3" s="11">
        <f>IFERROR(__xludf.DUMMYFUNCTION("""COMPUTED_VALUE"""),86.0)</f>
        <v>86</v>
      </c>
      <c r="K3" s="11">
        <f>IFERROR(__xludf.DUMMYFUNCTION("""COMPUTED_VALUE"""),18.454720042117543)</f>
        <v>18.45472004</v>
      </c>
      <c r="L3" s="10">
        <f>IFERROR(__xludf.DUMMYFUNCTION("""COMPUTED_VALUE"""),0.27321998004338566)</f>
        <v>0.27321998</v>
      </c>
      <c r="M3" s="10">
        <f>IFERROR(__xludf.DUMMYFUNCTION("""COMPUTED_VALUE"""),0.2760937500000002)</f>
        <v>0.27609375</v>
      </c>
      <c r="N3" s="10">
        <f>IFERROR(__xludf.DUMMYFUNCTION("""COMPUTED_VALUE"""),0.13953488372093023)</f>
        <v>0.1395348837</v>
      </c>
      <c r="O3" s="36">
        <f>IFERROR(__xludf.DUMMYFUNCTION("""COMPUTED_VALUE"""),-13.655886627906996)</f>
        <v>-13.65588663</v>
      </c>
      <c r="P3" s="11">
        <f>IFERROR(__xludf.DUMMYFUNCTION("""COMPUTED_VALUE"""),18.648829638371623)</f>
        <v>18.64882964</v>
      </c>
      <c r="Q3" s="11">
        <f>IFERROR(__xludf.DUMMYFUNCTION("""COMPUTED_VALUE"""),12.0)</f>
        <v>12</v>
      </c>
      <c r="R3" s="11">
        <f>IFERROR(__xludf.DUMMYFUNCTION("""COMPUTED_VALUE"""),-6.648829638371623)</f>
        <v>-6.648829638</v>
      </c>
      <c r="S3" s="10">
        <f>IFERROR(__xludf.DUMMYFUNCTION("""COMPUTED_VALUE"""),-0.35652798418465176)</f>
        <v>-0.3565279842</v>
      </c>
      <c r="T3" s="11">
        <f>IFERROR(__xludf.DUMMYFUNCTION("""COMPUTED_VALUE"""),95763.08290877224)</f>
        <v>95763.08291</v>
      </c>
      <c r="U3" s="15">
        <f>IFERROR(__xludf.DUMMYFUNCTION("""COMPUTED_VALUE"""),5520.000000000001)</f>
        <v>5520</v>
      </c>
      <c r="V3" s="15">
        <f>IFERROR(__xludf.DUMMYFUNCTION("""COMPUTED_VALUE"""),101870.05463248886)</f>
        <v>101870.0546</v>
      </c>
      <c r="W3" s="10">
        <f>IFERROR(__xludf.DUMMYFUNCTION("""COMPUTED_VALUE"""),1.0637716700237645)</f>
        <v>1.06377167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IFERROR(__xludf.DUMMYFUNCTION("""COMPUTED_VALUE"""),1704.6193548387087)</f>
        <v>1704.619355</v>
      </c>
      <c r="C4" s="11">
        <f>IFERROR(__xludf.DUMMYFUNCTION("""COMPUTED_VALUE"""),1929.0)</f>
        <v>1929</v>
      </c>
      <c r="D4" s="11">
        <f>IFERROR(__xludf.DUMMYFUNCTION("""COMPUTED_VALUE"""),224.38064516129134)</f>
        <v>224.3806452</v>
      </c>
      <c r="E4" s="10">
        <f>IFERROR(__xludf.DUMMYFUNCTION("""COMPUTED_VALUE"""),0.13163093832319078)</f>
        <v>0.1316309383</v>
      </c>
      <c r="F4" s="10">
        <f>IFERROR(__xludf.DUMMYFUNCTION("""COMPUTED_VALUE"""),0.8334080360633019)</f>
        <v>0.8334080361</v>
      </c>
      <c r="G4" s="10" t="str">
        <f>IFERROR(__xludf.DUMMYFUNCTION("""COMPUTED_VALUE"""),"#REF!")</f>
        <v>#REF!</v>
      </c>
      <c r="H4" s="36" t="str">
        <f>IFERROR(__xludf.DUMMYFUNCTION("""COMPUTED_VALUE"""),"#REF!")</f>
        <v>#REF!</v>
      </c>
      <c r="I4" s="11">
        <f>IFERROR(__xludf.DUMMYFUNCTION("""COMPUTED_VALUE"""),1420.643468751621)</f>
        <v>1420.643469</v>
      </c>
      <c r="J4" s="11" t="str">
        <f>IFERROR(__xludf.DUMMYFUNCTION("""COMPUTED_VALUE"""),"#REF!")</f>
        <v>#REF!</v>
      </c>
      <c r="K4" s="9" t="str">
        <f>IFERROR(__xludf.DUMMYFUNCTION("""COMPUTED_VALUE"""),"#REF!")</f>
        <v>#REF!</v>
      </c>
      <c r="L4" s="10" t="str">
        <f>IFERROR(__xludf.DUMMYFUNCTION("""COMPUTED_VALUE"""),"#REF!")</f>
        <v>#REF!</v>
      </c>
      <c r="M4" s="10">
        <f>IFERROR(__xludf.DUMMYFUNCTION("""COMPUTED_VALUE"""),0.3224063344180109)</f>
        <v>0.3224063344</v>
      </c>
      <c r="N4" s="10" t="str">
        <f>IFERROR(__xludf.DUMMYFUNCTION("""COMPUTED_VALUE"""),"#REF!")</f>
        <v>#REF!</v>
      </c>
      <c r="O4" s="36" t="str">
        <f>IFERROR(__xludf.DUMMYFUNCTION("""COMPUTED_VALUE"""),"#REF!")</f>
        <v>#REF!</v>
      </c>
      <c r="P4" s="11">
        <f>IFERROR(__xludf.DUMMYFUNCTION("""COMPUTED_VALUE"""),458.02445327509815)</f>
        <v>458.0244533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IFERROR(__xludf.DUMMYFUNCTION("""COMPUTED_VALUE"""),2490111.329014455)</f>
        <v>2490111.329</v>
      </c>
      <c r="U4" s="15">
        <f>IFERROR(__xludf.DUMMYFUNCTION("""COMPUTED_VALUE"""),5844.167295568762)</f>
        <v>5844.167296</v>
      </c>
      <c r="V4" s="15">
        <f>IFERROR(__xludf.DUMMYFUNCTION("""COMPUTED_VALUE"""),1121470.8900788194)</f>
        <v>1121470.89</v>
      </c>
      <c r="W4" s="10">
        <f>IFERROR(__xludf.DUMMYFUNCTION("""COMPUTED_VALUE"""),0.45036977945989226)</f>
        <v>0.4503697795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IFERROR(__xludf.DUMMYFUNCTION("""COMPUTED_VALUE"""),1062.1935483870961)</f>
        <v>1062.193548</v>
      </c>
      <c r="C5" s="11">
        <f>IFERROR(__xludf.DUMMYFUNCTION("""COMPUTED_VALUE"""),1123.0)</f>
        <v>1123</v>
      </c>
      <c r="D5" s="11">
        <f>IFERROR(__xludf.DUMMYFUNCTION("""COMPUTED_VALUE"""),60.80645161290386)</f>
        <v>60.80645161</v>
      </c>
      <c r="E5" s="10">
        <f>IFERROR(__xludf.DUMMYFUNCTION("""COMPUTED_VALUE"""),0.057246112730807236)</f>
        <v>0.05724611273</v>
      </c>
      <c r="F5" s="10">
        <f>IFERROR(__xludf.DUMMYFUNCTION("""COMPUTED_VALUE"""),0.8426624896062617)</f>
        <v>0.8426624896</v>
      </c>
      <c r="G5" s="10">
        <f>IFERROR(__xludf.DUMMYFUNCTION("""COMPUTED_VALUE"""),0.8441674087266251)</f>
        <v>0.8441674087</v>
      </c>
      <c r="H5" s="36">
        <f>IFERROR(__xludf.DUMMYFUNCTION("""COMPUTED_VALUE"""),0.1504919120363435)</f>
        <v>0.150491912</v>
      </c>
      <c r="I5" s="11">
        <f>IFERROR(__xludf.DUMMYFUNCTION("""COMPUTED_VALUE"""),895.0706599275796)</f>
        <v>895.0706599</v>
      </c>
      <c r="J5" s="11">
        <f>IFERROR(__xludf.DUMMYFUNCTION("""COMPUTED_VALUE"""),948.0)</f>
        <v>948</v>
      </c>
      <c r="K5" s="11">
        <f>IFERROR(__xludf.DUMMYFUNCTION("""COMPUTED_VALUE"""),52.92934007242036)</f>
        <v>52.92934007</v>
      </c>
      <c r="L5" s="10">
        <f>IFERROR(__xludf.DUMMYFUNCTION("""COMPUTED_VALUE"""),0.059134258826786794)</f>
        <v>0.05913425883</v>
      </c>
      <c r="M5" s="10">
        <f>IFERROR(__xludf.DUMMYFUNCTION("""COMPUTED_VALUE"""),0.32937500000000025)</f>
        <v>0.329375</v>
      </c>
      <c r="N5" s="10">
        <f>IFERROR(__xludf.DUMMYFUNCTION("""COMPUTED_VALUE"""),0.32489451476793246)</f>
        <v>0.3248945148</v>
      </c>
      <c r="O5" s="36">
        <f>IFERROR(__xludf.DUMMYFUNCTION("""COMPUTED_VALUE"""),-0.4480485232067788)</f>
        <v>-0.4480485232</v>
      </c>
      <c r="P5" s="11">
        <f>IFERROR(__xludf.DUMMYFUNCTION("""COMPUTED_VALUE"""),294.81389861364676)</f>
        <v>294.8138986</v>
      </c>
      <c r="Q5" s="11">
        <f>IFERROR(__xludf.DUMMYFUNCTION("""COMPUTED_VALUE"""),308.0)</f>
        <v>308</v>
      </c>
      <c r="R5" s="11">
        <f>IFERROR(__xludf.DUMMYFUNCTION("""COMPUTED_VALUE"""),13.186101386353243)</f>
        <v>13.18610139</v>
      </c>
      <c r="S5" s="10">
        <f>IFERROR(__xludf.DUMMYFUNCTION("""COMPUTED_VALUE"""),0.044726864806443924)</f>
        <v>0.04472686481</v>
      </c>
      <c r="T5" s="11">
        <f>IFERROR(__xludf.DUMMYFUNCTION("""COMPUTED_VALUE"""),1667473.6999219565)</f>
        <v>1667473.7</v>
      </c>
      <c r="U5" s="15">
        <f>IFERROR(__xludf.DUMMYFUNCTION("""COMPUTED_VALUE"""),6080.000000000001)</f>
        <v>6080</v>
      </c>
      <c r="V5" s="15">
        <f>IFERROR(__xludf.DUMMYFUNCTION("""COMPUTED_VALUE"""),321810.3876403158)</f>
        <v>321810.3876</v>
      </c>
      <c r="W5" s="10">
        <f>IFERROR(__xludf.DUMMYFUNCTION("""COMPUTED_VALUE"""),0.19299278162850642)</f>
        <v>0.1929927816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IFERROR(__xludf.DUMMYFUNCTION("""COMPUTED_VALUE"""),135.0)</f>
        <v>135</v>
      </c>
      <c r="D6" s="9"/>
      <c r="E6" s="9"/>
      <c r="F6" s="9"/>
      <c r="G6" s="10">
        <f>IFERROR(__xludf.DUMMYFUNCTION("""COMPUTED_VALUE"""),0.8814814814814815)</f>
        <v>0.8814814815</v>
      </c>
      <c r="H6" s="9"/>
      <c r="I6" s="9"/>
      <c r="J6" s="11">
        <f>IFERROR(__xludf.DUMMYFUNCTION("""COMPUTED_VALUE"""),119.0)</f>
        <v>119</v>
      </c>
      <c r="K6" s="9"/>
      <c r="L6" s="9"/>
      <c r="M6" s="10">
        <f>IFERROR(__xludf.DUMMYFUNCTION("""COMPUTED_VALUE"""),0.32937500000000025)</f>
        <v>0.329375</v>
      </c>
      <c r="N6" s="10">
        <f>IFERROR(__xludf.DUMMYFUNCTION("""COMPUTED_VALUE"""),0.3865546218487395)</f>
        <v>0.3865546218</v>
      </c>
      <c r="O6" s="36">
        <f>IFERROR(__xludf.DUMMYFUNCTION("""COMPUTED_VALUE"""),5.717962184873926)</f>
        <v>5.717962185</v>
      </c>
      <c r="P6" s="9"/>
      <c r="Q6" s="11">
        <f>IFERROR(__xludf.DUMMYFUNCTION("""COMPUTED_VALUE"""),46.0)</f>
        <v>46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IFERROR(__xludf.DUMMYFUNCTION("""COMPUTED_VALUE"""),"Pablo Maia")</f>
        <v>Pablo Maia</v>
      </c>
      <c r="B7" s="9"/>
      <c r="C7" s="11">
        <f>IFERROR(__xludf.DUMMYFUNCTION("""COMPUTED_VALUE"""),127.0)</f>
        <v>127</v>
      </c>
      <c r="D7" s="9"/>
      <c r="E7" s="9"/>
      <c r="F7" s="9"/>
      <c r="G7" s="10">
        <f>IFERROR(__xludf.DUMMYFUNCTION("""COMPUTED_VALUE"""),0.8503937007874016)</f>
        <v>0.8503937008</v>
      </c>
      <c r="H7" s="9"/>
      <c r="I7" s="9"/>
      <c r="J7" s="11">
        <f>IFERROR(__xludf.DUMMYFUNCTION("""COMPUTED_VALUE"""),108.0)</f>
        <v>108</v>
      </c>
      <c r="K7" s="9"/>
      <c r="L7" s="9"/>
      <c r="M7" s="10">
        <f>IFERROR(__xludf.DUMMYFUNCTION("""COMPUTED_VALUE"""),0.32937500000000025)</f>
        <v>0.329375</v>
      </c>
      <c r="N7" s="10">
        <f>IFERROR(__xludf.DUMMYFUNCTION("""COMPUTED_VALUE"""),0.3425925925925926)</f>
        <v>0.3425925926</v>
      </c>
      <c r="O7" s="36">
        <f>IFERROR(__xludf.DUMMYFUNCTION("""COMPUTED_VALUE"""),1.3217592592592364)</f>
        <v>1.321759259</v>
      </c>
      <c r="P7" s="9"/>
      <c r="Q7" s="11">
        <f>IFERROR(__xludf.DUMMYFUNCTION("""COMPUTED_VALUE"""),37.0)</f>
        <v>37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IFERROR(__xludf.DUMMYFUNCTION("""COMPUTED_VALUE"""),"Luiz Felipe")</f>
        <v>Luiz Felipe</v>
      </c>
      <c r="B8" s="9"/>
      <c r="C8" s="11">
        <f>IFERROR(__xludf.DUMMYFUNCTION("""COMPUTED_VALUE"""),133.0)</f>
        <v>133</v>
      </c>
      <c r="D8" s="9"/>
      <c r="E8" s="9"/>
      <c r="F8" s="9"/>
      <c r="G8" s="10">
        <f>IFERROR(__xludf.DUMMYFUNCTION("""COMPUTED_VALUE"""),0.8120300751879699)</f>
        <v>0.8120300752</v>
      </c>
      <c r="H8" s="9"/>
      <c r="I8" s="9"/>
      <c r="J8" s="11">
        <f>IFERROR(__xludf.DUMMYFUNCTION("""COMPUTED_VALUE"""),108.0)</f>
        <v>108</v>
      </c>
      <c r="K8" s="9"/>
      <c r="L8" s="9"/>
      <c r="M8" s="10">
        <f>IFERROR(__xludf.DUMMYFUNCTION("""COMPUTED_VALUE"""),0.32937500000000025)</f>
        <v>0.329375</v>
      </c>
      <c r="N8" s="10">
        <f>IFERROR(__xludf.DUMMYFUNCTION("""COMPUTED_VALUE"""),0.3425925925925926)</f>
        <v>0.3425925926</v>
      </c>
      <c r="O8" s="36">
        <f>IFERROR(__xludf.DUMMYFUNCTION("""COMPUTED_VALUE"""),1.3217592592592364)</f>
        <v>1.321759259</v>
      </c>
      <c r="P8" s="9"/>
      <c r="Q8" s="11">
        <f>IFERROR(__xludf.DUMMYFUNCTION("""COMPUTED_VALUE"""),37.0)</f>
        <v>37</v>
      </c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IFERROR(__xludf.DUMMYFUNCTION("""COMPUTED_VALUE"""),"Nicolas Miranda")</f>
        <v>Nicolas Miranda</v>
      </c>
      <c r="B9" s="9"/>
      <c r="C9" s="11">
        <f>IFERROR(__xludf.DUMMYFUNCTION("""COMPUTED_VALUE"""),120.0)</f>
        <v>120</v>
      </c>
      <c r="D9" s="9"/>
      <c r="E9" s="9"/>
      <c r="F9" s="9"/>
      <c r="G9" s="10">
        <f>IFERROR(__xludf.DUMMYFUNCTION("""COMPUTED_VALUE"""),0.8666666666666667)</f>
        <v>0.8666666667</v>
      </c>
      <c r="H9" s="9"/>
      <c r="I9" s="9"/>
      <c r="J9" s="11">
        <f>IFERROR(__xludf.DUMMYFUNCTION("""COMPUTED_VALUE"""),104.0)</f>
        <v>104</v>
      </c>
      <c r="K9" s="9"/>
      <c r="L9" s="9"/>
      <c r="M9" s="10">
        <f>IFERROR(__xludf.DUMMYFUNCTION("""COMPUTED_VALUE"""),0.32937500000000025)</f>
        <v>0.329375</v>
      </c>
      <c r="N9" s="10">
        <f>IFERROR(__xludf.DUMMYFUNCTION("""COMPUTED_VALUE"""),0.3269230769230769)</f>
        <v>0.3269230769</v>
      </c>
      <c r="O9" s="36">
        <f>IFERROR(__xludf.DUMMYFUNCTION("""COMPUTED_VALUE"""),-0.24519230769233236)</f>
        <v>-0.2451923077</v>
      </c>
      <c r="P9" s="9"/>
      <c r="Q9" s="11">
        <f>IFERROR(__xludf.DUMMYFUNCTION("""COMPUTED_VALUE"""),34.0)</f>
        <v>34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IFERROR(__xludf.DUMMYFUNCTION("""COMPUTED_VALUE"""),"Leonardo Alencar")</f>
        <v>Leonardo Alencar</v>
      </c>
      <c r="B10" s="9"/>
      <c r="C10" s="11">
        <f>IFERROR(__xludf.DUMMYFUNCTION("""COMPUTED_VALUE"""),122.0)</f>
        <v>122</v>
      </c>
      <c r="D10" s="9"/>
      <c r="E10" s="9"/>
      <c r="F10" s="9"/>
      <c r="G10" s="10">
        <f>IFERROR(__xludf.DUMMYFUNCTION("""COMPUTED_VALUE"""),0.8770491803278688)</f>
        <v>0.8770491803</v>
      </c>
      <c r="H10" s="9"/>
      <c r="I10" s="9"/>
      <c r="J10" s="11">
        <f>IFERROR(__xludf.DUMMYFUNCTION("""COMPUTED_VALUE"""),107.0)</f>
        <v>107</v>
      </c>
      <c r="K10" s="9"/>
      <c r="L10" s="9"/>
      <c r="M10" s="10">
        <f>IFERROR(__xludf.DUMMYFUNCTION("""COMPUTED_VALUE"""),0.32937500000000025)</f>
        <v>0.329375</v>
      </c>
      <c r="N10" s="10">
        <f>IFERROR(__xludf.DUMMYFUNCTION("""COMPUTED_VALUE"""),0.3177570093457944)</f>
        <v>0.3177570093</v>
      </c>
      <c r="O10" s="36">
        <f>IFERROR(__xludf.DUMMYFUNCTION("""COMPUTED_VALUE"""),-1.1617990654205879)</f>
        <v>-1.161799065</v>
      </c>
      <c r="P10" s="9"/>
      <c r="Q10" s="11">
        <f>IFERROR(__xludf.DUMMYFUNCTION("""COMPUTED_VALUE"""),34.0)</f>
        <v>34</v>
      </c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IFERROR(__xludf.DUMMYFUNCTION("""COMPUTED_VALUE"""),128.0)</f>
        <v>128</v>
      </c>
      <c r="D11" s="9"/>
      <c r="E11" s="9"/>
      <c r="F11" s="9"/>
      <c r="G11" s="10">
        <f>IFERROR(__xludf.DUMMYFUNCTION("""COMPUTED_VALUE"""),0.8046875)</f>
        <v>0.8046875</v>
      </c>
      <c r="H11" s="9"/>
      <c r="I11" s="9"/>
      <c r="J11" s="11">
        <f>IFERROR(__xludf.DUMMYFUNCTION("""COMPUTED_VALUE"""),103.0)</f>
        <v>103</v>
      </c>
      <c r="K11" s="9"/>
      <c r="L11" s="9"/>
      <c r="M11" s="10">
        <f>IFERROR(__xludf.DUMMYFUNCTION("""COMPUTED_VALUE"""),0.32937500000000025)</f>
        <v>0.329375</v>
      </c>
      <c r="N11" s="10">
        <f>IFERROR(__xludf.DUMMYFUNCTION("""COMPUTED_VALUE"""),0.32038834951456313)</f>
        <v>0.3203883495</v>
      </c>
      <c r="O11" s="36">
        <f>IFERROR(__xludf.DUMMYFUNCTION("""COMPUTED_VALUE"""),-0.898665048543712)</f>
        <v>-0.8986650485</v>
      </c>
      <c r="P11" s="9"/>
      <c r="Q11" s="11">
        <f>IFERROR(__xludf.DUMMYFUNCTION("""COMPUTED_VALUE"""),33.0)</f>
        <v>33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IFERROR(__xludf.DUMMYFUNCTION("""COMPUTED_VALUE"""),101.0)</f>
        <v>101</v>
      </c>
      <c r="D12" s="9"/>
      <c r="E12" s="9"/>
      <c r="F12" s="9"/>
      <c r="G12" s="10">
        <f>IFERROR(__xludf.DUMMYFUNCTION("""COMPUTED_VALUE"""),0.8811881188118812)</f>
        <v>0.8811881188</v>
      </c>
      <c r="H12" s="9"/>
      <c r="I12" s="9"/>
      <c r="J12" s="11">
        <f>IFERROR(__xludf.DUMMYFUNCTION("""COMPUTED_VALUE"""),89.0)</f>
        <v>89</v>
      </c>
      <c r="K12" s="9"/>
      <c r="L12" s="9"/>
      <c r="M12" s="10">
        <f>IFERROR(__xludf.DUMMYFUNCTION("""COMPUTED_VALUE"""),0.32937500000000025)</f>
        <v>0.329375</v>
      </c>
      <c r="N12" s="10">
        <f>IFERROR(__xludf.DUMMYFUNCTION("""COMPUTED_VALUE"""),0.24719101123595505)</f>
        <v>0.2471910112</v>
      </c>
      <c r="O12" s="36">
        <f>IFERROR(__xludf.DUMMYFUNCTION("""COMPUTED_VALUE"""),-8.218398876404521)</f>
        <v>-8.218398876</v>
      </c>
      <c r="P12" s="9"/>
      <c r="Q12" s="11">
        <f>IFERROR(__xludf.DUMMYFUNCTION("""COMPUTED_VALUE"""),22.0)</f>
        <v>22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IFERROR(__xludf.DUMMYFUNCTION("""COMPUTED_VALUE"""),"Nathan Nascimento")</f>
        <v>Nathan Nascimento</v>
      </c>
      <c r="B13" s="9"/>
      <c r="C13" s="11">
        <f>IFERROR(__xludf.DUMMYFUNCTION("""COMPUTED_VALUE"""),124.0)</f>
        <v>124</v>
      </c>
      <c r="D13" s="9"/>
      <c r="E13" s="9"/>
      <c r="F13" s="9"/>
      <c r="G13" s="10">
        <f>IFERROR(__xludf.DUMMYFUNCTION("""COMPUTED_VALUE"""),0.8145161290322581)</f>
        <v>0.814516129</v>
      </c>
      <c r="H13" s="9"/>
      <c r="I13" s="9"/>
      <c r="J13" s="11">
        <f>IFERROR(__xludf.DUMMYFUNCTION("""COMPUTED_VALUE"""),101.0)</f>
        <v>101</v>
      </c>
      <c r="K13" s="9"/>
      <c r="L13" s="9"/>
      <c r="M13" s="10">
        <f>IFERROR(__xludf.DUMMYFUNCTION("""COMPUTED_VALUE"""),0.32937500000000025)</f>
        <v>0.329375</v>
      </c>
      <c r="N13" s="10">
        <f>IFERROR(__xludf.DUMMYFUNCTION("""COMPUTED_VALUE"""),0.2079207920792079)</f>
        <v>0.2079207921</v>
      </c>
      <c r="O13" s="36">
        <f>IFERROR(__xludf.DUMMYFUNCTION("""COMPUTED_VALUE"""),-12.145420792079234)</f>
        <v>-12.14542079</v>
      </c>
      <c r="P13" s="9"/>
      <c r="Q13" s="11">
        <f>IFERROR(__xludf.DUMMYFUNCTION("""COMPUTED_VALUE"""),21.0)</f>
        <v>21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IFERROR(__xludf.DUMMYFUNCTION("""COMPUTED_VALUE"""),"João Vitor Nascimento")</f>
        <v>João Vitor Nascimento</v>
      </c>
      <c r="B14" s="9"/>
      <c r="C14" s="11">
        <f>IFERROR(__xludf.DUMMYFUNCTION("""COMPUTED_VALUE"""),75.0)</f>
        <v>75</v>
      </c>
      <c r="D14" s="9"/>
      <c r="E14" s="9"/>
      <c r="F14" s="9"/>
      <c r="G14" s="10">
        <f>IFERROR(__xludf.DUMMYFUNCTION("""COMPUTED_VALUE"""),0.84)</f>
        <v>0.84</v>
      </c>
      <c r="H14" s="9"/>
      <c r="I14" s="9"/>
      <c r="J14" s="11">
        <f>IFERROR(__xludf.DUMMYFUNCTION("""COMPUTED_VALUE"""),63.0)</f>
        <v>63</v>
      </c>
      <c r="K14" s="9"/>
      <c r="L14" s="9"/>
      <c r="M14" s="10">
        <f>IFERROR(__xludf.DUMMYFUNCTION("""COMPUTED_VALUE"""),0.32937500000000025)</f>
        <v>0.329375</v>
      </c>
      <c r="N14" s="10">
        <f>IFERROR(__xludf.DUMMYFUNCTION("""COMPUTED_VALUE"""),0.31746031746031744)</f>
        <v>0.3174603175</v>
      </c>
      <c r="O14" s="36">
        <f>IFERROR(__xludf.DUMMYFUNCTION("""COMPUTED_VALUE"""),-1.1914682539682808)</f>
        <v>-1.191468254</v>
      </c>
      <c r="P14" s="9"/>
      <c r="Q14" s="11">
        <f>IFERROR(__xludf.DUMMYFUNCTION("""COMPUTED_VALUE"""),20.0)</f>
        <v>20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IFERROR(__xludf.DUMMYFUNCTION("""COMPUTED_VALUE"""),"Bruno Xavier")</f>
        <v>Bruno Xavier</v>
      </c>
      <c r="B15" s="9"/>
      <c r="C15" s="11">
        <f>IFERROR(__xludf.DUMMYFUNCTION("""COMPUTED_VALUE"""),113.0)</f>
        <v>113</v>
      </c>
      <c r="D15" s="9"/>
      <c r="E15" s="9"/>
      <c r="F15" s="9"/>
      <c r="G15" s="10">
        <f>IFERROR(__xludf.DUMMYFUNCTION("""COMPUTED_VALUE"""),0.6991150442477876)</f>
        <v>0.6991150442</v>
      </c>
      <c r="H15" s="9"/>
      <c r="I15" s="9"/>
      <c r="J15" s="11">
        <f>IFERROR(__xludf.DUMMYFUNCTION("""COMPUTED_VALUE"""),79.0)</f>
        <v>79</v>
      </c>
      <c r="K15" s="9"/>
      <c r="L15" s="9"/>
      <c r="M15" s="10">
        <f>IFERROR(__xludf.DUMMYFUNCTION("""COMPUTED_VALUE"""),0.32937500000000025)</f>
        <v>0.329375</v>
      </c>
      <c r="N15" s="10">
        <f>IFERROR(__xludf.DUMMYFUNCTION("""COMPUTED_VALUE"""),0.21518987341772153)</f>
        <v>0.2151898734</v>
      </c>
      <c r="O15" s="36">
        <f>IFERROR(__xludf.DUMMYFUNCTION("""COMPUTED_VALUE"""),-11.418512658227872)</f>
        <v>-11.41851266</v>
      </c>
      <c r="P15" s="9"/>
      <c r="Q15" s="11">
        <f>IFERROR(__xludf.DUMMYFUNCTION("""COMPUTED_VALUE"""),17.0)</f>
        <v>17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IFERROR(__xludf.DUMMYFUNCTION("""COMPUTED_VALUE"""),"Gustavo Pereira")</f>
        <v>Gustavo Pereira</v>
      </c>
      <c r="B16" s="9"/>
      <c r="C16" s="11">
        <f>IFERROR(__xludf.DUMMYFUNCTION("""COMPUTED_VALUE"""),8.0)</f>
        <v>8</v>
      </c>
      <c r="D16" s="9"/>
      <c r="E16" s="9"/>
      <c r="F16" s="9"/>
      <c r="G16" s="10">
        <f>IFERROR(__xludf.DUMMYFUNCTION("""COMPUTED_VALUE"""),1.125)</f>
        <v>1.125</v>
      </c>
      <c r="H16" s="9"/>
      <c r="I16" s="9"/>
      <c r="J16" s="11">
        <f>IFERROR(__xludf.DUMMYFUNCTION("""COMPUTED_VALUE"""),9.0)</f>
        <v>9</v>
      </c>
      <c r="K16" s="9"/>
      <c r="L16" s="9"/>
      <c r="M16" s="10">
        <f>IFERROR(__xludf.DUMMYFUNCTION("""COMPUTED_VALUE"""),0.32937500000000025)</f>
        <v>0.329375</v>
      </c>
      <c r="N16" s="10">
        <f>IFERROR(__xludf.DUMMYFUNCTION("""COMPUTED_VALUE"""),0.8888888888888888)</f>
        <v>0.8888888889</v>
      </c>
      <c r="O16" s="36">
        <f>IFERROR(__xludf.DUMMYFUNCTION("""COMPUTED_VALUE"""),55.951388888888864)</f>
        <v>55.95138889</v>
      </c>
      <c r="P16" s="9"/>
      <c r="Q16" s="11">
        <f>IFERROR(__xludf.DUMMYFUNCTION("""COMPUTED_VALUE"""),8.0)</f>
        <v>8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IFERROR(__xludf.DUMMYFUNCTION("""COMPUTED_VALUE"""),"Jefferson Da Silva Santos")</f>
        <v>Jefferson Da Silva Santos</v>
      </c>
      <c r="B17" s="9"/>
      <c r="C17" s="11">
        <f>IFERROR(__xludf.DUMMYFUNCTION("""COMPUTED_VALUE"""),46.0)</f>
        <v>46</v>
      </c>
      <c r="D17" s="9"/>
      <c r="E17" s="9"/>
      <c r="F17" s="9"/>
      <c r="G17" s="10">
        <f>IFERROR(__xludf.DUMMYFUNCTION("""COMPUTED_VALUE"""),0.8043478260869565)</f>
        <v>0.8043478261</v>
      </c>
      <c r="H17" s="9"/>
      <c r="I17" s="9"/>
      <c r="J17" s="11">
        <f>IFERROR(__xludf.DUMMYFUNCTION("""COMPUTED_VALUE"""),37.0)</f>
        <v>37</v>
      </c>
      <c r="K17" s="9"/>
      <c r="L17" s="9"/>
      <c r="M17" s="10">
        <f>IFERROR(__xludf.DUMMYFUNCTION("""COMPUTED_VALUE"""),0.32937500000000025)</f>
        <v>0.329375</v>
      </c>
      <c r="N17" s="10">
        <f>IFERROR(__xludf.DUMMYFUNCTION("""COMPUTED_VALUE"""),0.21621621621621623)</f>
        <v>0.2162162162</v>
      </c>
      <c r="O17" s="36">
        <f>IFERROR(__xludf.DUMMYFUNCTION("""COMPUTED_VALUE"""),-11.315878378378402)</f>
        <v>-11.31587838</v>
      </c>
      <c r="P17" s="9"/>
      <c r="Q17" s="11">
        <f>IFERROR(__xludf.DUMMYFUNCTION("""COMPUTED_VALUE"""),8.0)</f>
        <v>8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IFERROR(__xludf.DUMMYFUNCTION("""COMPUTED_VALUE"""),0.32937500000000025)</f>
        <v>0.329375</v>
      </c>
      <c r="N18" s="10">
        <f>IFERROR(__xludf.DUMMYFUNCTION("""COMPUTED_VALUE"""),0.6666666666666666)</f>
        <v>0.6666666667</v>
      </c>
      <c r="O18" s="36">
        <f>IFERROR(__xludf.DUMMYFUNCTION("""COMPUTED_VALUE"""),33.729166666666636)</f>
        <v>33.72916667</v>
      </c>
      <c r="P18" s="9"/>
      <c r="Q18" s="11">
        <f>IFERROR(__xludf.DUMMYFUNCTION("""COMPUTED_VALUE"""),6.0)</f>
        <v>6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IFERROR(__xludf.DUMMYFUNCTION("""COMPUTED_VALUE"""),9.0)</f>
        <v>9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IFERROR(__xludf.DUMMYFUNCTION("""COMPUTED_VALUE"""),9.0)</f>
        <v>9</v>
      </c>
      <c r="K19" s="9"/>
      <c r="L19" s="9"/>
      <c r="M19" s="10">
        <f>IFERROR(__xludf.DUMMYFUNCTION("""COMPUTED_VALUE"""),0.32937500000000025)</f>
        <v>0.329375</v>
      </c>
      <c r="N19" s="10">
        <f>IFERROR(__xludf.DUMMYFUNCTION("""COMPUTED_VALUE"""),0.5555555555555556)</f>
        <v>0.5555555556</v>
      </c>
      <c r="O19" s="36">
        <f>IFERROR(__xludf.DUMMYFUNCTION("""COMPUTED_VALUE"""),22.618055555555532)</f>
        <v>22.61805556</v>
      </c>
      <c r="P19" s="9"/>
      <c r="Q19" s="11">
        <f>IFERROR(__xludf.DUMMYFUNCTION("""COMPUTED_VALUE"""),5.0)</f>
        <v>5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IFERROR(__xludf.DUMMYFUNCTION("""COMPUTED_VALUE"""),0.32937500000000025)</f>
        <v>0.329375</v>
      </c>
      <c r="N20" s="10">
        <f>IFERROR(__xludf.DUMMYFUNCTION("""COMPUTED_VALUE"""),1.0)</f>
        <v>1</v>
      </c>
      <c r="O20" s="36">
        <f>IFERROR(__xludf.DUMMYFUNCTION("""COMPUTED_VALUE"""),67.06249999999999)</f>
        <v>67.0625</v>
      </c>
      <c r="P20" s="9"/>
      <c r="Q20" s="11">
        <f>IFERROR(__xludf.DUMMYFUNCTION("""COMPUTED_VALUE"""),1.0)</f>
        <v>1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IFERROR(__xludf.DUMMYFUNCTION("""COMPUTED_VALUE"""),0.32937500000000025)</f>
        <v>0.329375</v>
      </c>
      <c r="N21" s="10">
        <f>IFERROR(__xludf.DUMMYFUNCTION("""COMPUTED_VALUE"""),1.0)</f>
        <v>1</v>
      </c>
      <c r="O21" s="36">
        <f>IFERROR(__xludf.DUMMYFUNCTION("""COMPUTED_VALUE"""),67.06249999999999)</f>
        <v>67.0625</v>
      </c>
      <c r="P21" s="9"/>
      <c r="Q21" s="11">
        <f>IFERROR(__xludf.DUMMYFUNCTION("""COMPUTED_VALUE"""),1.0)</f>
        <v>1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IFERROR(__xludf.DUMMYFUNCTION("""COMPUTED_VALUE"""),0.32937500000000025)</f>
        <v>0.329375</v>
      </c>
      <c r="N22" s="10">
        <f>IFERROR(__xludf.DUMMYFUNCTION("""COMPUTED_VALUE"""),0.0)</f>
        <v>0</v>
      </c>
      <c r="O22" s="36">
        <f>IFERROR(__xludf.DUMMYFUNCTION("""COMPUTED_VALUE"""),-32.93750000000003)</f>
        <v>-32.9375</v>
      </c>
      <c r="P22" s="9"/>
      <c r="Q22" s="11">
        <f>IFERROR(__xludf.DUMMYFUNCTION("""COMPUTED_VALUE"""),0.0)</f>
        <v>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IFERROR(__xludf.DUMMYFUNCTION("""COMPUTED_VALUE"""),"Cauã Andrade")</f>
        <v>Cauã Andrade</v>
      </c>
      <c r="B23" s="9"/>
      <c r="C23" s="11">
        <f>IFERROR(__xludf.DUMMYFUNCTION("""COMPUTED_VALUE"""),1.0)</f>
        <v>1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IFERROR(__xludf.DUMMYFUNCTION("""COMPUTED_VALUE"""),1.0)</f>
        <v>1</v>
      </c>
      <c r="K23" s="9"/>
      <c r="L23" s="9"/>
      <c r="M23" s="10">
        <f>IFERROR(__xludf.DUMMYFUNCTION("""COMPUTED_VALUE"""),0.32937500000000025)</f>
        <v>0.329375</v>
      </c>
      <c r="N23" s="10">
        <f>IFERROR(__xludf.DUMMYFUNCTION("""COMPUTED_VALUE"""),0.0)</f>
        <v>0</v>
      </c>
      <c r="O23" s="36">
        <f>IFERROR(__xludf.DUMMYFUNCTION("""COMPUTED_VALUE"""),-32.93750000000003)</f>
        <v>-32.9375</v>
      </c>
      <c r="P23" s="9"/>
      <c r="Q23" s="11">
        <f>IFERROR(__xludf.DUMMYFUNCTION("""COMPUTED_VALUE"""),0.0)</f>
        <v>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1">
        <f>IFERROR(__xludf.DUMMYFUNCTION("""COMPUTED_VALUE"""),309.67741935483855)</f>
        <v>309.6774194</v>
      </c>
      <c r="C24" s="11">
        <f>IFERROR(__xludf.DUMMYFUNCTION("""COMPUTED_VALUE"""),345.0)</f>
        <v>345</v>
      </c>
      <c r="D24" s="11">
        <f>IFERROR(__xludf.DUMMYFUNCTION("""COMPUTED_VALUE"""),35.32258064516145)</f>
        <v>35.32258065</v>
      </c>
      <c r="E24" s="10">
        <f>IFERROR(__xludf.DUMMYFUNCTION("""COMPUTED_VALUE"""),0.11406250000000058)</f>
        <v>0.1140625</v>
      </c>
      <c r="F24" s="10">
        <f>IFERROR(__xludf.DUMMYFUNCTION("""COMPUTED_VALUE"""),0.820698804996366)</f>
        <v>0.820698805</v>
      </c>
      <c r="G24" s="10">
        <f>IFERROR(__xludf.DUMMYFUNCTION("""COMPUTED_VALUE"""),0.8782608695652174)</f>
        <v>0.8782608696</v>
      </c>
      <c r="H24" s="36">
        <f>IFERROR(__xludf.DUMMYFUNCTION("""COMPUTED_VALUE"""),5.756206456885138)</f>
        <v>5.756206457</v>
      </c>
      <c r="I24" s="11">
        <f>IFERROR(__xludf.DUMMYFUNCTION("""COMPUTED_VALUE"""),254.1518879988745)</f>
        <v>254.151888</v>
      </c>
      <c r="J24" s="11">
        <f>IFERROR(__xludf.DUMMYFUNCTION("""COMPUTED_VALUE"""),303.0)</f>
        <v>303</v>
      </c>
      <c r="K24" s="11">
        <f>IFERROR(__xludf.DUMMYFUNCTION("""COMPUTED_VALUE"""),48.848112001125486)</f>
        <v>48.848112</v>
      </c>
      <c r="L24" s="10">
        <f>IFERROR(__xludf.DUMMYFUNCTION("""COMPUTED_VALUE"""),0.1922004687265664)</f>
        <v>0.1922004687</v>
      </c>
      <c r="M24" s="10">
        <f>IFERROR(__xludf.DUMMYFUNCTION("""COMPUTED_VALUE"""),0.3003125000000002)</f>
        <v>0.3003125</v>
      </c>
      <c r="N24" s="10">
        <f>IFERROR(__xludf.DUMMYFUNCTION("""COMPUTED_VALUE"""),0.3102310231023102)</f>
        <v>0.3102310231</v>
      </c>
      <c r="O24" s="36">
        <f>IFERROR(__xludf.DUMMYFUNCTION("""COMPUTED_VALUE"""),0.9918523102310006)</f>
        <v>0.9918523102</v>
      </c>
      <c r="P24" s="11">
        <f>IFERROR(__xludf.DUMMYFUNCTION("""COMPUTED_VALUE"""),76.32498886466206)</f>
        <v>76.32498886</v>
      </c>
      <c r="Q24" s="11">
        <f>IFERROR(__xludf.DUMMYFUNCTION("""COMPUTED_VALUE"""),94.0)</f>
        <v>94</v>
      </c>
      <c r="R24" s="11">
        <f>IFERROR(__xludf.DUMMYFUNCTION("""COMPUTED_VALUE"""),17.67501113533794)</f>
        <v>17.67501114</v>
      </c>
      <c r="S24" s="10">
        <f>IFERROR(__xludf.DUMMYFUNCTION("""COMPUTED_VALUE"""),0.23157567918783342)</f>
        <v>0.2315756792</v>
      </c>
      <c r="T24" s="11">
        <f>IFERROR(__xludf.DUMMYFUNCTION("""COMPUTED_VALUE"""),434535.86900393764)</f>
        <v>434535.869</v>
      </c>
      <c r="U24" s="15">
        <f>IFERROR(__xludf.DUMMYFUNCTION("""COMPUTED_VALUE"""),6120.000000000001)</f>
        <v>6120</v>
      </c>
      <c r="V24" s="15">
        <f>IFERROR(__xludf.DUMMYFUNCTION("""COMPUTED_VALUE"""),298950.44544688804)</f>
        <v>298950.4454</v>
      </c>
      <c r="W24" s="10">
        <f>IFERROR(__xludf.DUMMYFUNCTION("""COMPUTED_VALUE"""),0.687976452052521)</f>
        <v>0.6879764521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1">
        <f>IFERROR(__xludf.DUMMYFUNCTION("""COMPUTED_VALUE"""),47.0)</f>
        <v>47</v>
      </c>
      <c r="D25" s="9"/>
      <c r="E25" s="9"/>
      <c r="F25" s="9"/>
      <c r="G25" s="10">
        <f>IFERROR(__xludf.DUMMYFUNCTION("""COMPUTED_VALUE"""),0.7659574468085106)</f>
        <v>0.7659574468</v>
      </c>
      <c r="H25" s="9"/>
      <c r="I25" s="9"/>
      <c r="J25" s="11">
        <f>IFERROR(__xludf.DUMMYFUNCTION("""COMPUTED_VALUE"""),36.0)</f>
        <v>36</v>
      </c>
      <c r="K25" s="9"/>
      <c r="L25" s="9"/>
      <c r="M25" s="9"/>
      <c r="N25" s="10">
        <f>IFERROR(__xludf.DUMMYFUNCTION("""COMPUTED_VALUE"""),0.4166666666666667)</f>
        <v>0.4166666667</v>
      </c>
      <c r="O25" s="9"/>
      <c r="P25" s="9"/>
      <c r="Q25" s="11">
        <f>IFERROR(__xludf.DUMMYFUNCTION("""COMPUTED_VALUE"""),15.0)</f>
        <v>15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1">
        <f>IFERROR(__xludf.DUMMYFUNCTION("""COMPUTED_VALUE"""),45.0)</f>
        <v>45</v>
      </c>
      <c r="D26" s="9"/>
      <c r="E26" s="9"/>
      <c r="F26" s="9"/>
      <c r="G26" s="10">
        <f>IFERROR(__xludf.DUMMYFUNCTION("""COMPUTED_VALUE"""),0.8222222222222222)</f>
        <v>0.8222222222</v>
      </c>
      <c r="H26" s="9"/>
      <c r="I26" s="9"/>
      <c r="J26" s="11">
        <f>IFERROR(__xludf.DUMMYFUNCTION("""COMPUTED_VALUE"""),37.0)</f>
        <v>37</v>
      </c>
      <c r="K26" s="9"/>
      <c r="L26" s="9"/>
      <c r="M26" s="9"/>
      <c r="N26" s="10">
        <f>IFERROR(__xludf.DUMMYFUNCTION("""COMPUTED_VALUE"""),0.3783783783783784)</f>
        <v>0.3783783784</v>
      </c>
      <c r="O26" s="9"/>
      <c r="P26" s="9"/>
      <c r="Q26" s="11">
        <f>IFERROR(__xludf.DUMMYFUNCTION("""COMPUTED_VALUE"""),14.0)</f>
        <v>14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IFERROR(__xludf.DUMMYFUNCTION("""COMPUTED_VALUE"""),"Christian Lopes")</f>
        <v>Christian Lopes</v>
      </c>
      <c r="B27" s="9"/>
      <c r="C27" s="11">
        <f>IFERROR(__xludf.DUMMYFUNCTION("""COMPUTED_VALUE"""),46.0)</f>
        <v>46</v>
      </c>
      <c r="D27" s="9"/>
      <c r="E27" s="9"/>
      <c r="F27" s="9"/>
      <c r="G27" s="10">
        <f>IFERROR(__xludf.DUMMYFUNCTION("""COMPUTED_VALUE"""),0.8478260869565217)</f>
        <v>0.847826087</v>
      </c>
      <c r="H27" s="9"/>
      <c r="I27" s="9"/>
      <c r="J27" s="11">
        <f>IFERROR(__xludf.DUMMYFUNCTION("""COMPUTED_VALUE"""),39.0)</f>
        <v>39</v>
      </c>
      <c r="K27" s="9"/>
      <c r="L27" s="9"/>
      <c r="M27" s="9"/>
      <c r="N27" s="10">
        <f>IFERROR(__xludf.DUMMYFUNCTION("""COMPUTED_VALUE"""),0.3333333333333333)</f>
        <v>0.3333333333</v>
      </c>
      <c r="O27" s="9"/>
      <c r="P27" s="9"/>
      <c r="Q27" s="11">
        <f>IFERROR(__xludf.DUMMYFUNCTION("""COMPUTED_VALUE"""),13.0)</f>
        <v>13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IFERROR(__xludf.DUMMYFUNCTION("""COMPUTED_VALUE"""),"Lucca Giovanni")</f>
        <v>Lucca Giovanni</v>
      </c>
      <c r="B28" s="9"/>
      <c r="C28" s="11">
        <f>IFERROR(__xludf.DUMMYFUNCTION("""COMPUTED_VALUE"""),30.0)</f>
        <v>30</v>
      </c>
      <c r="D28" s="9"/>
      <c r="E28" s="9"/>
      <c r="F28" s="9"/>
      <c r="G28" s="10">
        <f>IFERROR(__xludf.DUMMYFUNCTION("""COMPUTED_VALUE"""),0.9333333333333333)</f>
        <v>0.9333333333</v>
      </c>
      <c r="H28" s="9"/>
      <c r="I28" s="9"/>
      <c r="J28" s="11">
        <f>IFERROR(__xludf.DUMMYFUNCTION("""COMPUTED_VALUE"""),28.0)</f>
        <v>28</v>
      </c>
      <c r="K28" s="9"/>
      <c r="L28" s="9"/>
      <c r="M28" s="9"/>
      <c r="N28" s="10">
        <f>IFERROR(__xludf.DUMMYFUNCTION("""COMPUTED_VALUE"""),0.42857142857142855)</f>
        <v>0.4285714286</v>
      </c>
      <c r="O28" s="9"/>
      <c r="P28" s="9"/>
      <c r="Q28" s="11">
        <f>IFERROR(__xludf.DUMMYFUNCTION("""COMPUTED_VALUE"""),12.0)</f>
        <v>12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1">
        <f>IFERROR(__xludf.DUMMYFUNCTION("""COMPUTED_VALUE"""),34.0)</f>
        <v>34</v>
      </c>
      <c r="D29" s="9"/>
      <c r="E29" s="9"/>
      <c r="F29" s="9"/>
      <c r="G29" s="10">
        <f>IFERROR(__xludf.DUMMYFUNCTION("""COMPUTED_VALUE"""),0.8235294117647058)</f>
        <v>0.8235294118</v>
      </c>
      <c r="H29" s="9"/>
      <c r="I29" s="9"/>
      <c r="J29" s="11">
        <f>IFERROR(__xludf.DUMMYFUNCTION("""COMPUTED_VALUE"""),28.0)</f>
        <v>28</v>
      </c>
      <c r="K29" s="9"/>
      <c r="L29" s="9"/>
      <c r="M29" s="9"/>
      <c r="N29" s="10">
        <f>IFERROR(__xludf.DUMMYFUNCTION("""COMPUTED_VALUE"""),0.35714285714285715)</f>
        <v>0.3571428571</v>
      </c>
      <c r="O29" s="9"/>
      <c r="P29" s="9"/>
      <c r="Q29" s="11">
        <f>IFERROR(__xludf.DUMMYFUNCTION("""COMPUTED_VALUE"""),10.0)</f>
        <v>10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1">
        <f>IFERROR(__xludf.DUMMYFUNCTION("""COMPUTED_VALUE"""),37.0)</f>
        <v>37</v>
      </c>
      <c r="D30" s="9"/>
      <c r="E30" s="9"/>
      <c r="F30" s="9"/>
      <c r="G30" s="10">
        <f>IFERROR(__xludf.DUMMYFUNCTION("""COMPUTED_VALUE"""),0.7837837837837838)</f>
        <v>0.7837837838</v>
      </c>
      <c r="H30" s="9"/>
      <c r="I30" s="9"/>
      <c r="J30" s="11">
        <f>IFERROR(__xludf.DUMMYFUNCTION("""COMPUTED_VALUE"""),29.0)</f>
        <v>29</v>
      </c>
      <c r="K30" s="9"/>
      <c r="L30" s="9"/>
      <c r="M30" s="9"/>
      <c r="N30" s="10">
        <f>IFERROR(__xludf.DUMMYFUNCTION("""COMPUTED_VALUE"""),0.27586206896551724)</f>
        <v>0.275862069</v>
      </c>
      <c r="O30" s="9"/>
      <c r="P30" s="9"/>
      <c r="Q30" s="11">
        <f>IFERROR(__xludf.DUMMYFUNCTION("""COMPUTED_VALUE"""),8.0)</f>
        <v>8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IFERROR(__xludf.DUMMYFUNCTION("""COMPUTED_VALUE"""),40.0)</f>
        <v>40</v>
      </c>
      <c r="D31" s="9"/>
      <c r="E31" s="9"/>
      <c r="F31" s="9"/>
      <c r="G31" s="10">
        <f>IFERROR(__xludf.DUMMYFUNCTION("""COMPUTED_VALUE"""),0.925)</f>
        <v>0.925</v>
      </c>
      <c r="H31" s="9"/>
      <c r="I31" s="9"/>
      <c r="J31" s="11">
        <f>IFERROR(__xludf.DUMMYFUNCTION("""COMPUTED_VALUE"""),37.0)</f>
        <v>37</v>
      </c>
      <c r="K31" s="9"/>
      <c r="L31" s="9"/>
      <c r="M31" s="9"/>
      <c r="N31" s="10">
        <f>IFERROR(__xludf.DUMMYFUNCTION("""COMPUTED_VALUE"""),0.21621621621621623)</f>
        <v>0.2162162162</v>
      </c>
      <c r="O31" s="9"/>
      <c r="P31" s="9"/>
      <c r="Q31" s="11">
        <f>IFERROR(__xludf.DUMMYFUNCTION("""COMPUTED_VALUE"""),8.0)</f>
        <v>8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1">
        <f>IFERROR(__xludf.DUMMYFUNCTION("""COMPUTED_VALUE"""),30.0)</f>
        <v>30</v>
      </c>
      <c r="D32" s="9"/>
      <c r="E32" s="9"/>
      <c r="F32" s="9"/>
      <c r="G32" s="10">
        <f>IFERROR(__xludf.DUMMYFUNCTION("""COMPUTED_VALUE"""),0.9666666666666667)</f>
        <v>0.9666666667</v>
      </c>
      <c r="H32" s="9"/>
      <c r="I32" s="9"/>
      <c r="J32" s="11">
        <f>IFERROR(__xludf.DUMMYFUNCTION("""COMPUTED_VALUE"""),29.0)</f>
        <v>29</v>
      </c>
      <c r="K32" s="9"/>
      <c r="L32" s="9"/>
      <c r="M32" s="9"/>
      <c r="N32" s="10">
        <f>IFERROR(__xludf.DUMMYFUNCTION("""COMPUTED_VALUE"""),0.2413793103448276)</f>
        <v>0.2413793103</v>
      </c>
      <c r="O32" s="9"/>
      <c r="P32" s="9"/>
      <c r="Q32" s="11">
        <f>IFERROR(__xludf.DUMMYFUNCTION("""COMPUTED_VALUE"""),7.0)</f>
        <v>7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IFERROR(__xludf.DUMMYFUNCTION("""COMPUTED_VALUE"""),"Bruno Xavier")</f>
        <v>Bruno Xavier</v>
      </c>
      <c r="B33" s="9"/>
      <c r="C33" s="11">
        <f>IFERROR(__xludf.DUMMYFUNCTION("""COMPUTED_VALUE"""),35.0)</f>
        <v>35</v>
      </c>
      <c r="D33" s="9"/>
      <c r="E33" s="9"/>
      <c r="F33" s="9"/>
      <c r="G33" s="10">
        <f>IFERROR(__xludf.DUMMYFUNCTION("""COMPUTED_VALUE"""),0.7714285714285715)</f>
        <v>0.7714285714</v>
      </c>
      <c r="H33" s="9"/>
      <c r="I33" s="9"/>
      <c r="J33" s="11">
        <f>IFERROR(__xludf.DUMMYFUNCTION("""COMPUTED_VALUE"""),27.0)</f>
        <v>27</v>
      </c>
      <c r="K33" s="9"/>
      <c r="L33" s="9"/>
      <c r="M33" s="9"/>
      <c r="N33" s="10">
        <f>IFERROR(__xludf.DUMMYFUNCTION("""COMPUTED_VALUE"""),0.2222222222222222)</f>
        <v>0.2222222222</v>
      </c>
      <c r="O33" s="9"/>
      <c r="P33" s="9"/>
      <c r="Q33" s="11">
        <f>IFERROR(__xludf.DUMMYFUNCTION("""COMPUTED_VALUE"""),6.0)</f>
        <v>6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1">
        <f>IFERROR(__xludf.DUMMYFUNCTION("""COMPUTED_VALUE"""),6.0)</f>
        <v>6</v>
      </c>
      <c r="D34" s="9"/>
      <c r="E34" s="9"/>
      <c r="F34" s="9"/>
      <c r="G34" s="10">
        <f>IFERROR(__xludf.DUMMYFUNCTION("""COMPUTED_VALUE"""),1.0)</f>
        <v>1</v>
      </c>
      <c r="H34" s="9"/>
      <c r="I34" s="9"/>
      <c r="J34" s="11">
        <f>IFERROR(__xludf.DUMMYFUNCTION("""COMPUTED_VALUE"""),6.0)</f>
        <v>6</v>
      </c>
      <c r="K34" s="9"/>
      <c r="L34" s="9"/>
      <c r="M34" s="9"/>
      <c r="N34" s="10">
        <f>IFERROR(__xludf.DUMMYFUNCTION("""COMPUTED_VALUE"""),0.5)</f>
        <v>0.5</v>
      </c>
      <c r="O34" s="9"/>
      <c r="P34" s="9"/>
      <c r="Q34" s="11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IFERROR(__xludf.DUMMYFUNCTION("""COMPUTED_VALUE"""),"Ilson Costa Lima")</f>
        <v>Ilson Costa Lima</v>
      </c>
      <c r="B35" s="9"/>
      <c r="C35" s="11">
        <f>IFERROR(__xludf.DUMMYFUNCTION("""COMPUTED_VALUE"""),3.0)</f>
        <v>3</v>
      </c>
      <c r="D35" s="9"/>
      <c r="E35" s="9"/>
      <c r="F35" s="9"/>
      <c r="G35" s="10">
        <f>IFERROR(__xludf.DUMMYFUNCTION("""COMPUTED_VALUE"""),1.3333333333333333)</f>
        <v>1.333333333</v>
      </c>
      <c r="H35" s="9"/>
      <c r="I35" s="9"/>
      <c r="J35" s="11">
        <f>IFERROR(__xludf.DUMMYFUNCTION("""COMPUTED_VALUE"""),4.0)</f>
        <v>4</v>
      </c>
      <c r="K35" s="9"/>
      <c r="L35" s="9"/>
      <c r="M35" s="9"/>
      <c r="N35" s="10">
        <f>IFERROR(__xludf.DUMMYFUNCTION("""COMPUTED_VALUE"""),0.5)</f>
        <v>0.5</v>
      </c>
      <c r="O35" s="9"/>
      <c r="P35" s="9"/>
      <c r="Q35" s="11">
        <f>IFERROR(__xludf.DUMMYFUNCTION("""COMPUTED_VALUE"""),2.0)</f>
        <v>2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IFERROR(__xludf.DUMMYFUNCTION("""COMPUTED_VALUE"""),24.0)</f>
        <v>24</v>
      </c>
      <c r="D36" s="9"/>
      <c r="E36" s="9"/>
      <c r="F36" s="9"/>
      <c r="G36" s="10">
        <f>IFERROR(__xludf.DUMMYFUNCTION("""COMPUTED_VALUE"""),0.625)</f>
        <v>0.625</v>
      </c>
      <c r="H36" s="9"/>
      <c r="I36" s="9"/>
      <c r="J36" s="11">
        <f>IFERROR(__xludf.DUMMYFUNCTION("""COMPUTED_VALUE"""),15.0)</f>
        <v>15</v>
      </c>
      <c r="K36" s="9"/>
      <c r="L36" s="9"/>
      <c r="M36" s="9"/>
      <c r="N36" s="10">
        <f>IFERROR(__xludf.DUMMYFUNCTION("""COMPUTED_VALUE"""),0.0)</f>
        <v>0</v>
      </c>
      <c r="O36" s="9"/>
      <c r="P36" s="9"/>
      <c r="Q36" s="11">
        <f>IFERROR(__xludf.DUMMYFUNCTION("""COMPUTED_VALUE"""),0.0)</f>
        <v>0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1">
        <f>IFERROR(__xludf.DUMMYFUNCTION("""COMPUTED_VALUE"""),270.96774193548373)</f>
        <v>270.9677419</v>
      </c>
      <c r="C37" s="11">
        <f>IFERROR(__xludf.DUMMYFUNCTION("""COMPUTED_VALUE"""),386.0)</f>
        <v>386</v>
      </c>
      <c r="D37" s="11">
        <f>IFERROR(__xludf.DUMMYFUNCTION("""COMPUTED_VALUE"""),115.03225806451627)</f>
        <v>115.0322581</v>
      </c>
      <c r="E37" s="10">
        <f>IFERROR(__xludf.DUMMYFUNCTION("""COMPUTED_VALUE"""),0.42452380952381025)</f>
        <v>0.4245238095</v>
      </c>
      <c r="F37" s="10">
        <f>IFERROR(__xludf.DUMMYFUNCTION("""COMPUTED_VALUE"""),0.8420724459024017)</f>
        <v>0.8420724459</v>
      </c>
      <c r="G37" s="10">
        <f>IFERROR(__xludf.DUMMYFUNCTION("""COMPUTED_VALUE"""),0.8316062176165803)</f>
        <v>0.8316062176</v>
      </c>
      <c r="H37" s="36">
        <f>IFERROR(__xludf.DUMMYFUNCTION("""COMPUTED_VALUE"""),-1.0466228285821444)</f>
        <v>-1.046622829</v>
      </c>
      <c r="I37" s="11">
        <f>IFERROR(__xludf.DUMMYFUNCTION("""COMPUTED_VALUE"""),228.17446921226357)</f>
        <v>228.1744692</v>
      </c>
      <c r="J37" s="11">
        <f>IFERROR(__xludf.DUMMYFUNCTION("""COMPUTED_VALUE"""),321.0)</f>
        <v>321</v>
      </c>
      <c r="K37" s="11">
        <f>IFERROR(__xludf.DUMMYFUNCTION("""COMPUTED_VALUE"""),92.82553078773643)</f>
        <v>92.82553079</v>
      </c>
      <c r="L37" s="10">
        <f>IFERROR(__xludf.DUMMYFUNCTION("""COMPUTED_VALUE"""),0.4068182172536742)</f>
        <v>0.4068182173</v>
      </c>
      <c r="M37" s="10">
        <f>IFERROR(__xludf.DUMMYFUNCTION("""COMPUTED_VALUE"""),0.3293750000000003)</f>
        <v>0.329375</v>
      </c>
      <c r="N37" s="10">
        <f>IFERROR(__xludf.DUMMYFUNCTION("""COMPUTED_VALUE"""),0.42679127725856697)</f>
        <v>0.4267912773</v>
      </c>
      <c r="O37" s="36">
        <f>IFERROR(__xludf.DUMMYFUNCTION("""COMPUTED_VALUE"""),9.741627725856667)</f>
        <v>9.741627726</v>
      </c>
      <c r="P37" s="11">
        <f>IFERROR(__xludf.DUMMYFUNCTION("""COMPUTED_VALUE"""),75.15496579678938)</f>
        <v>75.1549658</v>
      </c>
      <c r="Q37" s="11">
        <f>IFERROR(__xludf.DUMMYFUNCTION("""COMPUTED_VALUE"""),137.0)</f>
        <v>137</v>
      </c>
      <c r="R37" s="11">
        <f>IFERROR(__xludf.DUMMYFUNCTION("""COMPUTED_VALUE"""),61.845034203210616)</f>
        <v>61.8450342</v>
      </c>
      <c r="S37" s="10">
        <f>IFERROR(__xludf.DUMMYFUNCTION("""COMPUTED_VALUE"""),0.8229001709671809)</f>
        <v>0.822900171</v>
      </c>
      <c r="T37" s="11">
        <f>IFERROR(__xludf.DUMMYFUNCTION("""COMPUTED_VALUE"""),296436.03634456074)</f>
        <v>296436.0363</v>
      </c>
      <c r="U37" s="15">
        <f>IFERROR(__xludf.DUMMYFUNCTION("""COMPUTED_VALUE"""),4240.0)</f>
        <v>4240</v>
      </c>
      <c r="V37" s="15">
        <f>IFERROR(__xludf.DUMMYFUNCTION("""COMPUTED_VALUE"""),393580.2505400024)</f>
        <v>393580.2505</v>
      </c>
      <c r="W37" s="10">
        <f>IFERROR(__xludf.DUMMYFUNCTION("""COMPUTED_VALUE"""),1.3277071687820257)</f>
        <v>1.327707169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1" t="str">
        <f>IFERROR(__xludf.DUMMYFUNCTION("""COMPUTED_VALUE"""),"#REF!")</f>
        <v>#REF!</v>
      </c>
      <c r="D38" s="9"/>
      <c r="E38" s="9"/>
      <c r="F38" s="9"/>
      <c r="G38" s="10" t="str">
        <f>IFERROR(__xludf.DUMMYFUNCTION("""COMPUTED_VALUE"""),"#REF!")</f>
        <v>#REF!</v>
      </c>
      <c r="H38" s="9"/>
      <c r="I38" s="9"/>
      <c r="J38" s="11" t="str">
        <f>IFERROR(__xludf.DUMMYFUNCTION("""COMPUTED_VALUE"""),"#REF!")</f>
        <v>#REF!</v>
      </c>
      <c r="K38" s="9"/>
      <c r="L38" s="9"/>
      <c r="M38" s="9"/>
      <c r="N38" s="10" t="str">
        <f>IFERROR(__xludf.DUMMYFUNCTION("""COMPUTED_VALUE"""),"#REF!")</f>
        <v>#REF!</v>
      </c>
      <c r="O38" s="9"/>
      <c r="P38" s="9"/>
      <c r="Q38" s="11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1">
        <f>IFERROR(__xludf.DUMMYFUNCTION("""COMPUTED_VALUE"""),61.78064516129028)</f>
        <v>61.78064516</v>
      </c>
      <c r="C49" s="11">
        <f>IFERROR(__xludf.DUMMYFUNCTION("""COMPUTED_VALUE"""),75.0)</f>
        <v>75</v>
      </c>
      <c r="D49" s="11">
        <f>IFERROR(__xludf.DUMMYFUNCTION("""COMPUTED_VALUE"""),13.21935483870972)</f>
        <v>13.21935484</v>
      </c>
      <c r="E49" s="10">
        <f>IFERROR(__xludf.DUMMYFUNCTION("""COMPUTED_VALUE"""),0.21397243107769506)</f>
        <v>0.2139724311</v>
      </c>
      <c r="F49" s="10">
        <f>IFERROR(__xludf.DUMMYFUNCTION("""COMPUTED_VALUE"""),0.7)</f>
        <v>0.7</v>
      </c>
      <c r="G49" s="10">
        <f>IFERROR(__xludf.DUMMYFUNCTION("""COMPUTED_VALUE"""),0.7466666666666667)</f>
        <v>0.7466666667</v>
      </c>
      <c r="H49" s="36">
        <f>IFERROR(__xludf.DUMMYFUNCTION("""COMPUTED_VALUE"""),4.666666666666675)</f>
        <v>4.666666667</v>
      </c>
      <c r="I49" s="11">
        <f>IFERROR(__xludf.DUMMYFUNCTION("""COMPUTED_VALUE"""),43.24645161290319)</f>
        <v>43.24645161</v>
      </c>
      <c r="J49" s="11">
        <f>IFERROR(__xludf.DUMMYFUNCTION("""COMPUTED_VALUE"""),56.0)</f>
        <v>56</v>
      </c>
      <c r="K49" s="11">
        <f>IFERROR(__xludf.DUMMYFUNCTION("""COMPUTED_VALUE"""),12.753548387096806)</f>
        <v>12.75354839</v>
      </c>
      <c r="L49" s="10">
        <f>IFERROR(__xludf.DUMMYFUNCTION("""COMPUTED_VALUE"""),0.29490392648287483)</f>
        <v>0.2949039265</v>
      </c>
      <c r="M49" s="10">
        <f>IFERROR(__xludf.DUMMYFUNCTION("""COMPUTED_VALUE"""),0.2712500000000002)</f>
        <v>0.27125</v>
      </c>
      <c r="N49" s="10">
        <f>IFERROR(__xludf.DUMMYFUNCTION("""COMPUTED_VALUE"""),0.17857142857142858)</f>
        <v>0.1785714286</v>
      </c>
      <c r="O49" s="36">
        <f>IFERROR(__xludf.DUMMYFUNCTION("""COMPUTED_VALUE"""),-9.267857142857164)</f>
        <v>-9.267857143</v>
      </c>
      <c r="P49" s="11">
        <f>IFERROR(__xludf.DUMMYFUNCTION("""COMPUTED_VALUE"""),11.7306)</f>
        <v>11.7306</v>
      </c>
      <c r="Q49" s="11">
        <f>IFERROR(__xludf.DUMMYFUNCTION("""COMPUTED_VALUE"""),10.0)</f>
        <v>10</v>
      </c>
      <c r="R49" s="11">
        <f>IFERROR(__xludf.DUMMYFUNCTION("""COMPUTED_VALUE"""),-1.7306000000000008)</f>
        <v>-1.7306</v>
      </c>
      <c r="S49" s="10">
        <f>IFERROR(__xludf.DUMMYFUNCTION("""COMPUTED_VALUE"""),-0.1475286856597276)</f>
        <v>-0.1475286857</v>
      </c>
      <c r="T49" s="11">
        <f>IFERROR(__xludf.DUMMYFUNCTION("""COMPUTED_VALUE"""),91665.723744)</f>
        <v>91665.72374</v>
      </c>
      <c r="U49" s="15">
        <f>IFERROR(__xludf.DUMMYFUNCTION("""COMPUTED_VALUE"""),8400.0)</f>
        <v>8400</v>
      </c>
      <c r="V49" s="15">
        <f>IFERROR(__xludf.DUMMYFUNCTION("""COMPUTED_VALUE"""),107129.80645161317)</f>
        <v>107129.8065</v>
      </c>
      <c r="W49" s="10">
        <f>IFERROR(__xludf.DUMMYFUNCTION("""COMPUTED_VALUE"""),1.1687008194120692)</f>
        <v>1.168700819</v>
      </c>
      <c r="X49" s="9"/>
      <c r="Y49" s="9"/>
      <c r="Z49" s="9"/>
    </row>
    <row r="50">
      <c r="A50" s="9" t="str">
        <f>IFERROR(__xludf.DUMMYFUNCTION("""COMPUTED_VALUE"""),"Matheus Mariano")</f>
        <v>Matheus Mariano</v>
      </c>
      <c r="B50" s="9"/>
      <c r="C50" s="11">
        <f>IFERROR(__xludf.DUMMYFUNCTION("""COMPUTED_VALUE"""),7.0)</f>
        <v>7</v>
      </c>
      <c r="D50" s="9"/>
      <c r="E50" s="9"/>
      <c r="F50" s="9"/>
      <c r="G50" s="10">
        <f>IFERROR(__xludf.DUMMYFUNCTION("""COMPUTED_VALUE"""),0.5714285714285714)</f>
        <v>0.5714285714</v>
      </c>
      <c r="H50" s="9"/>
      <c r="I50" s="9"/>
      <c r="J50" s="11">
        <f>IFERROR(__xludf.DUMMYFUNCTION("""COMPUTED_VALUE"""),4.0)</f>
        <v>4</v>
      </c>
      <c r="K50" s="9"/>
      <c r="L50" s="9"/>
      <c r="M50" s="9"/>
      <c r="N50" s="10">
        <f>IFERROR(__xludf.DUMMYFUNCTION("""COMPUTED_VALUE"""),0.5)</f>
        <v>0.5</v>
      </c>
      <c r="O50" s="9"/>
      <c r="P50" s="9"/>
      <c r="Q50" s="11">
        <f>IFERROR(__xludf.DUMMYFUNCTION("""COMPUTED_VALUE"""),2.0)</f>
        <v>2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IFERROR(__xludf.DUMMYFUNCTION("""COMPUTED_VALUE"""),"Pablo Maia")</f>
        <v>Pablo Maia</v>
      </c>
      <c r="B51" s="9"/>
      <c r="C51" s="11">
        <f>IFERROR(__xludf.DUMMYFUNCTION("""COMPUTED_VALUE"""),9.0)</f>
        <v>9</v>
      </c>
      <c r="D51" s="9"/>
      <c r="E51" s="9"/>
      <c r="F51" s="9"/>
      <c r="G51" s="10">
        <f>IFERROR(__xludf.DUMMYFUNCTION("""COMPUTED_VALUE"""),0.7777777777777778)</f>
        <v>0.7777777778</v>
      </c>
      <c r="H51" s="9"/>
      <c r="I51" s="9"/>
      <c r="J51" s="11">
        <f>IFERROR(__xludf.DUMMYFUNCTION("""COMPUTED_VALUE"""),7.0)</f>
        <v>7</v>
      </c>
      <c r="K51" s="9"/>
      <c r="L51" s="9"/>
      <c r="M51" s="9"/>
      <c r="N51" s="10">
        <f>IFERROR(__xludf.DUMMYFUNCTION("""COMPUTED_VALUE"""),0.2857142857142857)</f>
        <v>0.2857142857</v>
      </c>
      <c r="O51" s="9"/>
      <c r="P51" s="9"/>
      <c r="Q51" s="11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IFERROR(__xludf.DUMMYFUNCTION("""COMPUTED_VALUE"""),"Gustavo Pereira")</f>
        <v>Gustavo Pereira</v>
      </c>
      <c r="B52" s="9"/>
      <c r="C52" s="11">
        <f>IFERROR(__xludf.DUMMYFUNCTION("""COMPUTED_VALUE"""),1.0)</f>
        <v>1</v>
      </c>
      <c r="D52" s="9"/>
      <c r="E52" s="9"/>
      <c r="F52" s="9"/>
      <c r="G52" s="10">
        <f>IFERROR(__xludf.DUMMYFUNCTION("""COMPUTED_VALUE"""),1.0)</f>
        <v>1</v>
      </c>
      <c r="H52" s="9"/>
      <c r="I52" s="9"/>
      <c r="J52" s="11">
        <f>IFERROR(__xludf.DUMMYFUNCTION("""COMPUTED_VALUE"""),1.0)</f>
        <v>1</v>
      </c>
      <c r="K52" s="9"/>
      <c r="L52" s="9"/>
      <c r="M52" s="9"/>
      <c r="N52" s="10">
        <f>IFERROR(__xludf.DUMMYFUNCTION("""COMPUTED_VALUE"""),1.0)</f>
        <v>1</v>
      </c>
      <c r="O52" s="9"/>
      <c r="P52" s="9"/>
      <c r="Q52" s="11">
        <f>IFERROR(__xludf.DUMMYFUNCTION("""COMPUTED_VALUE"""),1.0)</f>
        <v>1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IFERROR(__xludf.DUMMYFUNCTION("""COMPUTED_VALUE"""),"Christian Lopes")</f>
        <v>Christian Lopes</v>
      </c>
      <c r="B53" s="9"/>
      <c r="C53" s="11">
        <f>IFERROR(__xludf.DUMMYFUNCTION("""COMPUTED_VALUE"""),10.0)</f>
        <v>10</v>
      </c>
      <c r="D53" s="9"/>
      <c r="E53" s="9"/>
      <c r="F53" s="9"/>
      <c r="G53" s="10">
        <f>IFERROR(__xludf.DUMMYFUNCTION("""COMPUTED_VALUE"""),0.5)</f>
        <v>0.5</v>
      </c>
      <c r="H53" s="9"/>
      <c r="I53" s="9"/>
      <c r="J53" s="11">
        <f>IFERROR(__xludf.DUMMYFUNCTION("""COMPUTED_VALUE"""),5.0)</f>
        <v>5</v>
      </c>
      <c r="K53" s="9"/>
      <c r="L53" s="9"/>
      <c r="M53" s="9"/>
      <c r="N53" s="10">
        <f>IFERROR(__xludf.DUMMYFUNCTION("""COMPUTED_VALUE"""),0.2)</f>
        <v>0.2</v>
      </c>
      <c r="O53" s="9"/>
      <c r="P53" s="9"/>
      <c r="Q53" s="11">
        <f>IFERROR(__xludf.DUMMYFUNCTION("""COMPUTED_VALUE"""),1.0)</f>
        <v>1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IFERROR(__xludf.DUMMYFUNCTION("""COMPUTED_VALUE"""),"Nathan Nascimento")</f>
        <v>Nathan Nascimento</v>
      </c>
      <c r="B54" s="9"/>
      <c r="C54" s="11">
        <f>IFERROR(__xludf.DUMMYFUNCTION("""COMPUTED_VALUE"""),8.0)</f>
        <v>8</v>
      </c>
      <c r="D54" s="9"/>
      <c r="E54" s="9"/>
      <c r="F54" s="9"/>
      <c r="G54" s="10">
        <f>IFERROR(__xludf.DUMMYFUNCTION("""COMPUTED_VALUE"""),0.75)</f>
        <v>0.75</v>
      </c>
      <c r="H54" s="9"/>
      <c r="I54" s="9"/>
      <c r="J54" s="11">
        <f>IFERROR(__xludf.DUMMYFUNCTION("""COMPUTED_VALUE"""),6.0)</f>
        <v>6</v>
      </c>
      <c r="K54" s="9"/>
      <c r="L54" s="9"/>
      <c r="M54" s="9"/>
      <c r="N54" s="10">
        <f>IFERROR(__xludf.DUMMYFUNCTION("""COMPUTED_VALUE"""),0.16666666666666666)</f>
        <v>0.1666666667</v>
      </c>
      <c r="O54" s="9"/>
      <c r="P54" s="9"/>
      <c r="Q54" s="11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IFERROR(__xludf.DUMMYFUNCTION("""COMPUTED_VALUE"""),"Leonardo Alencar")</f>
        <v>Leonardo Alencar</v>
      </c>
      <c r="B55" s="9"/>
      <c r="C55" s="11">
        <f>IFERROR(__xludf.DUMMYFUNCTION("""COMPUTED_VALUE"""),6.0)</f>
        <v>6</v>
      </c>
      <c r="D55" s="9"/>
      <c r="E55" s="9"/>
      <c r="F55" s="9"/>
      <c r="G55" s="10">
        <f>IFERROR(__xludf.DUMMYFUNCTION("""COMPUTED_VALUE"""),1.0)</f>
        <v>1</v>
      </c>
      <c r="H55" s="9"/>
      <c r="I55" s="9"/>
      <c r="J55" s="11">
        <f>IFERROR(__xludf.DUMMYFUNCTION("""COMPUTED_VALUE"""),6.0)</f>
        <v>6</v>
      </c>
      <c r="K55" s="9"/>
      <c r="L55" s="9"/>
      <c r="M55" s="9"/>
      <c r="N55" s="10">
        <f>IFERROR(__xludf.DUMMYFUNCTION("""COMPUTED_VALUE"""),0.16666666666666666)</f>
        <v>0.1666666667</v>
      </c>
      <c r="O55" s="9"/>
      <c r="P55" s="9"/>
      <c r="Q55" s="11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IFERROR(__xludf.DUMMYFUNCTION("""COMPUTED_VALUE"""),"João Vitor Nascimento")</f>
        <v>João Vitor Nascimento</v>
      </c>
      <c r="B56" s="9"/>
      <c r="C56" s="11">
        <f>IFERROR(__xludf.DUMMYFUNCTION("""COMPUTED_VALUE"""),6.0)</f>
        <v>6</v>
      </c>
      <c r="D56" s="9"/>
      <c r="E56" s="9"/>
      <c r="F56" s="9"/>
      <c r="G56" s="10">
        <f>IFERROR(__xludf.DUMMYFUNCTION("""COMPUTED_VALUE"""),1.0)</f>
        <v>1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IFERROR(__xludf.DUMMYFUNCTION("""COMPUTED_VALUE"""),0.16666666666666666)</f>
        <v>0.1666666667</v>
      </c>
      <c r="O56" s="9"/>
      <c r="P56" s="9"/>
      <c r="Q56" s="11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IFERROR(__xludf.DUMMYFUNCTION("""COMPUTED_VALUE"""),"Bruno Xavier")</f>
        <v>Bruno Xavier</v>
      </c>
      <c r="B57" s="9"/>
      <c r="C57" s="11">
        <f>IFERROR(__xludf.DUMMYFUNCTION("""COMPUTED_VALUE"""),7.0)</f>
        <v>7</v>
      </c>
      <c r="D57" s="9"/>
      <c r="E57" s="9"/>
      <c r="F57" s="9"/>
      <c r="G57" s="10">
        <f>IFERROR(__xludf.DUMMYFUNCTION("""COMPUTED_VALUE"""),1.0)</f>
        <v>1</v>
      </c>
      <c r="H57" s="9"/>
      <c r="I57" s="9"/>
      <c r="J57" s="11">
        <f>IFERROR(__xludf.DUMMYFUNCTION("""COMPUTED_VALUE"""),7.0)</f>
        <v>7</v>
      </c>
      <c r="K57" s="9"/>
      <c r="L57" s="9"/>
      <c r="M57" s="9"/>
      <c r="N57" s="10">
        <f>IFERROR(__xludf.DUMMYFUNCTION("""COMPUTED_VALUE"""),0.14285714285714285)</f>
        <v>0.1428571429</v>
      </c>
      <c r="O57" s="9"/>
      <c r="P57" s="9"/>
      <c r="Q57" s="11">
        <f>IFERROR(__xludf.DUMMYFUNCTION("""COMPUTED_VALUE"""),1.0)</f>
        <v>1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IFERROR(__xludf.DUMMYFUNCTION("""COMPUTED_VALUE"""),"Nicolas Miranda")</f>
        <v>Nicolas Miranda</v>
      </c>
      <c r="B58" s="9"/>
      <c r="C58" s="11">
        <f>IFERROR(__xludf.DUMMYFUNCTION("""COMPUTED_VALUE"""),7.0)</f>
        <v>7</v>
      </c>
      <c r="D58" s="9"/>
      <c r="E58" s="9"/>
      <c r="F58" s="9"/>
      <c r="G58" s="10">
        <f>IFERROR(__xludf.DUMMYFUNCTION("""COMPUTED_VALUE"""),0.7142857142857143)</f>
        <v>0.7142857143</v>
      </c>
      <c r="H58" s="9"/>
      <c r="I58" s="9"/>
      <c r="J58" s="11">
        <f>IFERROR(__xludf.DUMMYFUNCTION("""COMPUTED_VALUE"""),5.0)</f>
        <v>5</v>
      </c>
      <c r="K58" s="9"/>
      <c r="L58" s="9"/>
      <c r="M58" s="9"/>
      <c r="N58" s="10">
        <f>IFERROR(__xludf.DUMMYFUNCTION("""COMPUTED_VALUE"""),0.0)</f>
        <v>0</v>
      </c>
      <c r="O58" s="9"/>
      <c r="P58" s="9"/>
      <c r="Q58" s="11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IFERROR(__xludf.DUMMYFUNCTION("""COMPUTED_VALUE"""),"Luiz Felipe")</f>
        <v>Luiz Felipe</v>
      </c>
      <c r="B59" s="9"/>
      <c r="C59" s="11">
        <f>IFERROR(__xludf.DUMMYFUNCTION("""COMPUTED_VALUE"""),5.0)</f>
        <v>5</v>
      </c>
      <c r="D59" s="9"/>
      <c r="E59" s="9"/>
      <c r="F59" s="9"/>
      <c r="G59" s="10">
        <f>IFERROR(__xludf.DUMMYFUNCTION("""COMPUTED_VALUE"""),0.4)</f>
        <v>0.4</v>
      </c>
      <c r="H59" s="9"/>
      <c r="I59" s="9"/>
      <c r="J59" s="11">
        <f>IFERROR(__xludf.DUMMYFUNCTION("""COMPUTED_VALUE"""),2.0)</f>
        <v>2</v>
      </c>
      <c r="K59" s="9"/>
      <c r="L59" s="9"/>
      <c r="M59" s="9"/>
      <c r="N59" s="10">
        <f>IFERROR(__xludf.DUMMYFUNCTION("""COMPUTED_VALUE"""),0.0)</f>
        <v>0</v>
      </c>
      <c r="O59" s="9"/>
      <c r="P59" s="9"/>
      <c r="Q59" s="11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1">
        <f>IFERROR(__xludf.DUMMYFUNCTION("""COMPUTED_VALUE"""),1174.6064516129024)</f>
        <v>1174.606452</v>
      </c>
      <c r="C60" s="11">
        <f>IFERROR(__xludf.DUMMYFUNCTION("""COMPUTED_VALUE"""),2805.0)</f>
        <v>2805</v>
      </c>
      <c r="D60" s="11">
        <f>IFERROR(__xludf.DUMMYFUNCTION("""COMPUTED_VALUE"""),1630.3935483870976)</f>
        <v>1630.393548</v>
      </c>
      <c r="E60" s="10">
        <f>IFERROR(__xludf.DUMMYFUNCTION("""COMPUTED_VALUE"""),1.3880338781966797)</f>
        <v>1.388033878</v>
      </c>
      <c r="F60" s="10">
        <f>IFERROR(__xludf.DUMMYFUNCTION("""COMPUTED_VALUE"""),0.7391240265256913)</f>
        <v>0.7391240265</v>
      </c>
      <c r="G60" s="10">
        <f>IFERROR(__xludf.DUMMYFUNCTION("""COMPUTED_VALUE"""),0.6998217468805704)</f>
        <v>0.6998217469</v>
      </c>
      <c r="H60" s="36">
        <f>IFERROR(__xludf.DUMMYFUNCTION("""COMPUTED_VALUE"""),-3.9302279645120897)</f>
        <v>-3.930227965</v>
      </c>
      <c r="I60" s="11">
        <f>IFERROR(__xludf.DUMMYFUNCTION("""COMPUTED_VALUE"""),868.1798500991831)</f>
        <v>868.1798501</v>
      </c>
      <c r="J60" s="11">
        <f>IFERROR(__xludf.DUMMYFUNCTION("""COMPUTED_VALUE"""),1963.0)</f>
        <v>1963</v>
      </c>
      <c r="K60" s="11">
        <f>IFERROR(__xludf.DUMMYFUNCTION("""COMPUTED_VALUE"""),1094.820149900817)</f>
        <v>1094.82015</v>
      </c>
      <c r="L60" s="10">
        <f>IFERROR(__xludf.DUMMYFUNCTION("""COMPUTED_VALUE"""),1.261052246001496)</f>
        <v>1.261052246</v>
      </c>
      <c r="M60" s="10">
        <f>IFERROR(__xludf.DUMMYFUNCTION("""COMPUTED_VALUE"""),0.33573164743115086)</f>
        <v>0.3357316474</v>
      </c>
      <c r="N60" s="10">
        <f>IFERROR(__xludf.DUMMYFUNCTION("""COMPUTED_VALUE"""),0.3927661742231279)</f>
        <v>0.3927661742</v>
      </c>
      <c r="O60" s="36">
        <f>IFERROR(__xludf.DUMMYFUNCTION("""COMPUTED_VALUE"""),5.703452679197701)</f>
        <v>5.703452679</v>
      </c>
      <c r="P60" s="11">
        <f>IFERROR(__xludf.DUMMYFUNCTION("""COMPUTED_VALUE"""),291.47545134032833)</f>
        <v>291.4754513</v>
      </c>
      <c r="Q60" s="11">
        <f>IFERROR(__xludf.DUMMYFUNCTION("""COMPUTED_VALUE"""),771.0)</f>
        <v>771</v>
      </c>
      <c r="R60" s="11">
        <f>IFERROR(__xludf.DUMMYFUNCTION("""COMPUTED_VALUE"""),479.52454865967167)</f>
        <v>479.5245487</v>
      </c>
      <c r="S60" s="10">
        <f>IFERROR(__xludf.DUMMYFUNCTION("""COMPUTED_VALUE"""),1.6451627279574093)</f>
        <v>1.645162728</v>
      </c>
      <c r="T60" s="11">
        <f>IFERROR(__xludf.DUMMYFUNCTION("""COMPUTED_VALUE"""),1587389.8286786797)</f>
        <v>1587389.829</v>
      </c>
      <c r="U60" s="15">
        <f>IFERROR(__xludf.DUMMYFUNCTION("""COMPUTED_VALUE"""),5854.288896925282)</f>
        <v>5854.288897</v>
      </c>
      <c r="V60" s="15">
        <f>IFERROR(__xludf.DUMMYFUNCTION("""COMPUTED_VALUE"""),358768.83253602753)</f>
        <v>358768.8325</v>
      </c>
      <c r="W60" s="10">
        <f>IFERROR(__xludf.DUMMYFUNCTION("""COMPUTED_VALUE"""),0.22601180003443863)</f>
        <v>0.2260118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1">
        <f>IFERROR(__xludf.DUMMYFUNCTION("""COMPUTED_VALUE"""),357.6774193548385)</f>
        <v>357.6774194</v>
      </c>
      <c r="C61" s="11">
        <f>IFERROR(__xludf.DUMMYFUNCTION("""COMPUTED_VALUE"""),362.0)</f>
        <v>362</v>
      </c>
      <c r="D61" s="11">
        <f>IFERROR(__xludf.DUMMYFUNCTION("""COMPUTED_VALUE"""),4.3225806451615085)</f>
        <v>4.322580645</v>
      </c>
      <c r="E61" s="10">
        <f>IFERROR(__xludf.DUMMYFUNCTION("""COMPUTED_VALUE"""),0.012085137085137702)</f>
        <v>0.01208513709</v>
      </c>
      <c r="F61" s="10">
        <f>IFERROR(__xludf.DUMMYFUNCTION("""COMPUTED_VALUE"""),0.8681746999803265)</f>
        <v>0.8681747</v>
      </c>
      <c r="G61" s="10">
        <f>IFERROR(__xludf.DUMMYFUNCTION("""COMPUTED_VALUE"""),0.7016574585635359)</f>
        <v>0.7016574586</v>
      </c>
      <c r="H61" s="36">
        <f>IFERROR(__xludf.DUMMYFUNCTION("""COMPUTED_VALUE"""),-16.651724141679058)</f>
        <v>-16.65172414</v>
      </c>
      <c r="I61" s="11">
        <f>IFERROR(__xludf.DUMMYFUNCTION("""COMPUTED_VALUE"""),310.52648623812433)</f>
        <v>310.5264862</v>
      </c>
      <c r="J61" s="11">
        <f>IFERROR(__xludf.DUMMYFUNCTION("""COMPUTED_VALUE"""),254.0)</f>
        <v>254</v>
      </c>
      <c r="K61" s="11">
        <f>IFERROR(__xludf.DUMMYFUNCTION("""COMPUTED_VALUE"""),-56.526486238124335)</f>
        <v>-56.52648624</v>
      </c>
      <c r="L61" s="10">
        <f>IFERROR(__xludf.DUMMYFUNCTION("""COMPUTED_VALUE"""),-0.1820343472884227)</f>
        <v>-0.1820343473</v>
      </c>
      <c r="M61" s="10">
        <f>IFERROR(__xludf.DUMMYFUNCTION("""COMPUTED_VALUE"""),0.3100000000000003)</f>
        <v>0.31</v>
      </c>
      <c r="N61" s="10">
        <f>IFERROR(__xludf.DUMMYFUNCTION("""COMPUTED_VALUE"""),0.43700787401574803)</f>
        <v>0.437007874</v>
      </c>
      <c r="O61" s="36">
        <f>IFERROR(__xludf.DUMMYFUNCTION("""COMPUTED_VALUE"""),12.700787401574775)</f>
        <v>12.7007874</v>
      </c>
      <c r="P61" s="11">
        <f>IFERROR(__xludf.DUMMYFUNCTION("""COMPUTED_VALUE"""),96.26321073381862)</f>
        <v>96.26321073</v>
      </c>
      <c r="Q61" s="11">
        <f>IFERROR(__xludf.DUMMYFUNCTION("""COMPUTED_VALUE"""),111.0)</f>
        <v>111</v>
      </c>
      <c r="R61" s="11">
        <f>IFERROR(__xludf.DUMMYFUNCTION("""COMPUTED_VALUE"""),14.736789266181376)</f>
        <v>14.73678927</v>
      </c>
      <c r="S61" s="10">
        <f>IFERROR(__xludf.DUMMYFUNCTION("""COMPUTED_VALUE"""),0.15308848680448317)</f>
        <v>0.1530884868</v>
      </c>
      <c r="T61" s="11">
        <f>IFERROR(__xludf.DUMMYFUNCTION("""COMPUTED_VALUE"""),454468.5650728001)</f>
        <v>454468.5651</v>
      </c>
      <c r="U61" s="15">
        <f>IFERROR(__xludf.DUMMYFUNCTION("""COMPUTED_VALUE"""),5074.999999999999)</f>
        <v>5075</v>
      </c>
      <c r="V61" s="15">
        <f>IFERROR(__xludf.DUMMYFUNCTION("""COMPUTED_VALUE"""),-286871.91765848093)</f>
        <v>-286871.9177</v>
      </c>
      <c r="W61" s="10">
        <f>IFERROR(__xludf.DUMMYFUNCTION("""COMPUTED_VALUE"""),-0.6312249948740188)</f>
        <v>-0.6312249949</v>
      </c>
      <c r="X61" s="9"/>
      <c r="Y61" s="9"/>
      <c r="Z61" s="9"/>
    </row>
    <row r="62">
      <c r="A62" s="9" t="str">
        <f>IFERROR(__xludf.DUMMYFUNCTION("""COMPUTED_VALUE"""),"Mariana Jovenato")</f>
        <v>Mariana Jovenato</v>
      </c>
      <c r="B62" s="9"/>
      <c r="C62" s="11">
        <f>IFERROR(__xludf.DUMMYFUNCTION("""COMPUTED_VALUE"""),43.0)</f>
        <v>43</v>
      </c>
      <c r="D62" s="9"/>
      <c r="E62" s="9"/>
      <c r="F62" s="9"/>
      <c r="G62" s="10">
        <f>IFERROR(__xludf.DUMMYFUNCTION("""COMPUTED_VALUE"""),0.8372093023255814)</f>
        <v>0.8372093023</v>
      </c>
      <c r="H62" s="9"/>
      <c r="I62" s="9"/>
      <c r="J62" s="11">
        <f>IFERROR(__xludf.DUMMYFUNCTION("""COMPUTED_VALUE"""),36.0)</f>
        <v>36</v>
      </c>
      <c r="K62" s="9"/>
      <c r="L62" s="9"/>
      <c r="M62" s="9"/>
      <c r="N62" s="10">
        <f>IFERROR(__xludf.DUMMYFUNCTION("""COMPUTED_VALUE"""),0.4444444444444444)</f>
        <v>0.4444444444</v>
      </c>
      <c r="O62" s="9"/>
      <c r="P62" s="9"/>
      <c r="Q62" s="11">
        <f>IFERROR(__xludf.DUMMYFUNCTION("""COMPUTED_VALUE"""),16.0)</f>
        <v>16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IFERROR(__xludf.DUMMYFUNCTION("""COMPUTED_VALUE"""),"Cauã Andrade")</f>
        <v>Cauã Andrade</v>
      </c>
      <c r="B63" s="9"/>
      <c r="C63" s="11">
        <f>IFERROR(__xludf.DUMMYFUNCTION("""COMPUTED_VALUE"""),44.0)</f>
        <v>44</v>
      </c>
      <c r="D63" s="9"/>
      <c r="E63" s="9"/>
      <c r="F63" s="9"/>
      <c r="G63" s="10">
        <f>IFERROR(__xludf.DUMMYFUNCTION("""COMPUTED_VALUE"""),0.75)</f>
        <v>0.75</v>
      </c>
      <c r="H63" s="9"/>
      <c r="I63" s="9"/>
      <c r="J63" s="11">
        <f>IFERROR(__xludf.DUMMYFUNCTION("""COMPUTED_VALUE"""),33.0)</f>
        <v>33</v>
      </c>
      <c r="K63" s="9"/>
      <c r="L63" s="9"/>
      <c r="M63" s="9"/>
      <c r="N63" s="10">
        <f>IFERROR(__xludf.DUMMYFUNCTION("""COMPUTED_VALUE"""),0.42424242424242425)</f>
        <v>0.4242424242</v>
      </c>
      <c r="O63" s="9"/>
      <c r="P63" s="9"/>
      <c r="Q63" s="11">
        <f>IFERROR(__xludf.DUMMYFUNCTION("""COMPUTED_VALUE"""),14.0)</f>
        <v>14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IFERROR(__xludf.DUMMYFUNCTION("""COMPUTED_VALUE"""),"Thalita Lopes")</f>
        <v>Thalita Lopes</v>
      </c>
      <c r="B64" s="9"/>
      <c r="C64" s="11">
        <f>IFERROR(__xludf.DUMMYFUNCTION("""COMPUTED_VALUE"""),44.0)</f>
        <v>44</v>
      </c>
      <c r="D64" s="9"/>
      <c r="E64" s="9"/>
      <c r="F64" s="9"/>
      <c r="G64" s="10">
        <f>IFERROR(__xludf.DUMMYFUNCTION("""COMPUTED_VALUE"""),0.6136363636363636)</f>
        <v>0.6136363636</v>
      </c>
      <c r="H64" s="9"/>
      <c r="I64" s="9"/>
      <c r="J64" s="11">
        <f>IFERROR(__xludf.DUMMYFUNCTION("""COMPUTED_VALUE"""),27.0)</f>
        <v>27</v>
      </c>
      <c r="K64" s="9"/>
      <c r="L64" s="9"/>
      <c r="M64" s="9"/>
      <c r="N64" s="10">
        <f>IFERROR(__xludf.DUMMYFUNCTION("""COMPUTED_VALUE"""),0.48148148148148145)</f>
        <v>0.4814814815</v>
      </c>
      <c r="O64" s="9"/>
      <c r="P64" s="9"/>
      <c r="Q64" s="11">
        <f>IFERROR(__xludf.DUMMYFUNCTION("""COMPUTED_VALUE"""),13.0)</f>
        <v>13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IFERROR(__xludf.DUMMYFUNCTION("""COMPUTED_VALUE"""),"Marcio Lucas")</f>
        <v>Marcio Lucas</v>
      </c>
      <c r="B65" s="9"/>
      <c r="C65" s="11">
        <f>IFERROR(__xludf.DUMMYFUNCTION("""COMPUTED_VALUE"""),51.0)</f>
        <v>51</v>
      </c>
      <c r="D65" s="9"/>
      <c r="E65" s="9"/>
      <c r="F65" s="9"/>
      <c r="G65" s="10">
        <f>IFERROR(__xludf.DUMMYFUNCTION("""COMPUTED_VALUE"""),0.803921568627451)</f>
        <v>0.8039215686</v>
      </c>
      <c r="H65" s="9"/>
      <c r="I65" s="9"/>
      <c r="J65" s="11">
        <f>IFERROR(__xludf.DUMMYFUNCTION("""COMPUTED_VALUE"""),41.0)</f>
        <v>41</v>
      </c>
      <c r="K65" s="9"/>
      <c r="L65" s="9"/>
      <c r="M65" s="9"/>
      <c r="N65" s="10">
        <f>IFERROR(__xludf.DUMMYFUNCTION("""COMPUTED_VALUE"""),0.3170731707317073)</f>
        <v>0.3170731707</v>
      </c>
      <c r="O65" s="9"/>
      <c r="P65" s="9"/>
      <c r="Q65" s="11">
        <f>IFERROR(__xludf.DUMMYFUNCTION("""COMPUTED_VALUE"""),13.0)</f>
        <v>13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IFERROR(__xludf.DUMMYFUNCTION("""COMPUTED_VALUE"""),"Ilson Costa Lima")</f>
        <v>Ilson Costa Lima</v>
      </c>
      <c r="B66" s="9"/>
      <c r="C66" s="11">
        <f>IFERROR(__xludf.DUMMYFUNCTION("""COMPUTED_VALUE"""),45.0)</f>
        <v>45</v>
      </c>
      <c r="D66" s="9"/>
      <c r="E66" s="9"/>
      <c r="F66" s="9"/>
      <c r="G66" s="10">
        <f>IFERROR(__xludf.DUMMYFUNCTION("""COMPUTED_VALUE"""),0.6444444444444445)</f>
        <v>0.6444444444</v>
      </c>
      <c r="H66" s="9"/>
      <c r="I66" s="9"/>
      <c r="J66" s="11">
        <f>IFERROR(__xludf.DUMMYFUNCTION("""COMPUTED_VALUE"""),29.0)</f>
        <v>29</v>
      </c>
      <c r="K66" s="9"/>
      <c r="L66" s="9"/>
      <c r="M66" s="9"/>
      <c r="N66" s="10">
        <f>IFERROR(__xludf.DUMMYFUNCTION("""COMPUTED_VALUE"""),0.3793103448275862)</f>
        <v>0.3793103448</v>
      </c>
      <c r="O66" s="9"/>
      <c r="P66" s="9"/>
      <c r="Q66" s="11">
        <f>IFERROR(__xludf.DUMMYFUNCTION("""COMPUTED_VALUE"""),11.0)</f>
        <v>11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IFERROR(__xludf.DUMMYFUNCTION("""COMPUTED_VALUE"""),"João Rios")</f>
        <v>João Rios</v>
      </c>
      <c r="B67" s="9"/>
      <c r="C67" s="11">
        <f>IFERROR(__xludf.DUMMYFUNCTION("""COMPUTED_VALUE"""),43.0)</f>
        <v>43</v>
      </c>
      <c r="D67" s="9"/>
      <c r="E67" s="9"/>
      <c r="F67" s="9"/>
      <c r="G67" s="10">
        <f>IFERROR(__xludf.DUMMYFUNCTION("""COMPUTED_VALUE"""),0.627906976744186)</f>
        <v>0.6279069767</v>
      </c>
      <c r="H67" s="9"/>
      <c r="I67" s="9"/>
      <c r="J67" s="11">
        <f>IFERROR(__xludf.DUMMYFUNCTION("""COMPUTED_VALUE"""),27.0)</f>
        <v>27</v>
      </c>
      <c r="K67" s="9"/>
      <c r="L67" s="9"/>
      <c r="M67" s="9"/>
      <c r="N67" s="10">
        <f>IFERROR(__xludf.DUMMYFUNCTION("""COMPUTED_VALUE"""),0.37037037037037035)</f>
        <v>0.3703703704</v>
      </c>
      <c r="O67" s="9"/>
      <c r="P67" s="9"/>
      <c r="Q67" s="11">
        <f>IFERROR(__xludf.DUMMYFUNCTION("""COMPUTED_VALUE"""),10.0)</f>
        <v>10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IFERROR(__xludf.DUMMYFUNCTION("""COMPUTED_VALUE"""),"Felipe Maximo")</f>
        <v>Felipe Maximo</v>
      </c>
      <c r="B68" s="9"/>
      <c r="C68" s="11">
        <f>IFERROR(__xludf.DUMMYFUNCTION("""COMPUTED_VALUE"""),36.0)</f>
        <v>36</v>
      </c>
      <c r="D68" s="9"/>
      <c r="E68" s="9"/>
      <c r="F68" s="9"/>
      <c r="G68" s="10">
        <f>IFERROR(__xludf.DUMMYFUNCTION("""COMPUTED_VALUE"""),0.75)</f>
        <v>0.75</v>
      </c>
      <c r="H68" s="9"/>
      <c r="I68" s="9"/>
      <c r="J68" s="11">
        <f>IFERROR(__xludf.DUMMYFUNCTION("""COMPUTED_VALUE"""),27.0)</f>
        <v>27</v>
      </c>
      <c r="K68" s="9"/>
      <c r="L68" s="9"/>
      <c r="M68" s="9"/>
      <c r="N68" s="10">
        <f>IFERROR(__xludf.DUMMYFUNCTION("""COMPUTED_VALUE"""),0.37037037037037035)</f>
        <v>0.3703703704</v>
      </c>
      <c r="O68" s="9"/>
      <c r="P68" s="9"/>
      <c r="Q68" s="11">
        <f>IFERROR(__xludf.DUMMYFUNCTION("""COMPUTED_VALUE"""),10.0)</f>
        <v>10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IFERROR(__xludf.DUMMYFUNCTION("""COMPUTED_VALUE"""),"Mylena Reis")</f>
        <v>Mylena Reis</v>
      </c>
      <c r="B69" s="9"/>
      <c r="C69" s="11">
        <f>IFERROR(__xludf.DUMMYFUNCTION("""COMPUTED_VALUE"""),36.0)</f>
        <v>36</v>
      </c>
      <c r="D69" s="9"/>
      <c r="E69" s="9"/>
      <c r="F69" s="9"/>
      <c r="G69" s="10">
        <f>IFERROR(__xludf.DUMMYFUNCTION("""COMPUTED_VALUE"""),0.7777777777777778)</f>
        <v>0.7777777778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IFERROR(__xludf.DUMMYFUNCTION("""COMPUTED_VALUE"""),0.35714285714285715)</f>
        <v>0.3571428571</v>
      </c>
      <c r="O69" s="9"/>
      <c r="P69" s="9"/>
      <c r="Q69" s="11">
        <f>IFERROR(__xludf.DUMMYFUNCTION("""COMPUTED_VALUE"""),10.0)</f>
        <v>10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IFERROR(__xludf.DUMMYFUNCTION("""COMPUTED_VALUE"""),"Gustavo Pereira")</f>
        <v>Gustavo Pereira</v>
      </c>
      <c r="B70" s="9"/>
      <c r="C70" s="11">
        <f>IFERROR(__xludf.DUMMYFUNCTION("""COMPUTED_VALUE"""),43.0)</f>
        <v>43</v>
      </c>
      <c r="D70" s="9"/>
      <c r="E70" s="9"/>
      <c r="F70" s="9"/>
      <c r="G70" s="10">
        <f>IFERROR(__xludf.DUMMYFUNCTION("""COMPUTED_VALUE"""),0.6511627906976745)</f>
        <v>0.6511627907</v>
      </c>
      <c r="H70" s="9"/>
      <c r="I70" s="9"/>
      <c r="J70" s="11">
        <f>IFERROR(__xludf.DUMMYFUNCTION("""COMPUTED_VALUE"""),28.0)</f>
        <v>28</v>
      </c>
      <c r="K70" s="9"/>
      <c r="L70" s="9"/>
      <c r="M70" s="9"/>
      <c r="N70" s="10">
        <f>IFERROR(__xludf.DUMMYFUNCTION("""COMPUTED_VALUE"""),0.35714285714285715)</f>
        <v>0.3571428571</v>
      </c>
      <c r="O70" s="9"/>
      <c r="P70" s="9"/>
      <c r="Q70" s="11">
        <f>IFERROR(__xludf.DUMMYFUNCTION("""COMPUTED_VALUE"""),10.0)</f>
        <v>10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IFERROR(__xludf.DUMMYFUNCTION("""COMPUTED_VALUE"""),"João Vitor Nascimento")</f>
        <v>João Vitor Nascimento</v>
      </c>
      <c r="B71" s="9"/>
      <c r="C71" s="11">
        <f>IFERROR(__xludf.DUMMYFUNCTION("""COMPUTED_VALUE"""),6.0)</f>
        <v>6</v>
      </c>
      <c r="D71" s="9"/>
      <c r="E71" s="9"/>
      <c r="F71" s="9"/>
      <c r="G71" s="10">
        <f>IFERROR(__xludf.DUMMYFUNCTION("""COMPUTED_VALUE"""),0.8333333333333334)</f>
        <v>0.8333333333</v>
      </c>
      <c r="H71" s="9"/>
      <c r="I71" s="9"/>
      <c r="J71" s="11">
        <f>IFERROR(__xludf.DUMMYFUNCTION("""COMPUTED_VALUE"""),5.0)</f>
        <v>5</v>
      </c>
      <c r="K71" s="9"/>
      <c r="L71" s="9"/>
      <c r="M71" s="9"/>
      <c r="N71" s="10">
        <f>IFERROR(__xludf.DUMMYFUNCTION("""COMPUTED_VALUE"""),1.2)</f>
        <v>1.2</v>
      </c>
      <c r="O71" s="9"/>
      <c r="P71" s="9"/>
      <c r="Q71" s="11">
        <f>IFERROR(__xludf.DUMMYFUNCTION("""COMPUTED_VALUE"""),6.0)</f>
        <v>6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1">
        <f>IFERROR(__xludf.DUMMYFUNCTION("""COMPUTED_VALUE"""),139.35483870967732)</f>
        <v>139.3548387</v>
      </c>
      <c r="C72" s="11">
        <f>IFERROR(__xludf.DUMMYFUNCTION("""COMPUTED_VALUE"""),183.0)</f>
        <v>183</v>
      </c>
      <c r="D72" s="11">
        <f>IFERROR(__xludf.DUMMYFUNCTION("""COMPUTED_VALUE"""),43.645161290322676)</f>
        <v>43.64516129</v>
      </c>
      <c r="E72" s="10">
        <f>IFERROR(__xludf.DUMMYFUNCTION("""COMPUTED_VALUE"""),0.31319444444444533)</f>
        <v>0.3131944444</v>
      </c>
      <c r="F72" s="10">
        <f>IFERROR(__xludf.DUMMYFUNCTION("""COMPUTED_VALUE"""),0.7488125590778879)</f>
        <v>0.7488125591</v>
      </c>
      <c r="G72" s="10">
        <f>IFERROR(__xludf.DUMMYFUNCTION("""COMPUTED_VALUE"""),0.6557377049180327)</f>
        <v>0.6557377049</v>
      </c>
      <c r="H72" s="36">
        <f>IFERROR(__xludf.DUMMYFUNCTION("""COMPUTED_VALUE"""),-9.307485415985518)</f>
        <v>-9.307485416</v>
      </c>
      <c r="I72" s="11">
        <f>IFERROR(__xludf.DUMMYFUNCTION("""COMPUTED_VALUE"""),104.35065339407979)</f>
        <v>104.3506534</v>
      </c>
      <c r="J72" s="11">
        <f>IFERROR(__xludf.DUMMYFUNCTION("""COMPUTED_VALUE"""),120.0)</f>
        <v>120</v>
      </c>
      <c r="K72" s="11">
        <f>IFERROR(__xludf.DUMMYFUNCTION("""COMPUTED_VALUE"""),15.649346605920215)</f>
        <v>15.64934661</v>
      </c>
      <c r="L72" s="10">
        <f>IFERROR(__xludf.DUMMYFUNCTION("""COMPUTED_VALUE"""),0.14996884156365103)</f>
        <v>0.1499688416</v>
      </c>
      <c r="M72" s="10">
        <f>IFERROR(__xludf.DUMMYFUNCTION("""COMPUTED_VALUE"""),0.26156250000000025)</f>
        <v>0.2615625</v>
      </c>
      <c r="N72" s="10">
        <f>IFERROR(__xludf.DUMMYFUNCTION("""COMPUTED_VALUE"""),0.25833333333333336)</f>
        <v>0.2583333333</v>
      </c>
      <c r="O72" s="36">
        <f>IFERROR(__xludf.DUMMYFUNCTION("""COMPUTED_VALUE"""),-0.3229166666666894)</f>
        <v>-0.3229166667</v>
      </c>
      <c r="P72" s="11">
        <f>IFERROR(__xludf.DUMMYFUNCTION("""COMPUTED_VALUE"""),27.29421777838902)</f>
        <v>27.29421778</v>
      </c>
      <c r="Q72" s="11">
        <f>IFERROR(__xludf.DUMMYFUNCTION("""COMPUTED_VALUE"""),31.0)</f>
        <v>31</v>
      </c>
      <c r="R72" s="11">
        <f>IFERROR(__xludf.DUMMYFUNCTION("""COMPUTED_VALUE"""),3.7057822216109813)</f>
        <v>3.705782222</v>
      </c>
      <c r="S72" s="10">
        <f>IFERROR(__xludf.DUMMYFUNCTION("""COMPUTED_VALUE"""),0.13577169537150616)</f>
        <v>0.1357716954</v>
      </c>
      <c r="T72" s="11">
        <f>IFERROR(__xludf.DUMMYFUNCTION("""COMPUTED_VALUE"""),81758.70119416279)</f>
        <v>81758.70119</v>
      </c>
      <c r="U72" s="15">
        <f>IFERROR(__xludf.DUMMYFUNCTION("""COMPUTED_VALUE"""),3220.0)</f>
        <v>3220</v>
      </c>
      <c r="V72" s="15">
        <f>IFERROR(__xludf.DUMMYFUNCTION("""COMPUTED_VALUE"""),50390.89607106309)</f>
        <v>50390.89607</v>
      </c>
      <c r="W72" s="10">
        <f>IFERROR(__xludf.DUMMYFUNCTION("""COMPUTED_VALUE"""),0.6163367976136683)</f>
        <v>0.6163367976</v>
      </c>
      <c r="X72" s="9"/>
      <c r="Y72" s="9"/>
      <c r="Z72" s="9"/>
    </row>
    <row r="73">
      <c r="A73" s="9" t="str">
        <f>IFERROR(__xludf.DUMMYFUNCTION("""COMPUTED_VALUE"""),"Thalita Lopes")</f>
        <v>Thalita Lopes</v>
      </c>
      <c r="B73" s="9"/>
      <c r="C73" s="11">
        <f>IFERROR(__xludf.DUMMYFUNCTION("""COMPUTED_VALUE"""),30.0)</f>
        <v>30</v>
      </c>
      <c r="D73" s="9"/>
      <c r="E73" s="9"/>
      <c r="F73" s="9"/>
      <c r="G73" s="10">
        <f>IFERROR(__xludf.DUMMYFUNCTION("""COMPUTED_VALUE"""),0.7333333333333333)</f>
        <v>0.7333333333</v>
      </c>
      <c r="H73" s="9"/>
      <c r="I73" s="9"/>
      <c r="J73" s="11">
        <f>IFERROR(__xludf.DUMMYFUNCTION("""COMPUTED_VALUE"""),22.0)</f>
        <v>22</v>
      </c>
      <c r="K73" s="9"/>
      <c r="L73" s="9"/>
      <c r="M73" s="9"/>
      <c r="N73" s="10">
        <f>IFERROR(__xludf.DUMMYFUNCTION("""COMPUTED_VALUE"""),0.4090909090909091)</f>
        <v>0.4090909091</v>
      </c>
      <c r="O73" s="9"/>
      <c r="P73" s="9"/>
      <c r="Q73" s="11">
        <f>IFERROR(__xludf.DUMMYFUNCTION("""COMPUTED_VALUE"""),9.0)</f>
        <v>9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IFERROR(__xludf.DUMMYFUNCTION("""COMPUTED_VALUE"""),"Mariana Jovenato")</f>
        <v>Mariana Jovenato</v>
      </c>
      <c r="B74" s="9"/>
      <c r="C74" s="11">
        <f>IFERROR(__xludf.DUMMYFUNCTION("""COMPUTED_VALUE"""),29.0)</f>
        <v>29</v>
      </c>
      <c r="D74" s="9"/>
      <c r="E74" s="9"/>
      <c r="F74" s="9"/>
      <c r="G74" s="10">
        <f>IFERROR(__xludf.DUMMYFUNCTION("""COMPUTED_VALUE"""),0.6896551724137931)</f>
        <v>0.6896551724</v>
      </c>
      <c r="H74" s="9"/>
      <c r="I74" s="9"/>
      <c r="J74" s="11">
        <f>IFERROR(__xludf.DUMMYFUNCTION("""COMPUTED_VALUE"""),20.0)</f>
        <v>20</v>
      </c>
      <c r="K74" s="9"/>
      <c r="L74" s="9"/>
      <c r="M74" s="9"/>
      <c r="N74" s="10">
        <f>IFERROR(__xludf.DUMMYFUNCTION("""COMPUTED_VALUE"""),0.35)</f>
        <v>0.35</v>
      </c>
      <c r="O74" s="9"/>
      <c r="P74" s="9"/>
      <c r="Q74" s="11">
        <f>IFERROR(__xludf.DUMMYFUNCTION("""COMPUTED_VALUE"""),7.0)</f>
        <v>7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1">
        <f>IFERROR(__xludf.DUMMYFUNCTION("""COMPUTED_VALUE"""),30.0)</f>
        <v>30</v>
      </c>
      <c r="D75" s="9"/>
      <c r="E75" s="9"/>
      <c r="F75" s="9"/>
      <c r="G75" s="10">
        <f>IFERROR(__xludf.DUMMYFUNCTION("""COMPUTED_VALUE"""),0.7666666666666667)</f>
        <v>0.7666666667</v>
      </c>
      <c r="H75" s="9"/>
      <c r="I75" s="9"/>
      <c r="J75" s="11">
        <f>IFERROR(__xludf.DUMMYFUNCTION("""COMPUTED_VALUE"""),23.0)</f>
        <v>23</v>
      </c>
      <c r="K75" s="9"/>
      <c r="L75" s="9"/>
      <c r="M75" s="9"/>
      <c r="N75" s="10">
        <f>IFERROR(__xludf.DUMMYFUNCTION("""COMPUTED_VALUE"""),0.30434782608695654)</f>
        <v>0.3043478261</v>
      </c>
      <c r="O75" s="9"/>
      <c r="P75" s="9"/>
      <c r="Q75" s="11">
        <f>IFERROR(__xludf.DUMMYFUNCTION("""COMPUTED_VALUE"""),7.0)</f>
        <v>7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IFERROR(__xludf.DUMMYFUNCTION("""COMPUTED_VALUE"""),"João Rios")</f>
        <v>João Rios</v>
      </c>
      <c r="B76" s="9"/>
      <c r="C76" s="11">
        <f>IFERROR(__xludf.DUMMYFUNCTION("""COMPUTED_VALUE"""),26.0)</f>
        <v>26</v>
      </c>
      <c r="D76" s="9"/>
      <c r="E76" s="9"/>
      <c r="F76" s="9"/>
      <c r="G76" s="10">
        <f>IFERROR(__xludf.DUMMYFUNCTION("""COMPUTED_VALUE"""),0.6538461538461539)</f>
        <v>0.6538461538</v>
      </c>
      <c r="H76" s="9"/>
      <c r="I76" s="9"/>
      <c r="J76" s="11">
        <f>IFERROR(__xludf.DUMMYFUNCTION("""COMPUTED_VALUE"""),17.0)</f>
        <v>17</v>
      </c>
      <c r="K76" s="9"/>
      <c r="L76" s="9"/>
      <c r="M76" s="9"/>
      <c r="N76" s="10">
        <f>IFERROR(__xludf.DUMMYFUNCTION("""COMPUTED_VALUE"""),0.23529411764705882)</f>
        <v>0.2352941176</v>
      </c>
      <c r="O76" s="9"/>
      <c r="P76" s="9"/>
      <c r="Q76" s="11">
        <f>IFERROR(__xludf.DUMMYFUNCTION("""COMPUTED_VALUE"""),4.0)</f>
        <v>4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IFERROR(__xludf.DUMMYFUNCTION("""COMPUTED_VALUE"""),"Ilson Costa Lima")</f>
        <v>Ilson Costa Lima</v>
      </c>
      <c r="B77" s="9"/>
      <c r="C77" s="11">
        <f>IFERROR(__xludf.DUMMYFUNCTION("""COMPUTED_VALUE"""),30.0)</f>
        <v>30</v>
      </c>
      <c r="D77" s="9"/>
      <c r="E77" s="9"/>
      <c r="F77" s="9"/>
      <c r="G77" s="10">
        <f>IFERROR(__xludf.DUMMYFUNCTION("""COMPUTED_VALUE"""),0.6)</f>
        <v>0.6</v>
      </c>
      <c r="H77" s="9"/>
      <c r="I77" s="9"/>
      <c r="J77" s="11">
        <f>IFERROR(__xludf.DUMMYFUNCTION("""COMPUTED_VALUE"""),18.0)</f>
        <v>18</v>
      </c>
      <c r="K77" s="9"/>
      <c r="L77" s="9"/>
      <c r="M77" s="9"/>
      <c r="N77" s="10">
        <f>IFERROR(__xludf.DUMMYFUNCTION("""COMPUTED_VALUE"""),0.16666666666666666)</f>
        <v>0.1666666667</v>
      </c>
      <c r="O77" s="9"/>
      <c r="P77" s="9"/>
      <c r="Q77" s="11">
        <f>IFERROR(__xludf.DUMMYFUNCTION("""COMPUTED_VALUE"""),3.0)</f>
        <v>3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IFERROR(__xludf.DUMMYFUNCTION("""COMPUTED_VALUE"""),"Marcio Lucas")</f>
        <v>Marcio Lucas</v>
      </c>
      <c r="B78" s="9"/>
      <c r="C78" s="11">
        <f>IFERROR(__xludf.DUMMYFUNCTION("""COMPUTED_VALUE"""),28.0)</f>
        <v>28</v>
      </c>
      <c r="D78" s="9"/>
      <c r="E78" s="9"/>
      <c r="F78" s="9"/>
      <c r="G78" s="10">
        <f>IFERROR(__xludf.DUMMYFUNCTION("""COMPUTED_VALUE"""),0.7142857142857143)</f>
        <v>0.7142857143</v>
      </c>
      <c r="H78" s="9"/>
      <c r="I78" s="9"/>
      <c r="J78" s="11">
        <f>IFERROR(__xludf.DUMMYFUNCTION("""COMPUTED_VALUE"""),20.0)</f>
        <v>20</v>
      </c>
      <c r="K78" s="9"/>
      <c r="L78" s="9"/>
      <c r="M78" s="9"/>
      <c r="N78" s="10">
        <f>IFERROR(__xludf.DUMMYFUNCTION("""COMPUTED_VALUE"""),0.15)</f>
        <v>0.15</v>
      </c>
      <c r="O78" s="9"/>
      <c r="P78" s="9"/>
      <c r="Q78" s="11">
        <f>IFERROR(__xludf.DUMMYFUNCTION("""COMPUTED_VALUE"""),3.0)</f>
        <v>3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IFERROR(__xludf.DUMMYFUNCTION("""COMPUTED_VALUE"""),"Cauã Andrade")</f>
        <v>Cauã Andrade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IFERROR(__xludf.DUMMYFUNCTION("""COMPUTED_VALUE"""),0.8275862068965517)</f>
        <v>0.8275862069</v>
      </c>
      <c r="H79" s="9"/>
      <c r="I79" s="9"/>
      <c r="J79" s="11">
        <f>IFERROR(__xludf.DUMMYFUNCTION("""COMPUTED_VALUE"""),24.0)</f>
        <v>24</v>
      </c>
      <c r="K79" s="9"/>
      <c r="L79" s="9"/>
      <c r="M79" s="9"/>
      <c r="N79" s="10">
        <f>IFERROR(__xludf.DUMMYFUNCTION("""COMPUTED_VALUE"""),0.08333333333333333)</f>
        <v>0.08333333333</v>
      </c>
      <c r="O79" s="9"/>
      <c r="P79" s="9"/>
      <c r="Q79" s="11">
        <f>IFERROR(__xludf.DUMMYFUNCTION("""COMPUTED_VALUE"""),2.0)</f>
        <v>2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IFERROR(__xludf.DUMMYFUNCTION("""COMPUTED_VALUE"""),"João Vitor Nascimento")</f>
        <v>João Vitor Nascimento</v>
      </c>
      <c r="B80" s="9"/>
      <c r="C80" s="11">
        <f>IFERROR(__xludf.DUMMYFUNCTION("""COMPUTED_VALUE"""),1.0)</f>
        <v>1</v>
      </c>
      <c r="D80" s="9"/>
      <c r="E80" s="9"/>
      <c r="F80" s="9"/>
      <c r="G80" s="10">
        <f>IFERROR(__xludf.DUMMYFUNCTION("""COMPUTED_VALUE"""),1.0)</f>
        <v>1</v>
      </c>
      <c r="H80" s="9"/>
      <c r="I80" s="9"/>
      <c r="J80" s="11">
        <f>IFERROR(__xludf.DUMMYFUNCTION("""COMPUTED_VALUE"""),1.0)</f>
        <v>1</v>
      </c>
      <c r="K80" s="9"/>
      <c r="L80" s="9"/>
      <c r="M80" s="9"/>
      <c r="N80" s="10">
        <f>IFERROR(__xludf.DUMMYFUNCTION("""COMPUTED_VALUE"""),1.0)</f>
        <v>1</v>
      </c>
      <c r="O80" s="9"/>
      <c r="P80" s="9"/>
      <c r="Q80" s="11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IFERROR(__xludf.DUMMYFUNCTION("""COMPUTED_VALUE"""),"Mylena Reis")</f>
        <v>Mylena Reis</v>
      </c>
      <c r="B81" s="9"/>
      <c r="C81" s="11">
        <f>IFERROR(__xludf.DUMMYFUNCTION("""COMPUTED_VALUE"""),7.0)</f>
        <v>7</v>
      </c>
      <c r="D81" s="9"/>
      <c r="E81" s="9"/>
      <c r="F81" s="9"/>
      <c r="G81" s="10">
        <f>IFERROR(__xludf.DUMMYFUNCTION("""COMPUTED_VALUE"""),0.8571428571428571)</f>
        <v>0.8571428571</v>
      </c>
      <c r="H81" s="9"/>
      <c r="I81" s="9"/>
      <c r="J81" s="11">
        <f>IFERROR(__xludf.DUMMYFUNCTION("""COMPUTED_VALUE"""),6.0)</f>
        <v>6</v>
      </c>
      <c r="K81" s="9"/>
      <c r="L81" s="9"/>
      <c r="M81" s="9"/>
      <c r="N81" s="10">
        <f>IFERROR(__xludf.DUMMYFUNCTION("""COMPUTED_VALUE"""),0.16666666666666666)</f>
        <v>0.1666666667</v>
      </c>
      <c r="O81" s="9"/>
      <c r="P81" s="9"/>
      <c r="Q81" s="11">
        <f>IFERROR(__xludf.DUMMYFUNCTION("""COMPUTED_VALUE"""),1.0)</f>
        <v>1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IFERROR(__xludf.DUMMYFUNCTION("""COMPUTED_VALUE"""),"Nicolas Miranda")</f>
        <v>Nicolas Miranda</v>
      </c>
      <c r="B82" s="9"/>
      <c r="C82" s="11">
        <f>IFERROR(__xludf.DUMMYFUNCTION("""COMPUTED_VALUE"""),1.0)</f>
        <v>1</v>
      </c>
      <c r="D82" s="9"/>
      <c r="E82" s="9"/>
      <c r="F82" s="9"/>
      <c r="G82" s="10">
        <f>IFERROR(__xludf.DUMMYFUNCTION("""COMPUTED_VALUE"""),1.0)</f>
        <v>1</v>
      </c>
      <c r="H82" s="9"/>
      <c r="I82" s="9"/>
      <c r="J82" s="11">
        <f>IFERROR(__xludf.DUMMYFUNCTION("""COMPUTED_VALUE"""),1.0)</f>
        <v>1</v>
      </c>
      <c r="K82" s="9"/>
      <c r="L82" s="9"/>
      <c r="M82" s="9"/>
      <c r="N82" s="10">
        <f>IFERROR(__xludf.DUMMYFUNCTION("""COMPUTED_VALUE"""),0.0)</f>
        <v>0</v>
      </c>
      <c r="O82" s="9"/>
      <c r="P82" s="9"/>
      <c r="Q82" s="11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IFERROR(__xludf.DUMMYFUNCTION("""COMPUTED_VALUE"""),"Felipe Maximo")</f>
        <v>Felipe Maximo</v>
      </c>
      <c r="B83" s="9"/>
      <c r="C83" s="11">
        <f>IFERROR(__xludf.DUMMYFUNCTION("""COMPUTED_VALUE"""),23.0)</f>
        <v>23</v>
      </c>
      <c r="D83" s="9"/>
      <c r="E83" s="9"/>
      <c r="F83" s="9"/>
      <c r="G83" s="10">
        <f>IFERROR(__xludf.DUMMYFUNCTION("""COMPUTED_VALUE"""),0.6956521739130435)</f>
        <v>0.6956521739</v>
      </c>
      <c r="H83" s="9"/>
      <c r="I83" s="9"/>
      <c r="J83" s="11">
        <f>IFERROR(__xludf.DUMMYFUNCTION("""COMPUTED_VALUE"""),16.0)</f>
        <v>16</v>
      </c>
      <c r="K83" s="9"/>
      <c r="L83" s="9"/>
      <c r="M83" s="9"/>
      <c r="N83" s="10">
        <f>IFERROR(__xludf.DUMMYFUNCTION("""COMPUTED_VALUE"""),0.0)</f>
        <v>0</v>
      </c>
      <c r="O83" s="9"/>
      <c r="P83" s="9"/>
      <c r="Q83" s="11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1">
        <f>IFERROR(__xludf.DUMMYFUNCTION("""COMPUTED_VALUE"""),112.25806451612897)</f>
        <v>112.2580645</v>
      </c>
      <c r="C84" s="11">
        <f>IFERROR(__xludf.DUMMYFUNCTION("""COMPUTED_VALUE"""),236.0)</f>
        <v>236</v>
      </c>
      <c r="D84" s="11">
        <f>IFERROR(__xludf.DUMMYFUNCTION("""COMPUTED_VALUE"""),123.74193548387103)</f>
        <v>123.7419355</v>
      </c>
      <c r="E84" s="10">
        <f>IFERROR(__xludf.DUMMYFUNCTION("""COMPUTED_VALUE"""),1.1022988505747138)</f>
        <v>1.102298851</v>
      </c>
      <c r="F84" s="10">
        <f>IFERROR(__xludf.DUMMYFUNCTION("""COMPUTED_VALUE"""),0.5893855762154737)</f>
        <v>0.5893855762</v>
      </c>
      <c r="G84" s="10">
        <f>IFERROR(__xludf.DUMMYFUNCTION("""COMPUTED_VALUE"""),0.7923728813559322)</f>
        <v>0.7923728814</v>
      </c>
      <c r="H84" s="36">
        <f>IFERROR(__xludf.DUMMYFUNCTION("""COMPUTED_VALUE"""),20.29873051404585)</f>
        <v>20.29873051</v>
      </c>
      <c r="I84" s="11">
        <f>IFERROR(__xludf.DUMMYFUNCTION("""COMPUTED_VALUE"""),66.16328403967249)</f>
        <v>66.16328404</v>
      </c>
      <c r="J84" s="11">
        <f>IFERROR(__xludf.DUMMYFUNCTION("""COMPUTED_VALUE"""),187.0)</f>
        <v>187</v>
      </c>
      <c r="K84" s="11">
        <f>IFERROR(__xludf.DUMMYFUNCTION("""COMPUTED_VALUE"""),120.83671596032751)</f>
        <v>120.836716</v>
      </c>
      <c r="L84" s="10">
        <f>IFERROR(__xludf.DUMMYFUNCTION("""COMPUTED_VALUE"""),1.8263409640892676)</f>
        <v>1.826340964</v>
      </c>
      <c r="M84" s="10">
        <f>IFERROR(__xludf.DUMMYFUNCTION("""COMPUTED_VALUE"""),0.35843750000000024)</f>
        <v>0.3584375</v>
      </c>
      <c r="N84" s="10">
        <f>IFERROR(__xludf.DUMMYFUNCTION("""COMPUTED_VALUE"""),0.42245989304812837)</f>
        <v>0.422459893</v>
      </c>
      <c r="O84" s="36">
        <f>IFERROR(__xludf.DUMMYFUNCTION("""COMPUTED_VALUE"""),6.402239304812812)</f>
        <v>6.402239305</v>
      </c>
      <c r="P84" s="11">
        <f>IFERROR(__xludf.DUMMYFUNCTION("""COMPUTED_VALUE"""),23.715402122970126)</f>
        <v>23.71540212</v>
      </c>
      <c r="Q84" s="11">
        <f>IFERROR(__xludf.DUMMYFUNCTION("""COMPUTED_VALUE"""),79.0)</f>
        <v>79</v>
      </c>
      <c r="R84" s="11">
        <f>IFERROR(__xludf.DUMMYFUNCTION("""COMPUTED_VALUE"""),55.284597877029874)</f>
        <v>55.28459788</v>
      </c>
      <c r="S84" s="10">
        <f>IFERROR(__xludf.DUMMYFUNCTION("""COMPUTED_VALUE"""),2.331168478205252)</f>
        <v>2.331168478</v>
      </c>
      <c r="T84" s="11">
        <f>IFERROR(__xludf.DUMMYFUNCTION("""COMPUTED_VALUE"""),121780.29741040444)</f>
        <v>121780.2974</v>
      </c>
      <c r="U84" s="15">
        <f>IFERROR(__xludf.DUMMYFUNCTION("""COMPUTED_VALUE"""),5520.0)</f>
        <v>5520</v>
      </c>
      <c r="V84" s="15">
        <f>IFERROR(__xludf.DUMMYFUNCTION("""COMPUTED_VALUE"""),667018.6721010079)</f>
        <v>667018.6721</v>
      </c>
      <c r="W84" s="10">
        <f>IFERROR(__xludf.DUMMYFUNCTION("""COMPUTED_VALUE"""),5.477229784167208)</f>
        <v>5.477229784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1">
        <f>IFERROR(__xludf.DUMMYFUNCTION("""COMPUTED_VALUE"""),36.0)</f>
        <v>36</v>
      </c>
      <c r="D85" s="9"/>
      <c r="E85" s="9"/>
      <c r="F85" s="9"/>
      <c r="G85" s="10">
        <f>IFERROR(__xludf.DUMMYFUNCTION("""COMPUTED_VALUE"""),0.6944444444444444)</f>
        <v>0.6944444444</v>
      </c>
      <c r="H85" s="9"/>
      <c r="I85" s="9"/>
      <c r="J85" s="11">
        <f>IFERROR(__xludf.DUMMYFUNCTION("""COMPUTED_VALUE"""),25.0)</f>
        <v>25</v>
      </c>
      <c r="K85" s="9"/>
      <c r="L85" s="9"/>
      <c r="M85" s="9"/>
      <c r="N85" s="10">
        <f>IFERROR(__xludf.DUMMYFUNCTION("""COMPUTED_VALUE"""),0.52)</f>
        <v>0.52</v>
      </c>
      <c r="O85" s="9"/>
      <c r="P85" s="9"/>
      <c r="Q85" s="11">
        <f>IFERROR(__xludf.DUMMYFUNCTION("""COMPUTED_VALUE"""),13.0)</f>
        <v>13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1">
        <f>IFERROR(__xludf.DUMMYFUNCTION("""COMPUTED_VALUE"""),19.0)</f>
        <v>19</v>
      </c>
      <c r="D86" s="9"/>
      <c r="E86" s="9"/>
      <c r="F86" s="9"/>
      <c r="G86" s="10">
        <f>IFERROR(__xludf.DUMMYFUNCTION("""COMPUTED_VALUE"""),0.8947368421052632)</f>
        <v>0.8947368421</v>
      </c>
      <c r="H86" s="9"/>
      <c r="I86" s="9"/>
      <c r="J86" s="11">
        <f>IFERROR(__xludf.DUMMYFUNCTION("""COMPUTED_VALUE"""),17.0)</f>
        <v>17</v>
      </c>
      <c r="K86" s="9"/>
      <c r="L86" s="9"/>
      <c r="M86" s="9"/>
      <c r="N86" s="10">
        <f>IFERROR(__xludf.DUMMYFUNCTION("""COMPUTED_VALUE"""),0.6470588235294118)</f>
        <v>0.6470588235</v>
      </c>
      <c r="O86" s="9"/>
      <c r="P86" s="9"/>
      <c r="Q86" s="11">
        <f>IFERROR(__xludf.DUMMYFUNCTION("""COMPUTED_VALUE"""),11.0)</f>
        <v>11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IFERROR(__xludf.DUMMYFUNCTION("""COMPUTED_VALUE"""),"João Rios")</f>
        <v>João Rios</v>
      </c>
      <c r="B87" s="9"/>
      <c r="C87" s="11">
        <f>IFERROR(__xludf.DUMMYFUNCTION("""COMPUTED_VALUE"""),19.0)</f>
        <v>19</v>
      </c>
      <c r="D87" s="9"/>
      <c r="E87" s="9"/>
      <c r="F87" s="9"/>
      <c r="G87" s="10">
        <f>IFERROR(__xludf.DUMMYFUNCTION("""COMPUTED_VALUE"""),0.8421052631578947)</f>
        <v>0.8421052632</v>
      </c>
      <c r="H87" s="9"/>
      <c r="I87" s="9"/>
      <c r="J87" s="11">
        <f>IFERROR(__xludf.DUMMYFUNCTION("""COMPUTED_VALUE"""),16.0)</f>
        <v>16</v>
      </c>
      <c r="K87" s="9"/>
      <c r="L87" s="9"/>
      <c r="M87" s="9"/>
      <c r="N87" s="10">
        <f>IFERROR(__xludf.DUMMYFUNCTION("""COMPUTED_VALUE"""),0.5625)</f>
        <v>0.5625</v>
      </c>
      <c r="O87" s="9"/>
      <c r="P87" s="9"/>
      <c r="Q87" s="11">
        <f>IFERROR(__xludf.DUMMYFUNCTION("""COMPUTED_VALUE"""),9.0)</f>
        <v>9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IFERROR(__xludf.DUMMYFUNCTION("""COMPUTED_VALUE"""),"Marcio Lucas")</f>
        <v>Marcio Lucas</v>
      </c>
      <c r="B88" s="9"/>
      <c r="C88" s="11">
        <f>IFERROR(__xludf.DUMMYFUNCTION("""COMPUTED_VALUE"""),33.0)</f>
        <v>33</v>
      </c>
      <c r="D88" s="9"/>
      <c r="E88" s="9"/>
      <c r="F88" s="9"/>
      <c r="G88" s="10">
        <f>IFERROR(__xludf.DUMMYFUNCTION("""COMPUTED_VALUE"""),0.7272727272727273)</f>
        <v>0.7272727273</v>
      </c>
      <c r="H88" s="9"/>
      <c r="I88" s="9"/>
      <c r="J88" s="11">
        <f>IFERROR(__xludf.DUMMYFUNCTION("""COMPUTED_VALUE"""),24.0)</f>
        <v>24</v>
      </c>
      <c r="K88" s="9"/>
      <c r="L88" s="9"/>
      <c r="M88" s="9"/>
      <c r="N88" s="10">
        <f>IFERROR(__xludf.DUMMYFUNCTION("""COMPUTED_VALUE"""),0.375)</f>
        <v>0.375</v>
      </c>
      <c r="O88" s="9"/>
      <c r="P88" s="9"/>
      <c r="Q88" s="11">
        <f>IFERROR(__xludf.DUMMYFUNCTION("""COMPUTED_VALUE"""),9.0)</f>
        <v>9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IFERROR(__xludf.DUMMYFUNCTION("""COMPUTED_VALUE"""),"Gustavo Pereira")</f>
        <v>Gustavo Pereira</v>
      </c>
      <c r="B89" s="9"/>
      <c r="C89" s="11">
        <f>IFERROR(__xludf.DUMMYFUNCTION("""COMPUTED_VALUE"""),44.0)</f>
        <v>44</v>
      </c>
      <c r="D89" s="9"/>
      <c r="E89" s="9"/>
      <c r="F89" s="9"/>
      <c r="G89" s="10">
        <f>IFERROR(__xludf.DUMMYFUNCTION("""COMPUTED_VALUE"""),0.7727272727272727)</f>
        <v>0.7727272727</v>
      </c>
      <c r="H89" s="9"/>
      <c r="I89" s="9"/>
      <c r="J89" s="11">
        <f>IFERROR(__xludf.DUMMYFUNCTION("""COMPUTED_VALUE"""),34.0)</f>
        <v>34</v>
      </c>
      <c r="K89" s="9"/>
      <c r="L89" s="9"/>
      <c r="M89" s="9"/>
      <c r="N89" s="10">
        <f>IFERROR(__xludf.DUMMYFUNCTION("""COMPUTED_VALUE"""),0.2647058823529412)</f>
        <v>0.2647058824</v>
      </c>
      <c r="O89" s="9"/>
      <c r="P89" s="9"/>
      <c r="Q89" s="11">
        <f>IFERROR(__xludf.DUMMYFUNCTION("""COMPUTED_VALUE"""),9.0)</f>
        <v>9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IFERROR(__xludf.DUMMYFUNCTION("""COMPUTED_VALUE"""),"Ilson Costa Lima")</f>
        <v>Ilson Costa Lima</v>
      </c>
      <c r="B90" s="9"/>
      <c r="C90" s="11">
        <f>IFERROR(__xludf.DUMMYFUNCTION("""COMPUTED_VALUE"""),26.0)</f>
        <v>26</v>
      </c>
      <c r="D90" s="9"/>
      <c r="E90" s="9"/>
      <c r="F90" s="9"/>
      <c r="G90" s="10">
        <f>IFERROR(__xludf.DUMMYFUNCTION("""COMPUTED_VALUE"""),0.6538461538461539)</f>
        <v>0.6538461538</v>
      </c>
      <c r="H90" s="9"/>
      <c r="I90" s="9"/>
      <c r="J90" s="11">
        <f>IFERROR(__xludf.DUMMYFUNCTION("""COMPUTED_VALUE"""),17.0)</f>
        <v>17</v>
      </c>
      <c r="K90" s="9"/>
      <c r="L90" s="9"/>
      <c r="M90" s="9"/>
      <c r="N90" s="10">
        <f>IFERROR(__xludf.DUMMYFUNCTION("""COMPUTED_VALUE"""),0.47058823529411764)</f>
        <v>0.4705882353</v>
      </c>
      <c r="O90" s="9"/>
      <c r="P90" s="9"/>
      <c r="Q90" s="11">
        <f>IFERROR(__xludf.DUMMYFUNCTION("""COMPUTED_VALUE"""),8.0)</f>
        <v>8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IFERROR(__xludf.DUMMYFUNCTION("""COMPUTED_VALUE"""),"Mylena Reis")</f>
        <v>Mylena Reis</v>
      </c>
      <c r="B91" s="9"/>
      <c r="C91" s="11">
        <f>IFERROR(__xludf.DUMMYFUNCTION("""COMPUTED_VALUE"""),27.0)</f>
        <v>27</v>
      </c>
      <c r="D91" s="9"/>
      <c r="E91" s="9"/>
      <c r="F91" s="9"/>
      <c r="G91" s="10">
        <f>IFERROR(__xludf.DUMMYFUNCTION("""COMPUTED_VALUE"""),0.9629629629629629)</f>
        <v>0.962962963</v>
      </c>
      <c r="H91" s="9"/>
      <c r="I91" s="9"/>
      <c r="J91" s="11">
        <f>IFERROR(__xludf.DUMMYFUNCTION("""COMPUTED_VALUE"""),26.0)</f>
        <v>26</v>
      </c>
      <c r="K91" s="9"/>
      <c r="L91" s="9"/>
      <c r="M91" s="9"/>
      <c r="N91" s="10">
        <f>IFERROR(__xludf.DUMMYFUNCTION("""COMPUTED_VALUE"""),0.2692307692307692)</f>
        <v>0.2692307692</v>
      </c>
      <c r="O91" s="9"/>
      <c r="P91" s="9"/>
      <c r="Q91" s="11">
        <f>IFERROR(__xludf.DUMMYFUNCTION("""COMPUTED_VALUE"""),7.0)</f>
        <v>7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IFERROR(__xludf.DUMMYFUNCTION("""COMPUTED_VALUE"""),"Cauã Andrade")</f>
        <v>Cauã Andrade</v>
      </c>
      <c r="B92" s="9"/>
      <c r="C92" s="11">
        <f>IFERROR(__xludf.DUMMYFUNCTION("""COMPUTED_VALUE"""),20.0)</f>
        <v>20</v>
      </c>
      <c r="D92" s="9"/>
      <c r="E92" s="9"/>
      <c r="F92" s="9"/>
      <c r="G92" s="10">
        <f>IFERROR(__xludf.DUMMYFUNCTION("""COMPUTED_VALUE"""),0.9)</f>
        <v>0.9</v>
      </c>
      <c r="H92" s="9"/>
      <c r="I92" s="9"/>
      <c r="J92" s="11">
        <f>IFERROR(__xludf.DUMMYFUNCTION("""COMPUTED_VALUE"""),18.0)</f>
        <v>18</v>
      </c>
      <c r="K92" s="9"/>
      <c r="L92" s="9"/>
      <c r="M92" s="9"/>
      <c r="N92" s="10">
        <f>IFERROR(__xludf.DUMMYFUNCTION("""COMPUTED_VALUE"""),0.3333333333333333)</f>
        <v>0.3333333333</v>
      </c>
      <c r="O92" s="9"/>
      <c r="P92" s="9"/>
      <c r="Q92" s="11">
        <f>IFERROR(__xludf.DUMMYFUNCTION("""COMPUTED_VALUE"""),6.0)</f>
        <v>6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IFERROR(__xludf.DUMMYFUNCTION("""COMPUTED_VALUE"""),"Felipe Maximo")</f>
        <v>Felipe Maximo</v>
      </c>
      <c r="B93" s="9"/>
      <c r="C93" s="11">
        <f>IFERROR(__xludf.DUMMYFUNCTION("""COMPUTED_VALUE"""),24.0)</f>
        <v>24</v>
      </c>
      <c r="D93" s="9"/>
      <c r="E93" s="9"/>
      <c r="F93" s="9"/>
      <c r="G93" s="10">
        <f>IFERROR(__xludf.DUMMYFUNCTION("""COMPUTED_VALUE"""),0.7916666666666666)</f>
        <v>0.7916666667</v>
      </c>
      <c r="H93" s="9"/>
      <c r="I93" s="9"/>
      <c r="J93" s="11">
        <f>IFERROR(__xludf.DUMMYFUNCTION("""COMPUTED_VALUE"""),19.0)</f>
        <v>19</v>
      </c>
      <c r="K93" s="9"/>
      <c r="L93" s="9"/>
      <c r="M93" s="9"/>
      <c r="N93" s="10">
        <f>IFERROR(__xludf.DUMMYFUNCTION("""COMPUTED_VALUE"""),0.3157894736842105)</f>
        <v>0.3157894737</v>
      </c>
      <c r="O93" s="9"/>
      <c r="P93" s="9"/>
      <c r="Q93" s="11">
        <f>IFERROR(__xludf.DUMMYFUNCTION("""COMPUTED_VALUE"""),6.0)</f>
        <v>6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1">
        <f>IFERROR(__xludf.DUMMYFUNCTION("""COMPUTED_VALUE"""),2.0)</f>
        <v>2</v>
      </c>
      <c r="D94" s="9"/>
      <c r="E94" s="9"/>
      <c r="F94" s="9"/>
      <c r="G94" s="10">
        <f>IFERROR(__xludf.DUMMYFUNCTION("""COMPUTED_VALUE"""),1.0)</f>
        <v>1</v>
      </c>
      <c r="H94" s="9"/>
      <c r="I94" s="9"/>
      <c r="J94" s="11">
        <f>IFERROR(__xludf.DUMMYFUNCTION("""COMPUTED_VALUE"""),2.0)</f>
        <v>2</v>
      </c>
      <c r="K94" s="9"/>
      <c r="L94" s="9"/>
      <c r="M94" s="9"/>
      <c r="N94" s="10">
        <f>IFERROR(__xludf.DUMMYFUNCTION("""COMPUTED_VALUE"""),1.0)</f>
        <v>1</v>
      </c>
      <c r="O94" s="9"/>
      <c r="P94" s="9"/>
      <c r="Q94" s="11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1">
        <f>IFERROR(__xludf.DUMMYFUNCTION("""COMPUTED_VALUE"""),7.0)</f>
        <v>7</v>
      </c>
      <c r="D95" s="9"/>
      <c r="E95" s="9"/>
      <c r="F95" s="9"/>
      <c r="G95" s="10">
        <f>IFERROR(__xludf.DUMMYFUNCTION("""COMPUTED_VALUE"""),0.8571428571428571)</f>
        <v>0.8571428571</v>
      </c>
      <c r="H95" s="9"/>
      <c r="I95" s="9"/>
      <c r="J95" s="11">
        <f>IFERROR(__xludf.DUMMYFUNCTION("""COMPUTED_VALUE"""),6.0)</f>
        <v>6</v>
      </c>
      <c r="K95" s="9"/>
      <c r="L95" s="9"/>
      <c r="M95" s="9"/>
      <c r="N95" s="10">
        <f>IFERROR(__xludf.DUMMYFUNCTION("""COMPUTED_VALUE"""),0.16666666666666666)</f>
        <v>0.1666666667</v>
      </c>
      <c r="O95" s="9"/>
      <c r="P95" s="9"/>
      <c r="Q95" s="11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1">
        <f>IFERROR(__xludf.DUMMYFUNCTION("""COMPUTED_VALUE"""),1.0)</f>
        <v>1</v>
      </c>
      <c r="D96" s="9"/>
      <c r="E96" s="9"/>
      <c r="F96" s="9"/>
      <c r="G96" s="10">
        <f>IFERROR(__xludf.DUMMYFUNCTION("""COMPUTED_VALUE"""),1.0)</f>
        <v>1</v>
      </c>
      <c r="H96" s="9"/>
      <c r="I96" s="9"/>
      <c r="J96" s="11">
        <f>IFERROR(__xludf.DUMMYFUNCTION("""COMPUTED_VALUE"""),1.0)</f>
        <v>1</v>
      </c>
      <c r="K96" s="9"/>
      <c r="L96" s="9"/>
      <c r="M96" s="9"/>
      <c r="N96" s="10">
        <f>IFERROR(__xludf.DUMMYFUNCTION("""COMPUTED_VALUE"""),0.0)</f>
        <v>0</v>
      </c>
      <c r="O96" s="9"/>
      <c r="P96" s="9"/>
      <c r="Q96" s="11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1">
        <f>IFERROR(__xludf.DUMMYFUNCTION("""COMPUTED_VALUE"""),1.0)</f>
        <v>1</v>
      </c>
      <c r="D97" s="9"/>
      <c r="E97" s="9"/>
      <c r="F97" s="9"/>
      <c r="G97" s="10">
        <f>IFERROR(__xludf.DUMMYFUNCTION("""COMPUTED_VALUE"""),0.0)</f>
        <v>0</v>
      </c>
      <c r="H97" s="9"/>
      <c r="I97" s="9"/>
      <c r="J97" s="11">
        <f>IFERROR(__xludf.DUMMYFUNCTION("""COMPUTED_VALUE"""),0.0)</f>
        <v>0</v>
      </c>
      <c r="K97" s="9"/>
      <c r="L97" s="9"/>
      <c r="M97" s="9"/>
      <c r="N97" s="10">
        <f>IFERROR(__xludf.DUMMYFUNCTION("""COMPUTED_VALUE"""),0.0)</f>
        <v>0</v>
      </c>
      <c r="O97" s="9"/>
      <c r="P97" s="9"/>
      <c r="Q97" s="11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1">
        <f>IFERROR(__xludf.DUMMYFUNCTION("""COMPUTED_VALUE"""),1.0)</f>
        <v>1</v>
      </c>
      <c r="D98" s="9"/>
      <c r="E98" s="9"/>
      <c r="F98" s="9"/>
      <c r="G98" s="10">
        <f>IFERROR(__xludf.DUMMYFUNCTION("""COMPUTED_VALUE"""),2.0)</f>
        <v>2</v>
      </c>
      <c r="H98" s="9"/>
      <c r="I98" s="9"/>
      <c r="J98" s="11">
        <f>IFERROR(__xludf.DUMMYFUNCTION("""COMPUTED_VALUE"""),2.0)</f>
        <v>2</v>
      </c>
      <c r="K98" s="9"/>
      <c r="L98" s="9"/>
      <c r="M98" s="9"/>
      <c r="N98" s="10">
        <f>IFERROR(__xludf.DUMMYFUNCTION("""COMPUTED_VALUE"""),0.0)</f>
        <v>0</v>
      </c>
      <c r="O98" s="9"/>
      <c r="P98" s="9"/>
      <c r="Q98" s="11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1">
        <f>IFERROR(__xludf.DUMMYFUNCTION("""COMPUTED_VALUE"""),397.9354838709675)</f>
        <v>397.9354839</v>
      </c>
      <c r="C99" s="11">
        <f>IFERROR(__xludf.DUMMYFUNCTION("""COMPUTED_VALUE"""),421.0)</f>
        <v>421</v>
      </c>
      <c r="D99" s="11">
        <f>IFERROR(__xludf.DUMMYFUNCTION("""COMPUTED_VALUE"""),23.064516129032484)</f>
        <v>23.06451613</v>
      </c>
      <c r="E99" s="10">
        <f>IFERROR(__xludf.DUMMYFUNCTION("""COMPUTED_VALUE"""),0.057960440985733414)</f>
        <v>0.05796044099</v>
      </c>
      <c r="F99" s="10">
        <f>IFERROR(__xludf.DUMMYFUNCTION("""COMPUTED_VALUE"""),0.6293553918193087)</f>
        <v>0.6293553918</v>
      </c>
      <c r="G99" s="10">
        <f>IFERROR(__xludf.DUMMYFUNCTION("""COMPUTED_VALUE"""),0.6342042755344418)</f>
        <v>0.6342042755</v>
      </c>
      <c r="H99" s="36">
        <f>IFERROR(__xludf.DUMMYFUNCTION("""COMPUTED_VALUE"""),0.48488837151331454)</f>
        <v>0.4848883715</v>
      </c>
      <c r="I99" s="11">
        <f>IFERROR(__xludf.DUMMYFUNCTION("""COMPUTED_VALUE"""),250.44284237041893)</f>
        <v>250.4428424</v>
      </c>
      <c r="J99" s="11">
        <f>IFERROR(__xludf.DUMMYFUNCTION("""COMPUTED_VALUE"""),267.0)</f>
        <v>267</v>
      </c>
      <c r="K99" s="11">
        <f>IFERROR(__xludf.DUMMYFUNCTION("""COMPUTED_VALUE"""),16.55715762958107)</f>
        <v>16.55715763</v>
      </c>
      <c r="L99" s="10">
        <f>IFERROR(__xludf.DUMMYFUNCTION("""COMPUTED_VALUE"""),0.0661115225848304)</f>
        <v>0.06611152258</v>
      </c>
      <c r="M99" s="10">
        <f>IFERROR(__xludf.DUMMYFUNCTION("""COMPUTED_VALUE"""),0.40687500000000026)</f>
        <v>0.406875</v>
      </c>
      <c r="N99" s="10">
        <f>IFERROR(__xludf.DUMMYFUNCTION("""COMPUTED_VALUE"""),0.47191011235955055)</f>
        <v>0.4719101124</v>
      </c>
      <c r="O99" s="36">
        <f>IFERROR(__xludf.DUMMYFUNCTION("""COMPUTED_VALUE"""),6.5035112359550284)</f>
        <v>6.503511236</v>
      </c>
      <c r="P99" s="11">
        <f>IFERROR(__xludf.DUMMYFUNCTION("""COMPUTED_VALUE"""),101.89893148946427)</f>
        <v>101.8989315</v>
      </c>
      <c r="Q99" s="11">
        <f>IFERROR(__xludf.DUMMYFUNCTION("""COMPUTED_VALUE"""),126.0)</f>
        <v>126</v>
      </c>
      <c r="R99" s="11">
        <f>IFERROR(__xludf.DUMMYFUNCTION("""COMPUTED_VALUE"""),24.101068510535725)</f>
        <v>24.10106851</v>
      </c>
      <c r="S99" s="10">
        <f>IFERROR(__xludf.DUMMYFUNCTION("""COMPUTED_VALUE"""),0.23651934478849396)</f>
        <v>0.2365193448</v>
      </c>
      <c r="T99" s="11">
        <f>IFERROR(__xludf.DUMMYFUNCTION("""COMPUTED_VALUE"""),659760.5281618485)</f>
        <v>659760.5282</v>
      </c>
      <c r="U99" s="15">
        <f>IFERROR(__xludf.DUMMYFUNCTION("""COMPUTED_VALUE"""),6959.999999999999)</f>
        <v>6960</v>
      </c>
      <c r="V99" s="15">
        <f>IFERROR(__xludf.DUMMYFUNCTION("""COMPUTED_VALUE"""),115237.81710188423)</f>
        <v>115237.8171</v>
      </c>
      <c r="W99" s="10">
        <f>IFERROR(__xludf.DUMMYFUNCTION("""COMPUTED_VALUE"""),0.17466612836470685)</f>
        <v>0.1746661284</v>
      </c>
      <c r="X99" s="9"/>
      <c r="Y99" s="9"/>
      <c r="Z99" s="9"/>
    </row>
    <row r="100">
      <c r="A100" s="9" t="str">
        <f>IFERROR(__xludf.DUMMYFUNCTION("""COMPUTED_VALUE"""),"Felipe Maximo")</f>
        <v>Felipe Maximo</v>
      </c>
      <c r="B100" s="9"/>
      <c r="C100" s="11">
        <f>IFERROR(__xludf.DUMMYFUNCTION("""COMPUTED_VALUE"""),51.0)</f>
        <v>51</v>
      </c>
      <c r="D100" s="9"/>
      <c r="E100" s="9"/>
      <c r="F100" s="9"/>
      <c r="G100" s="10">
        <f>IFERROR(__xludf.DUMMYFUNCTION("""COMPUTED_VALUE"""),0.6078431372549019)</f>
        <v>0.6078431373</v>
      </c>
      <c r="H100" s="9"/>
      <c r="I100" s="9"/>
      <c r="J100" s="11">
        <f>IFERROR(__xludf.DUMMYFUNCTION("""COMPUTED_VALUE"""),31.0)</f>
        <v>31</v>
      </c>
      <c r="K100" s="9"/>
      <c r="L100" s="9"/>
      <c r="M100" s="9"/>
      <c r="N100" s="10">
        <f>IFERROR(__xludf.DUMMYFUNCTION("""COMPUTED_VALUE"""),0.5161290322580645)</f>
        <v>0.5161290323</v>
      </c>
      <c r="O100" s="9"/>
      <c r="P100" s="9"/>
      <c r="Q100" s="11">
        <f>IFERROR(__xludf.DUMMYFUNCTION("""COMPUTED_VALUE"""),16.0)</f>
        <v>16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IFERROR(__xludf.DUMMYFUNCTION("""COMPUTED_VALUE"""),"Mariana Jovenato")</f>
        <v>Mariana Jovenato</v>
      </c>
      <c r="B101" s="9"/>
      <c r="C101" s="11">
        <f>IFERROR(__xludf.DUMMYFUNCTION("""COMPUTED_VALUE"""),51.0)</f>
        <v>51</v>
      </c>
      <c r="D101" s="9"/>
      <c r="E101" s="9"/>
      <c r="F101" s="9"/>
      <c r="G101" s="10">
        <f>IFERROR(__xludf.DUMMYFUNCTION("""COMPUTED_VALUE"""),0.6274509803921569)</f>
        <v>0.6274509804</v>
      </c>
      <c r="H101" s="9"/>
      <c r="I101" s="9"/>
      <c r="J101" s="11">
        <f>IFERROR(__xludf.DUMMYFUNCTION("""COMPUTED_VALUE"""),32.0)</f>
        <v>32</v>
      </c>
      <c r="K101" s="9"/>
      <c r="L101" s="9"/>
      <c r="M101" s="9"/>
      <c r="N101" s="10">
        <f>IFERROR(__xludf.DUMMYFUNCTION("""COMPUTED_VALUE"""),0.5)</f>
        <v>0.5</v>
      </c>
      <c r="O101" s="9"/>
      <c r="P101" s="9"/>
      <c r="Q101" s="11">
        <f>IFERROR(__xludf.DUMMYFUNCTION("""COMPUTED_VALUE"""),16.0)</f>
        <v>16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IFERROR(__xludf.DUMMYFUNCTION("""COMPUTED_VALUE"""),"Cauã Andrade")</f>
        <v>Cauã Andrade</v>
      </c>
      <c r="B102" s="9"/>
      <c r="C102" s="11">
        <f>IFERROR(__xludf.DUMMYFUNCTION("""COMPUTED_VALUE"""),50.0)</f>
        <v>50</v>
      </c>
      <c r="D102" s="9"/>
      <c r="E102" s="9"/>
      <c r="F102" s="9"/>
      <c r="G102" s="10">
        <f>IFERROR(__xludf.DUMMYFUNCTION("""COMPUTED_VALUE"""),0.7)</f>
        <v>0.7</v>
      </c>
      <c r="H102" s="9"/>
      <c r="I102" s="9"/>
      <c r="J102" s="11">
        <f>IFERROR(__xludf.DUMMYFUNCTION("""COMPUTED_VALUE"""),35.0)</f>
        <v>35</v>
      </c>
      <c r="K102" s="9"/>
      <c r="L102" s="9"/>
      <c r="M102" s="9"/>
      <c r="N102" s="10">
        <f>IFERROR(__xludf.DUMMYFUNCTION("""COMPUTED_VALUE"""),0.45714285714285713)</f>
        <v>0.4571428571</v>
      </c>
      <c r="O102" s="9"/>
      <c r="P102" s="9"/>
      <c r="Q102" s="11">
        <f>IFERROR(__xludf.DUMMYFUNCTION("""COMPUTED_VALUE"""),16.0)</f>
        <v>16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IFERROR(__xludf.DUMMYFUNCTION("""COMPUTED_VALUE"""),"Marcio Lucas")</f>
        <v>Marcio Lucas</v>
      </c>
      <c r="B103" s="9"/>
      <c r="C103" s="11">
        <f>IFERROR(__xludf.DUMMYFUNCTION("""COMPUTED_VALUE"""),58.0)</f>
        <v>58</v>
      </c>
      <c r="D103" s="9"/>
      <c r="E103" s="9"/>
      <c r="F103" s="9"/>
      <c r="G103" s="10">
        <f>IFERROR(__xludf.DUMMYFUNCTION("""COMPUTED_VALUE"""),0.6206896551724138)</f>
        <v>0.6206896552</v>
      </c>
      <c r="H103" s="9"/>
      <c r="I103" s="9"/>
      <c r="J103" s="11">
        <f>IFERROR(__xludf.DUMMYFUNCTION("""COMPUTED_VALUE"""),36.0)</f>
        <v>36</v>
      </c>
      <c r="K103" s="9"/>
      <c r="L103" s="9"/>
      <c r="M103" s="9"/>
      <c r="N103" s="10">
        <f>IFERROR(__xludf.DUMMYFUNCTION("""COMPUTED_VALUE"""),0.4444444444444444)</f>
        <v>0.4444444444</v>
      </c>
      <c r="O103" s="9"/>
      <c r="P103" s="9"/>
      <c r="Q103" s="11">
        <f>IFERROR(__xludf.DUMMYFUNCTION("""COMPUTED_VALUE"""),16.0)</f>
        <v>16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IFERROR(__xludf.DUMMYFUNCTION("""COMPUTED_VALUE"""),"Gustavo Pereira")</f>
        <v>Gustavo Pereira</v>
      </c>
      <c r="B104" s="9"/>
      <c r="C104" s="11">
        <f>IFERROR(__xludf.DUMMYFUNCTION("""COMPUTED_VALUE"""),47.0)</f>
        <v>47</v>
      </c>
      <c r="D104" s="9"/>
      <c r="E104" s="9"/>
      <c r="F104" s="9"/>
      <c r="G104" s="10">
        <f>IFERROR(__xludf.DUMMYFUNCTION("""COMPUTED_VALUE"""),0.6382978723404256)</f>
        <v>0.6382978723</v>
      </c>
      <c r="H104" s="9"/>
      <c r="I104" s="9"/>
      <c r="J104" s="11">
        <f>IFERROR(__xludf.DUMMYFUNCTION("""COMPUTED_VALUE"""),30.0)</f>
        <v>30</v>
      </c>
      <c r="K104" s="9"/>
      <c r="L104" s="9"/>
      <c r="M104" s="9"/>
      <c r="N104" s="10">
        <f>IFERROR(__xludf.DUMMYFUNCTION("""COMPUTED_VALUE"""),0.5)</f>
        <v>0.5</v>
      </c>
      <c r="O104" s="9"/>
      <c r="P104" s="9"/>
      <c r="Q104" s="11">
        <f>IFERROR(__xludf.DUMMYFUNCTION("""COMPUTED_VALUE"""),15.0)</f>
        <v>15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IFERROR(__xludf.DUMMYFUNCTION("""COMPUTED_VALUE"""),"Thalita Lopes")</f>
        <v>Thalita Lopes</v>
      </c>
      <c r="B105" s="9"/>
      <c r="C105" s="11">
        <f>IFERROR(__xludf.DUMMYFUNCTION("""COMPUTED_VALUE"""),42.0)</f>
        <v>42</v>
      </c>
      <c r="D105" s="9"/>
      <c r="E105" s="9"/>
      <c r="F105" s="9"/>
      <c r="G105" s="10">
        <f>IFERROR(__xludf.DUMMYFUNCTION("""COMPUTED_VALUE"""),0.5952380952380952)</f>
        <v>0.5952380952</v>
      </c>
      <c r="H105" s="9"/>
      <c r="I105" s="9"/>
      <c r="J105" s="11">
        <f>IFERROR(__xludf.DUMMYFUNCTION("""COMPUTED_VALUE"""),25.0)</f>
        <v>25</v>
      </c>
      <c r="K105" s="9"/>
      <c r="L105" s="9"/>
      <c r="M105" s="9"/>
      <c r="N105" s="10">
        <f>IFERROR(__xludf.DUMMYFUNCTION("""COMPUTED_VALUE"""),0.56)</f>
        <v>0.56</v>
      </c>
      <c r="O105" s="9"/>
      <c r="P105" s="9"/>
      <c r="Q105" s="11">
        <f>IFERROR(__xludf.DUMMYFUNCTION("""COMPUTED_VALUE"""),14.0)</f>
        <v>14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IFERROR(__xludf.DUMMYFUNCTION("""COMPUTED_VALUE"""),"João Rios")</f>
        <v>João Rios</v>
      </c>
      <c r="B106" s="9"/>
      <c r="C106" s="11">
        <f>IFERROR(__xludf.DUMMYFUNCTION("""COMPUTED_VALUE"""),54.0)</f>
        <v>54</v>
      </c>
      <c r="D106" s="9"/>
      <c r="E106" s="9"/>
      <c r="F106" s="9"/>
      <c r="G106" s="10">
        <f>IFERROR(__xludf.DUMMYFUNCTION("""COMPUTED_VALUE"""),0.5740740740740741)</f>
        <v>0.5740740741</v>
      </c>
      <c r="H106" s="9"/>
      <c r="I106" s="9"/>
      <c r="J106" s="11">
        <f>IFERROR(__xludf.DUMMYFUNCTION("""COMPUTED_VALUE"""),31.0)</f>
        <v>31</v>
      </c>
      <c r="K106" s="9"/>
      <c r="L106" s="9"/>
      <c r="M106" s="9"/>
      <c r="N106" s="10">
        <f>IFERROR(__xludf.DUMMYFUNCTION("""COMPUTED_VALUE"""),0.41935483870967744)</f>
        <v>0.4193548387</v>
      </c>
      <c r="O106" s="9"/>
      <c r="P106" s="9"/>
      <c r="Q106" s="11">
        <f>IFERROR(__xludf.DUMMYFUNCTION("""COMPUTED_VALUE"""),13.0)</f>
        <v>13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IFERROR(__xludf.DUMMYFUNCTION("""COMPUTED_VALUE"""),"Ilson Costa Lima")</f>
        <v>Ilson Costa Lima</v>
      </c>
      <c r="B107" s="9"/>
      <c r="C107" s="11">
        <f>IFERROR(__xludf.DUMMYFUNCTION("""COMPUTED_VALUE"""),60.0)</f>
        <v>60</v>
      </c>
      <c r="D107" s="9"/>
      <c r="E107" s="9"/>
      <c r="F107" s="9"/>
      <c r="G107" s="10">
        <f>IFERROR(__xludf.DUMMYFUNCTION("""COMPUTED_VALUE"""),0.5833333333333334)</f>
        <v>0.5833333333</v>
      </c>
      <c r="H107" s="9"/>
      <c r="I107" s="9"/>
      <c r="J107" s="11">
        <f>IFERROR(__xludf.DUMMYFUNCTION("""COMPUTED_VALUE"""),35.0)</f>
        <v>35</v>
      </c>
      <c r="K107" s="9"/>
      <c r="L107" s="9"/>
      <c r="M107" s="9"/>
      <c r="N107" s="10">
        <f>IFERROR(__xludf.DUMMYFUNCTION("""COMPUTED_VALUE"""),0.2571428571428571)</f>
        <v>0.2571428571</v>
      </c>
      <c r="O107" s="9"/>
      <c r="P107" s="9"/>
      <c r="Q107" s="11">
        <f>IFERROR(__xludf.DUMMYFUNCTION("""COMPUTED_VALUE"""),9.0)</f>
        <v>9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IFERROR(__xludf.DUMMYFUNCTION("""COMPUTED_VALUE"""),"Mylena Reis")</f>
        <v>Mylena Reis</v>
      </c>
      <c r="B108" s="9"/>
      <c r="C108" s="11">
        <f>IFERROR(__xludf.DUMMYFUNCTION("""COMPUTED_VALUE"""),31.0)</f>
        <v>31</v>
      </c>
      <c r="D108" s="9"/>
      <c r="E108" s="9"/>
      <c r="F108" s="9"/>
      <c r="G108" s="10">
        <f>IFERROR(__xludf.DUMMYFUNCTION("""COMPUTED_VALUE"""),0.5806451612903226)</f>
        <v>0.5806451613</v>
      </c>
      <c r="H108" s="9"/>
      <c r="I108" s="9"/>
      <c r="J108" s="11">
        <f>IFERROR(__xludf.DUMMYFUNCTION("""COMPUTED_VALUE"""),18.0)</f>
        <v>18</v>
      </c>
      <c r="K108" s="9"/>
      <c r="L108" s="9"/>
      <c r="M108" s="9"/>
      <c r="N108" s="10">
        <f>IFERROR(__xludf.DUMMYFUNCTION("""COMPUTED_VALUE"""),0.3888888888888889)</f>
        <v>0.3888888889</v>
      </c>
      <c r="O108" s="9"/>
      <c r="P108" s="9"/>
      <c r="Q108" s="11">
        <f>IFERROR(__xludf.DUMMYFUNCTION("""COMPUTED_VALUE"""),7.0)</f>
        <v>7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IFERROR(__xludf.DUMMYFUNCTION("""COMPUTED_VALUE"""),"João Vitor Nascimento")</f>
        <v>João Vitor Nascimento</v>
      </c>
      <c r="B109" s="9"/>
      <c r="C109" s="11">
        <f>IFERROR(__xludf.DUMMYFUNCTION("""COMPUTED_VALUE"""),12.0)</f>
        <v>12</v>
      </c>
      <c r="D109" s="9"/>
      <c r="E109" s="9"/>
      <c r="F109" s="9"/>
      <c r="G109" s="10">
        <f>IFERROR(__xludf.DUMMYFUNCTION("""COMPUTED_VALUE"""),0.75)</f>
        <v>0.75</v>
      </c>
      <c r="H109" s="9"/>
      <c r="I109" s="9"/>
      <c r="J109" s="11">
        <f>IFERROR(__xludf.DUMMYFUNCTION("""COMPUTED_VALUE"""),9.0)</f>
        <v>9</v>
      </c>
      <c r="K109" s="9"/>
      <c r="L109" s="9"/>
      <c r="M109" s="9"/>
      <c r="N109" s="10">
        <f>IFERROR(__xludf.DUMMYFUNCTION("""COMPUTED_VALUE"""),0.6666666666666666)</f>
        <v>0.6666666667</v>
      </c>
      <c r="O109" s="9"/>
      <c r="P109" s="9"/>
      <c r="Q109" s="11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1">
        <f>IFERROR(__xludf.DUMMYFUNCTION("""COMPUTED_VALUE"""),1.0)</f>
        <v>1</v>
      </c>
      <c r="D110" s="9"/>
      <c r="E110" s="9"/>
      <c r="F110" s="9"/>
      <c r="G110" s="10">
        <f>IFERROR(__xludf.DUMMYFUNCTION("""COMPUTED_VALUE"""),2.0)</f>
        <v>2</v>
      </c>
      <c r="H110" s="9"/>
      <c r="I110" s="9"/>
      <c r="J110" s="11">
        <f>IFERROR(__xludf.DUMMYFUNCTION("""COMPUTED_VALUE"""),2.0)</f>
        <v>2</v>
      </c>
      <c r="K110" s="9"/>
      <c r="L110" s="9"/>
      <c r="M110" s="9"/>
      <c r="N110" s="10">
        <f>IFERROR(__xludf.DUMMYFUNCTION("""COMPUTED_VALUE"""),1.5)</f>
        <v>1.5</v>
      </c>
      <c r="O110" s="9"/>
      <c r="P110" s="9"/>
      <c r="Q110" s="11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1">
        <f>IFERROR(__xludf.DUMMYFUNCTION("""COMPUTED_VALUE"""),2.0)</f>
        <v>2</v>
      </c>
      <c r="D111" s="9"/>
      <c r="E111" s="9"/>
      <c r="F111" s="9"/>
      <c r="G111" s="10">
        <f>IFERROR(__xludf.DUMMYFUNCTION("""COMPUTED_VALUE"""),1.0)</f>
        <v>1</v>
      </c>
      <c r="H111" s="9"/>
      <c r="I111" s="9"/>
      <c r="J111" s="11">
        <f>IFERROR(__xludf.DUMMYFUNCTION("""COMPUTED_VALUE"""),2.0)</f>
        <v>2</v>
      </c>
      <c r="K111" s="9"/>
      <c r="L111" s="9"/>
      <c r="M111" s="9"/>
      <c r="N111" s="10">
        <f>IFERROR(__xludf.DUMMYFUNCTION("""COMPUTED_VALUE"""),1.0)</f>
        <v>1</v>
      </c>
      <c r="O111" s="9"/>
      <c r="P111" s="9"/>
      <c r="Q111" s="11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1">
        <f>IFERROR(__xludf.DUMMYFUNCTION("""COMPUTED_VALUE"""),2.0)</f>
        <v>2</v>
      </c>
      <c r="D112" s="9"/>
      <c r="E112" s="9"/>
      <c r="F112" s="9"/>
      <c r="G112" s="10">
        <f>IFERROR(__xludf.DUMMYFUNCTION("""COMPUTED_VALUE"""),0.5)</f>
        <v>0.5</v>
      </c>
      <c r="H112" s="9"/>
      <c r="I112" s="9"/>
      <c r="J112" s="11">
        <f>IFERROR(__xludf.DUMMYFUNCTION("""COMPUTED_VALUE"""),1.0)</f>
        <v>1</v>
      </c>
      <c r="K112" s="9"/>
      <c r="L112" s="9"/>
      <c r="M112" s="9"/>
      <c r="N112" s="10">
        <f>IFERROR(__xludf.DUMMYFUNCTION("""COMPUTED_VALUE"""),1.0)</f>
        <v>1</v>
      </c>
      <c r="O112" s="9"/>
      <c r="P112" s="9"/>
      <c r="Q112" s="11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1">
        <f>IFERROR(__xludf.DUMMYFUNCTION("""COMPUTED_VALUE"""),1.0)</f>
        <v>1</v>
      </c>
      <c r="D113" s="9"/>
      <c r="E113" s="9"/>
      <c r="F113" s="9"/>
      <c r="G113" s="10">
        <f>IFERROR(__xludf.DUMMYFUNCTION("""COMPUTED_VALUE"""),1.0)</f>
        <v>1</v>
      </c>
      <c r="H113" s="9"/>
      <c r="I113" s="9"/>
      <c r="J113" s="11">
        <f>IFERROR(__xludf.DUMMYFUNCTION("""COMPUTED_VALUE"""),1.0)</f>
        <v>1</v>
      </c>
      <c r="K113" s="9"/>
      <c r="L113" s="9"/>
      <c r="M113" s="9"/>
      <c r="N113" s="10">
        <f>IFERROR(__xludf.DUMMYFUNCTION("""COMPUTED_VALUE"""),1.0)</f>
        <v>1</v>
      </c>
      <c r="O113" s="9"/>
      <c r="P113" s="9"/>
      <c r="Q113" s="11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1">
        <f>IFERROR(__xludf.DUMMYFUNCTION("""COMPUTED_VALUE"""),1.0)</f>
        <v>1</v>
      </c>
      <c r="D114" s="9"/>
      <c r="E114" s="9"/>
      <c r="F114" s="9"/>
      <c r="G114" s="10">
        <f>IFERROR(__xludf.DUMMYFUNCTION("""COMPUTED_VALUE"""),1.0)</f>
        <v>1</v>
      </c>
      <c r="H114" s="9"/>
      <c r="I114" s="9"/>
      <c r="J114" s="11">
        <f>IFERROR(__xludf.DUMMYFUNCTION("""COMPUTED_VALUE"""),1.0)</f>
        <v>1</v>
      </c>
      <c r="K114" s="9"/>
      <c r="L114" s="9"/>
      <c r="M114" s="9"/>
      <c r="N114" s="10">
        <f>IFERROR(__xludf.DUMMYFUNCTION("""COMPUTED_VALUE"""),1.0)</f>
        <v>1</v>
      </c>
      <c r="O114" s="9"/>
      <c r="P114" s="9"/>
      <c r="Q114" s="11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1">
        <f>IFERROR(__xludf.DUMMYFUNCTION("""COMPUTED_VALUE"""),3.0)</f>
        <v>3</v>
      </c>
      <c r="D115" s="9"/>
      <c r="E115" s="9"/>
      <c r="F115" s="9"/>
      <c r="G115" s="10">
        <f>IFERROR(__xludf.DUMMYFUNCTION("""COMPUTED_VALUE"""),0.6666666666666666)</f>
        <v>0.6666666667</v>
      </c>
      <c r="H115" s="9"/>
      <c r="I115" s="9"/>
      <c r="J115" s="11">
        <f>IFERROR(__xludf.DUMMYFUNCTION("""COMPUTED_VALUE"""),2.0)</f>
        <v>2</v>
      </c>
      <c r="K115" s="9"/>
      <c r="L115" s="9"/>
      <c r="M115" s="9"/>
      <c r="N115" s="10">
        <f>IFERROR(__xludf.DUMMYFUNCTION("""COMPUTED_VALUE"""),0.5)</f>
        <v>0.5</v>
      </c>
      <c r="O115" s="9"/>
      <c r="P115" s="9"/>
      <c r="Q115" s="11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1">
        <f>IFERROR(__xludf.DUMMYFUNCTION("""COMPUTED_VALUE"""),5.0)</f>
        <v>5</v>
      </c>
      <c r="D116" s="9"/>
      <c r="E116" s="9"/>
      <c r="F116" s="9"/>
      <c r="G116" s="10">
        <f>IFERROR(__xludf.DUMMYFUNCTION("""COMPUTED_VALUE"""),0.8)</f>
        <v>0.8</v>
      </c>
      <c r="H116" s="9"/>
      <c r="I116" s="9"/>
      <c r="J116" s="11">
        <f>IFERROR(__xludf.DUMMYFUNCTION("""COMPUTED_VALUE"""),4.0)</f>
        <v>4</v>
      </c>
      <c r="K116" s="9"/>
      <c r="L116" s="9"/>
      <c r="M116" s="9"/>
      <c r="N116" s="10">
        <f>IFERROR(__xludf.DUMMYFUNCTION("""COMPUTED_VALUE"""),0.0)</f>
        <v>0</v>
      </c>
      <c r="O116" s="9"/>
      <c r="P116" s="9"/>
      <c r="Q116" s="11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1">
        <f>IFERROR(__xludf.DUMMYFUNCTION("""COMPUTED_VALUE"""),126.1935483870967)</f>
        <v>126.1935484</v>
      </c>
      <c r="C117" s="11">
        <f>IFERROR(__xludf.DUMMYFUNCTION("""COMPUTED_VALUE"""),92.0)</f>
        <v>92</v>
      </c>
      <c r="D117" s="11">
        <f>IFERROR(__xludf.DUMMYFUNCTION("""COMPUTED_VALUE"""),-34.1935483870967)</f>
        <v>-34.19354839</v>
      </c>
      <c r="E117" s="10">
        <f>IFERROR(__xludf.DUMMYFUNCTION("""COMPUTED_VALUE"""),-0.2709611451942736)</f>
        <v>-0.2709611452</v>
      </c>
      <c r="F117" s="10">
        <f>IFERROR(__xludf.DUMMYFUNCTION("""COMPUTED_VALUE"""),0.8547633194692019)</f>
        <v>0.8547633195</v>
      </c>
      <c r="G117" s="10">
        <f>IFERROR(__xludf.DUMMYFUNCTION("""COMPUTED_VALUE"""),0.8152173913043478)</f>
        <v>0.8152173913</v>
      </c>
      <c r="H117" s="36">
        <f>IFERROR(__xludf.DUMMYFUNCTION("""COMPUTED_VALUE"""),-3.954592816485414)</f>
        <v>-3.954592816</v>
      </c>
      <c r="I117" s="11">
        <f>IFERROR(__xludf.DUMMYFUNCTION("""COMPUTED_VALUE"""),107.86561631495212)</f>
        <v>107.8656163</v>
      </c>
      <c r="J117" s="11">
        <f>IFERROR(__xludf.DUMMYFUNCTION("""COMPUTED_VALUE"""),75.0)</f>
        <v>75</v>
      </c>
      <c r="K117" s="11">
        <f>IFERROR(__xludf.DUMMYFUNCTION("""COMPUTED_VALUE"""),-32.86561631495212)</f>
        <v>-32.86561631</v>
      </c>
      <c r="L117" s="10">
        <f>IFERROR(__xludf.DUMMYFUNCTION("""COMPUTED_VALUE"""),-0.3046903864062598)</f>
        <v>-0.3046903864</v>
      </c>
      <c r="M117" s="10">
        <f>IFERROR(__xludf.DUMMYFUNCTION("""COMPUTED_VALUE"""),0.31968750000000024)</f>
        <v>0.3196875</v>
      </c>
      <c r="N117" s="10">
        <f>IFERROR(__xludf.DUMMYFUNCTION("""COMPUTED_VALUE"""),0.29333333333333333)</f>
        <v>0.2933333333</v>
      </c>
      <c r="O117" s="36">
        <f>IFERROR(__xludf.DUMMYFUNCTION("""COMPUTED_VALUE"""),-2.63541666666669)</f>
        <v>-2.635416667</v>
      </c>
      <c r="P117" s="11">
        <f>IFERROR(__xludf.DUMMYFUNCTION("""COMPUTED_VALUE"""),34.483289215686284)</f>
        <v>34.48328922</v>
      </c>
      <c r="Q117" s="11">
        <f>IFERROR(__xludf.DUMMYFUNCTION("""COMPUTED_VALUE"""),22.0)</f>
        <v>22</v>
      </c>
      <c r="R117" s="11">
        <f>IFERROR(__xludf.DUMMYFUNCTION("""COMPUTED_VALUE"""),-12.483289215686284)</f>
        <v>-12.48328922</v>
      </c>
      <c r="S117" s="10">
        <f>IFERROR(__xludf.DUMMYFUNCTION("""COMPUTED_VALUE"""),-0.3620098169175722)</f>
        <v>-0.3620098169</v>
      </c>
      <c r="T117" s="11">
        <f>IFERROR(__xludf.DUMMYFUNCTION("""COMPUTED_VALUE"""),208511.25434346407)</f>
        <v>208511.2543</v>
      </c>
      <c r="U117" s="15">
        <f>IFERROR(__xludf.DUMMYFUNCTION("""COMPUTED_VALUE"""),6500.0)</f>
        <v>6500</v>
      </c>
      <c r="V117" s="15">
        <f>IFERROR(__xludf.DUMMYFUNCTION("""COMPUTED_VALUE"""),-213626.50604718877)</f>
        <v>-213626.506</v>
      </c>
      <c r="W117" s="10">
        <f>IFERROR(__xludf.DUMMYFUNCTION("""COMPUTED_VALUE"""),-1.024532257118835)</f>
        <v>-1.024532257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1">
        <f>IFERROR(__xludf.DUMMYFUNCTION("""COMPUTED_VALUE"""),12.0)</f>
        <v>12</v>
      </c>
      <c r="D118" s="9"/>
      <c r="E118" s="9"/>
      <c r="F118" s="9"/>
      <c r="G118" s="10">
        <f>IFERROR(__xludf.DUMMYFUNCTION("""COMPUTED_VALUE"""),1.0)</f>
        <v>1</v>
      </c>
      <c r="H118" s="9"/>
      <c r="I118" s="9"/>
      <c r="J118" s="11">
        <f>IFERROR(__xludf.DUMMYFUNCTION("""COMPUTED_VALUE"""),12.0)</f>
        <v>12</v>
      </c>
      <c r="K118" s="9"/>
      <c r="L118" s="9"/>
      <c r="M118" s="9"/>
      <c r="N118" s="10">
        <f>IFERROR(__xludf.DUMMYFUNCTION("""COMPUTED_VALUE"""),0.5)</f>
        <v>0.5</v>
      </c>
      <c r="O118" s="9"/>
      <c r="P118" s="9"/>
      <c r="Q118" s="11">
        <f>IFERROR(__xludf.DUMMYFUNCTION("""COMPUTED_VALUE"""),6.0)</f>
        <v>6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IFERROR(__xludf.DUMMYFUNCTION("""COMPUTED_VALUE"""),"Ilson Costa Lima")</f>
        <v>Ilson Costa Lima</v>
      </c>
      <c r="B119" s="9"/>
      <c r="C119" s="11">
        <f>IFERROR(__xludf.DUMMYFUNCTION("""COMPUTED_VALUE"""),8.0)</f>
        <v>8</v>
      </c>
      <c r="D119" s="9"/>
      <c r="E119" s="9"/>
      <c r="F119" s="9"/>
      <c r="G119" s="10">
        <f>IFERROR(__xludf.DUMMYFUNCTION("""COMPUTED_VALUE"""),0.875)</f>
        <v>0.875</v>
      </c>
      <c r="H119" s="9"/>
      <c r="I119" s="9"/>
      <c r="J119" s="11">
        <f>IFERROR(__xludf.DUMMYFUNCTION("""COMPUTED_VALUE"""),7.0)</f>
        <v>7</v>
      </c>
      <c r="K119" s="9"/>
      <c r="L119" s="9"/>
      <c r="M119" s="9"/>
      <c r="N119" s="10">
        <f>IFERROR(__xludf.DUMMYFUNCTION("""COMPUTED_VALUE"""),0.5714285714285714)</f>
        <v>0.5714285714</v>
      </c>
      <c r="O119" s="9"/>
      <c r="P119" s="9"/>
      <c r="Q119" s="11">
        <f>IFERROR(__xludf.DUMMYFUNCTION("""COMPUTED_VALUE"""),4.0)</f>
        <v>4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IFERROR(__xludf.DUMMYFUNCTION("""COMPUTED_VALUE"""),"Felipe Maximo")</f>
        <v>Felipe Maximo</v>
      </c>
      <c r="B120" s="9"/>
      <c r="C120" s="11">
        <f>IFERROR(__xludf.DUMMYFUNCTION("""COMPUTED_VALUE"""),9.0)</f>
        <v>9</v>
      </c>
      <c r="D120" s="9"/>
      <c r="E120" s="9"/>
      <c r="F120" s="9"/>
      <c r="G120" s="10">
        <f>IFERROR(__xludf.DUMMYFUNCTION("""COMPUTED_VALUE"""),0.7777777777777778)</f>
        <v>0.7777777778</v>
      </c>
      <c r="H120" s="9"/>
      <c r="I120" s="9"/>
      <c r="J120" s="11">
        <f>IFERROR(__xludf.DUMMYFUNCTION("""COMPUTED_VALUE"""),7.0)</f>
        <v>7</v>
      </c>
      <c r="K120" s="9"/>
      <c r="L120" s="9"/>
      <c r="M120" s="9"/>
      <c r="N120" s="10">
        <f>IFERROR(__xludf.DUMMYFUNCTION("""COMPUTED_VALUE"""),0.5714285714285714)</f>
        <v>0.5714285714</v>
      </c>
      <c r="O120" s="9"/>
      <c r="P120" s="9"/>
      <c r="Q120" s="11">
        <f>IFERROR(__xludf.DUMMYFUNCTION("""COMPUTED_VALUE"""),4.0)</f>
        <v>4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1">
        <f>IFERROR(__xludf.DUMMYFUNCTION("""COMPUTED_VALUE"""),13.0)</f>
        <v>13</v>
      </c>
      <c r="D121" s="9"/>
      <c r="E121" s="9"/>
      <c r="F121" s="9"/>
      <c r="G121" s="10">
        <f>IFERROR(__xludf.DUMMYFUNCTION("""COMPUTED_VALUE"""),0.46153846153846156)</f>
        <v>0.4615384615</v>
      </c>
      <c r="H121" s="9"/>
      <c r="I121" s="9"/>
      <c r="J121" s="11">
        <f>IFERROR(__xludf.DUMMYFUNCTION("""COMPUTED_VALUE"""),6.0)</f>
        <v>6</v>
      </c>
      <c r="K121" s="9"/>
      <c r="L121" s="9"/>
      <c r="M121" s="9"/>
      <c r="N121" s="10">
        <f>IFERROR(__xludf.DUMMYFUNCTION("""COMPUTED_VALUE"""),0.3333333333333333)</f>
        <v>0.3333333333</v>
      </c>
      <c r="O121" s="9"/>
      <c r="P121" s="9"/>
      <c r="Q121" s="11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IFERROR(__xludf.DUMMYFUNCTION("""COMPUTED_VALUE"""),"Mylena Reis")</f>
        <v>Mylena Reis</v>
      </c>
      <c r="B122" s="9"/>
      <c r="C122" s="11">
        <f>IFERROR(__xludf.DUMMYFUNCTION("""COMPUTED_VALUE"""),8.0)</f>
        <v>8</v>
      </c>
      <c r="D122" s="9"/>
      <c r="E122" s="9"/>
      <c r="F122" s="9"/>
      <c r="G122" s="10">
        <f>IFERROR(__xludf.DUMMYFUNCTION("""COMPUTED_VALUE"""),1.125)</f>
        <v>1.125</v>
      </c>
      <c r="H122" s="9"/>
      <c r="I122" s="9"/>
      <c r="J122" s="11">
        <f>IFERROR(__xludf.DUMMYFUNCTION("""COMPUTED_VALUE"""),9.0)</f>
        <v>9</v>
      </c>
      <c r="K122" s="9"/>
      <c r="L122" s="9"/>
      <c r="M122" s="9"/>
      <c r="N122" s="10">
        <f>IFERROR(__xludf.DUMMYFUNCTION("""COMPUTED_VALUE"""),0.2222222222222222)</f>
        <v>0.2222222222</v>
      </c>
      <c r="O122" s="9"/>
      <c r="P122" s="9"/>
      <c r="Q122" s="11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IFERROR(__xludf.DUMMYFUNCTION("""COMPUTED_VALUE"""),"João Rios")</f>
        <v>João Rios</v>
      </c>
      <c r="B123" s="9"/>
      <c r="C123" s="11">
        <f>IFERROR(__xludf.DUMMYFUNCTION("""COMPUTED_VALUE"""),13.0)</f>
        <v>13</v>
      </c>
      <c r="D123" s="9"/>
      <c r="E123" s="9"/>
      <c r="F123" s="9"/>
      <c r="G123" s="10">
        <f>IFERROR(__xludf.DUMMYFUNCTION("""COMPUTED_VALUE"""),0.6923076923076923)</f>
        <v>0.6923076923</v>
      </c>
      <c r="H123" s="9"/>
      <c r="I123" s="9"/>
      <c r="J123" s="11">
        <f>IFERROR(__xludf.DUMMYFUNCTION("""COMPUTED_VALUE"""),9.0)</f>
        <v>9</v>
      </c>
      <c r="K123" s="9"/>
      <c r="L123" s="9"/>
      <c r="M123" s="9"/>
      <c r="N123" s="10">
        <f>IFERROR(__xludf.DUMMYFUNCTION("""COMPUTED_VALUE"""),0.2222222222222222)</f>
        <v>0.2222222222</v>
      </c>
      <c r="O123" s="9"/>
      <c r="P123" s="9"/>
      <c r="Q123" s="11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IFERROR(__xludf.DUMMYFUNCTION("""COMPUTED_VALUE"""),"Mariana Jovenato")</f>
        <v>Mariana Jovenato</v>
      </c>
      <c r="B124" s="9"/>
      <c r="C124" s="11">
        <f>IFERROR(__xludf.DUMMYFUNCTION("""COMPUTED_VALUE"""),10.0)</f>
        <v>10</v>
      </c>
      <c r="D124" s="9"/>
      <c r="E124" s="9"/>
      <c r="F124" s="9"/>
      <c r="G124" s="10">
        <f>IFERROR(__xludf.DUMMYFUNCTION("""COMPUTED_VALUE"""),0.7)</f>
        <v>0.7</v>
      </c>
      <c r="H124" s="9"/>
      <c r="I124" s="9"/>
      <c r="J124" s="11">
        <f>IFERROR(__xludf.DUMMYFUNCTION("""COMPUTED_VALUE"""),7.0)</f>
        <v>7</v>
      </c>
      <c r="K124" s="9"/>
      <c r="L124" s="9"/>
      <c r="M124" s="9"/>
      <c r="N124" s="10">
        <f>IFERROR(__xludf.DUMMYFUNCTION("""COMPUTED_VALUE"""),0.14285714285714285)</f>
        <v>0.1428571429</v>
      </c>
      <c r="O124" s="9"/>
      <c r="P124" s="9"/>
      <c r="Q124" s="11">
        <f>IFERROR(__xludf.DUMMYFUNCTION("""COMPUTED_VALUE"""),1.0)</f>
        <v>1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IFERROR(__xludf.DUMMYFUNCTION("""COMPUTED_VALUE"""),"Marcio Lucas")</f>
        <v>Marcio Lucas</v>
      </c>
      <c r="B125" s="9"/>
      <c r="C125" s="11">
        <f>IFERROR(__xludf.DUMMYFUNCTION("""COMPUTED_VALUE"""),13.0)</f>
        <v>13</v>
      </c>
      <c r="D125" s="9"/>
      <c r="E125" s="9"/>
      <c r="F125" s="9"/>
      <c r="G125" s="10">
        <f>IFERROR(__xludf.DUMMYFUNCTION("""COMPUTED_VALUE"""),0.8461538461538461)</f>
        <v>0.8461538462</v>
      </c>
      <c r="H125" s="9"/>
      <c r="I125" s="9"/>
      <c r="J125" s="11">
        <f>IFERROR(__xludf.DUMMYFUNCTION("""COMPUTED_VALUE"""),11.0)</f>
        <v>11</v>
      </c>
      <c r="K125" s="9"/>
      <c r="L125" s="9"/>
      <c r="M125" s="9"/>
      <c r="N125" s="10">
        <f>IFERROR(__xludf.DUMMYFUNCTION("""COMPUTED_VALUE"""),0.09090909090909091)</f>
        <v>0.09090909091</v>
      </c>
      <c r="O125" s="9"/>
      <c r="P125" s="9"/>
      <c r="Q125" s="11">
        <f>IFERROR(__xludf.DUMMYFUNCTION("""COMPUTED_VALUE"""),1.0)</f>
        <v>1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IFERROR(__xludf.DUMMYFUNCTION("""COMPUTED_VALUE"""),"João Vitor Nascimento")</f>
        <v>João Vitor Nascimento</v>
      </c>
      <c r="B126" s="9"/>
      <c r="C126" s="11">
        <f>IFERROR(__xludf.DUMMYFUNCTION("""COMPUTED_VALUE"""),1.0)</f>
        <v>1</v>
      </c>
      <c r="D126" s="9"/>
      <c r="E126" s="9"/>
      <c r="F126" s="9"/>
      <c r="G126" s="10">
        <f>IFERROR(__xludf.DUMMYFUNCTION("""COMPUTED_VALUE"""),1.0)</f>
        <v>1</v>
      </c>
      <c r="H126" s="9"/>
      <c r="I126" s="9"/>
      <c r="J126" s="11">
        <f>IFERROR(__xludf.DUMMYFUNCTION("""COMPUTED_VALUE"""),1.0)</f>
        <v>1</v>
      </c>
      <c r="K126" s="9"/>
      <c r="L126" s="9"/>
      <c r="M126" s="9"/>
      <c r="N126" s="10">
        <f>IFERROR(__xludf.DUMMYFUNCTION("""COMPUTED_VALUE"""),0.0)</f>
        <v>0</v>
      </c>
      <c r="O126" s="9"/>
      <c r="P126" s="9"/>
      <c r="Q126" s="11">
        <f>IFERROR(__xludf.DUMMYFUNCTION("""COMPUTED_VALUE"""),0.0)</f>
        <v>0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IFERROR(__xludf.DUMMYFUNCTION("""COMPUTED_VALUE"""),"Izabelle Lopes")</f>
        <v>Izabelle Lopes</v>
      </c>
      <c r="B127" s="9"/>
      <c r="C127" s="11">
        <f>IFERROR(__xludf.DUMMYFUNCTION("""COMPUTED_VALUE"""),2.0)</f>
        <v>2</v>
      </c>
      <c r="D127" s="9"/>
      <c r="E127" s="9"/>
      <c r="F127" s="9"/>
      <c r="G127" s="10">
        <f>IFERROR(__xludf.DUMMYFUNCTION("""COMPUTED_VALUE"""),0.5)</f>
        <v>0.5</v>
      </c>
      <c r="H127" s="9"/>
      <c r="I127" s="9"/>
      <c r="J127" s="11">
        <f>IFERROR(__xludf.DUMMYFUNCTION("""COMPUTED_VALUE"""),1.0)</f>
        <v>1</v>
      </c>
      <c r="K127" s="9"/>
      <c r="L127" s="9"/>
      <c r="M127" s="9"/>
      <c r="N127" s="10">
        <f>IFERROR(__xludf.DUMMYFUNCTION("""COMPUTED_VALUE"""),0.0)</f>
        <v>0</v>
      </c>
      <c r="O127" s="9"/>
      <c r="P127" s="9"/>
      <c r="Q127" s="11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IFERROR(__xludf.DUMMYFUNCTION("""COMPUTED_VALUE"""),8.0)</f>
        <v>8</v>
      </c>
      <c r="D128" s="9"/>
      <c r="E128" s="9"/>
      <c r="F128" s="9"/>
      <c r="G128" s="10">
        <f>IFERROR(__xludf.DUMMYFUNCTION("""COMPUTED_VALUE"""),0.875)</f>
        <v>0.875</v>
      </c>
      <c r="H128" s="9"/>
      <c r="I128" s="9"/>
      <c r="J128" s="11">
        <f>IFERROR(__xludf.DUMMYFUNCTION("""COMPUTED_VALUE"""),7.0)</f>
        <v>7</v>
      </c>
      <c r="K128" s="9"/>
      <c r="L128" s="9"/>
      <c r="M128" s="9"/>
      <c r="N128" s="10">
        <f>IFERROR(__xludf.DUMMYFUNCTION("""COMPUTED_VALUE"""),0.0)</f>
        <v>0</v>
      </c>
      <c r="O128" s="9"/>
      <c r="P128" s="9"/>
      <c r="Q128" s="11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1">
        <f>IFERROR(__xludf.DUMMYFUNCTION("""COMPUTED_VALUE"""),41.18709677419353)</f>
        <v>41.18709677</v>
      </c>
      <c r="C129" s="11">
        <f>IFERROR(__xludf.DUMMYFUNCTION("""COMPUTED_VALUE"""),58.0)</f>
        <v>58</v>
      </c>
      <c r="D129" s="11">
        <f>IFERROR(__xludf.DUMMYFUNCTION("""COMPUTED_VALUE"""),16.812903225806473)</f>
        <v>16.81290323</v>
      </c>
      <c r="E129" s="10">
        <f>IFERROR(__xludf.DUMMYFUNCTION("""COMPUTED_VALUE"""),0.408208020050126)</f>
        <v>0.4082080201</v>
      </c>
      <c r="F129" s="10">
        <f>IFERROR(__xludf.DUMMYFUNCTION("""COMPUTED_VALUE"""),0.7)</f>
        <v>0.7</v>
      </c>
      <c r="G129" s="10">
        <f>IFERROR(__xludf.DUMMYFUNCTION("""COMPUTED_VALUE"""),0.5517241379310345)</f>
        <v>0.5517241379</v>
      </c>
      <c r="H129" s="36">
        <f>IFERROR(__xludf.DUMMYFUNCTION("""COMPUTED_VALUE"""),-14.827586206896548)</f>
        <v>-14.82758621</v>
      </c>
      <c r="I129" s="11">
        <f>IFERROR(__xludf.DUMMYFUNCTION("""COMPUTED_VALUE"""),28.830967741935467)</f>
        <v>28.83096774</v>
      </c>
      <c r="J129" s="11">
        <f>IFERROR(__xludf.DUMMYFUNCTION("""COMPUTED_VALUE"""),32.0)</f>
        <v>32</v>
      </c>
      <c r="K129" s="11">
        <f>IFERROR(__xludf.DUMMYFUNCTION("""COMPUTED_VALUE"""),3.169032258064533)</f>
        <v>3.169032258</v>
      </c>
      <c r="L129" s="10">
        <f>IFERROR(__xludf.DUMMYFUNCTION("""COMPUTED_VALUE"""),0.10991765127103538)</f>
        <v>0.1099176513</v>
      </c>
      <c r="M129" s="10">
        <f>IFERROR(__xludf.DUMMYFUNCTION("""COMPUTED_VALUE"""),0.2712500000000002)</f>
        <v>0.27125</v>
      </c>
      <c r="N129" s="10">
        <f>IFERROR(__xludf.DUMMYFUNCTION("""COMPUTED_VALUE"""),0.375)</f>
        <v>0.375</v>
      </c>
      <c r="O129" s="36">
        <f>IFERROR(__xludf.DUMMYFUNCTION("""COMPUTED_VALUE"""),10.374999999999979)</f>
        <v>10.375</v>
      </c>
      <c r="P129" s="11">
        <f>IFERROR(__xludf.DUMMYFUNCTION("""COMPUTED_VALUE"""),7.820400000000002)</f>
        <v>7.8204</v>
      </c>
      <c r="Q129" s="11">
        <f>IFERROR(__xludf.DUMMYFUNCTION("""COMPUTED_VALUE"""),12.0)</f>
        <v>12</v>
      </c>
      <c r="R129" s="11">
        <f>IFERROR(__xludf.DUMMYFUNCTION("""COMPUTED_VALUE"""),4.179599999999998)</f>
        <v>4.1796</v>
      </c>
      <c r="S129" s="10">
        <f>IFERROR(__xludf.DUMMYFUNCTION("""COMPUTED_VALUE"""),0.53444836581249)</f>
        <v>0.5344483658</v>
      </c>
      <c r="T129" s="11">
        <f>IFERROR(__xludf.DUMMYFUNCTION("""COMPUTED_VALUE"""),61110.482496000004)</f>
        <v>61110.4825</v>
      </c>
      <c r="U129" s="15">
        <f>IFERROR(__xludf.DUMMYFUNCTION("""COMPUTED_VALUE"""),8400.0)</f>
        <v>8400</v>
      </c>
      <c r="V129" s="15">
        <f>IFERROR(__xludf.DUMMYFUNCTION("""COMPUTED_VALUE"""),26619.870967742077)</f>
        <v>26619.87097</v>
      </c>
      <c r="W129" s="10">
        <f>IFERROR(__xludf.DUMMYFUNCTION("""COMPUTED_VALUE"""),0.4356023693559364)</f>
        <v>0.4356023694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IFERROR(__xludf.DUMMYFUNCTION("""COMPUTED_VALUE"""),7.0)</f>
        <v>7</v>
      </c>
      <c r="D130" s="9"/>
      <c r="E130" s="9"/>
      <c r="F130" s="9"/>
      <c r="G130" s="10">
        <f>IFERROR(__xludf.DUMMYFUNCTION("""COMPUTED_VALUE"""),0.7142857142857143)</f>
        <v>0.7142857143</v>
      </c>
      <c r="H130" s="9"/>
      <c r="I130" s="9"/>
      <c r="J130" s="11">
        <f>IFERROR(__xludf.DUMMYFUNCTION("""COMPUTED_VALUE"""),5.0)</f>
        <v>5</v>
      </c>
      <c r="K130" s="9"/>
      <c r="L130" s="9"/>
      <c r="M130" s="9"/>
      <c r="N130" s="10">
        <f>IFERROR(__xludf.DUMMYFUNCTION("""COMPUTED_VALUE"""),0.6)</f>
        <v>0.6</v>
      </c>
      <c r="O130" s="9"/>
      <c r="P130" s="9"/>
      <c r="Q130" s="11">
        <f>IFERROR(__xludf.DUMMYFUNCTION("""COMPUTED_VALUE"""),3.0)</f>
        <v>3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1">
        <f>IFERROR(__xludf.DUMMYFUNCTION("""COMPUTED_VALUE"""),7.0)</f>
        <v>7</v>
      </c>
      <c r="D131" s="9"/>
      <c r="E131" s="9"/>
      <c r="F131" s="9"/>
      <c r="G131" s="10">
        <f>IFERROR(__xludf.DUMMYFUNCTION("""COMPUTED_VALUE"""),1.0)</f>
        <v>1</v>
      </c>
      <c r="H131" s="9"/>
      <c r="I131" s="9"/>
      <c r="J131" s="11">
        <f>IFERROR(__xludf.DUMMYFUNCTION("""COMPUTED_VALUE"""),7.0)</f>
        <v>7</v>
      </c>
      <c r="K131" s="9"/>
      <c r="L131" s="9"/>
      <c r="M131" s="9"/>
      <c r="N131" s="10">
        <f>IFERROR(__xludf.DUMMYFUNCTION("""COMPUTED_VALUE"""),0.2857142857142857)</f>
        <v>0.2857142857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1">
        <f>IFERROR(__xludf.DUMMYFUNCTION("""COMPUTED_VALUE"""),2.0)</f>
        <v>2</v>
      </c>
      <c r="D132" s="9"/>
      <c r="E132" s="9"/>
      <c r="F132" s="9"/>
      <c r="G132" s="10">
        <f>IFERROR(__xludf.DUMMYFUNCTION("""COMPUTED_VALUE"""),0.5)</f>
        <v>0.5</v>
      </c>
      <c r="H132" s="9"/>
      <c r="I132" s="9"/>
      <c r="J132" s="11">
        <f>IFERROR(__xludf.DUMMYFUNCTION("""COMPUTED_VALUE"""),1.0)</f>
        <v>1</v>
      </c>
      <c r="K132" s="9"/>
      <c r="L132" s="9"/>
      <c r="M132" s="9"/>
      <c r="N132" s="10">
        <f>IFERROR(__xludf.DUMMYFUNCTION("""COMPUTED_VALUE"""),1.0)</f>
        <v>1</v>
      </c>
      <c r="O132" s="9"/>
      <c r="P132" s="9"/>
      <c r="Q132" s="11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IFERROR(__xludf.DUMMYFUNCTION("""COMPUTED_VALUE"""),"Felipe Maximo")</f>
        <v>Felipe Maximo</v>
      </c>
      <c r="B133" s="9"/>
      <c r="C133" s="11">
        <f>IFERROR(__xludf.DUMMYFUNCTION("""COMPUTED_VALUE"""),5.0)</f>
        <v>5</v>
      </c>
      <c r="D133" s="9"/>
      <c r="E133" s="9"/>
      <c r="F133" s="9"/>
      <c r="G133" s="10">
        <f>IFERROR(__xludf.DUMMYFUNCTION("""COMPUTED_VALUE"""),0.2)</f>
        <v>0.2</v>
      </c>
      <c r="H133" s="9"/>
      <c r="I133" s="9"/>
      <c r="J133" s="11">
        <f>IFERROR(__xludf.DUMMYFUNCTION("""COMPUTED_VALUE"""),1.0)</f>
        <v>1</v>
      </c>
      <c r="K133" s="9"/>
      <c r="L133" s="9"/>
      <c r="M133" s="9"/>
      <c r="N133" s="10">
        <f>IFERROR(__xludf.DUMMYFUNCTION("""COMPUTED_VALUE"""),1.0)</f>
        <v>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IFERROR(__xludf.DUMMYFUNCTION("""COMPUTED_VALUE"""),"Mylena Reis")</f>
        <v>Mylena Reis</v>
      </c>
      <c r="B134" s="9"/>
      <c r="C134" s="11">
        <f>IFERROR(__xludf.DUMMYFUNCTION("""COMPUTED_VALUE"""),4.0)</f>
        <v>4</v>
      </c>
      <c r="D134" s="9"/>
      <c r="E134" s="9"/>
      <c r="F134" s="9"/>
      <c r="G134" s="10">
        <f>IFERROR(__xludf.DUMMYFUNCTION("""COMPUTED_VALUE"""),0.5)</f>
        <v>0.5</v>
      </c>
      <c r="H134" s="9"/>
      <c r="I134" s="9"/>
      <c r="J134" s="11">
        <f>IFERROR(__xludf.DUMMYFUNCTION("""COMPUTED_VALUE"""),2.0)</f>
        <v>2</v>
      </c>
      <c r="K134" s="9"/>
      <c r="L134" s="9"/>
      <c r="M134" s="9"/>
      <c r="N134" s="10">
        <f>IFERROR(__xludf.DUMMYFUNCTION("""COMPUTED_VALUE"""),0.5)</f>
        <v>0.5</v>
      </c>
      <c r="O134" s="9"/>
      <c r="P134" s="9"/>
      <c r="Q134" s="11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IFERROR(__xludf.DUMMYFUNCTION("""COMPUTED_VALUE"""),"João Rios")</f>
        <v>João Rios</v>
      </c>
      <c r="B135" s="9"/>
      <c r="C135" s="11">
        <f>IFERROR(__xludf.DUMMYFUNCTION("""COMPUTED_VALUE"""),7.0)</f>
        <v>7</v>
      </c>
      <c r="D135" s="9"/>
      <c r="E135" s="9"/>
      <c r="F135" s="9"/>
      <c r="G135" s="10">
        <f>IFERROR(__xludf.DUMMYFUNCTION("""COMPUTED_VALUE"""),0.42857142857142855)</f>
        <v>0.4285714286</v>
      </c>
      <c r="H135" s="9"/>
      <c r="I135" s="9"/>
      <c r="J135" s="11">
        <f>IFERROR(__xludf.DUMMYFUNCTION("""COMPUTED_VALUE"""),3.0)</f>
        <v>3</v>
      </c>
      <c r="K135" s="9"/>
      <c r="L135" s="9"/>
      <c r="M135" s="9"/>
      <c r="N135" s="10">
        <f>IFERROR(__xludf.DUMMYFUNCTION("""COMPUTED_VALUE"""),0.3333333333333333)</f>
        <v>0.3333333333</v>
      </c>
      <c r="O135" s="9"/>
      <c r="P135" s="9"/>
      <c r="Q135" s="11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IFERROR(__xludf.DUMMYFUNCTION("""COMPUTED_VALUE"""),"Gustavo Pereira")</f>
        <v>Gustavo Pereira</v>
      </c>
      <c r="B136" s="9"/>
      <c r="C136" s="11">
        <f>IFERROR(__xludf.DUMMYFUNCTION("""COMPUTED_VALUE"""),7.0)</f>
        <v>7</v>
      </c>
      <c r="D136" s="9"/>
      <c r="E136" s="9"/>
      <c r="F136" s="9"/>
      <c r="G136" s="10">
        <f>IFERROR(__xludf.DUMMYFUNCTION("""COMPUTED_VALUE"""),0.42857142857142855)</f>
        <v>0.4285714286</v>
      </c>
      <c r="H136" s="9"/>
      <c r="I136" s="9"/>
      <c r="J136" s="11">
        <f>IFERROR(__xludf.DUMMYFUNCTION("""COMPUTED_VALUE"""),3.0)</f>
        <v>3</v>
      </c>
      <c r="K136" s="9"/>
      <c r="L136" s="9"/>
      <c r="M136" s="9"/>
      <c r="N136" s="10">
        <f>IFERROR(__xludf.DUMMYFUNCTION("""COMPUTED_VALUE"""),0.3333333333333333)</f>
        <v>0.3333333333</v>
      </c>
      <c r="O136" s="9"/>
      <c r="P136" s="9"/>
      <c r="Q136" s="11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IFERROR(__xludf.DUMMYFUNCTION("""COMPUTED_VALUE"""),"Ilson Costa Lima")</f>
        <v>Ilson Costa Lima</v>
      </c>
      <c r="B137" s="9"/>
      <c r="C137" s="11">
        <f>IFERROR(__xludf.DUMMYFUNCTION("""COMPUTED_VALUE"""),6.0)</f>
        <v>6</v>
      </c>
      <c r="D137" s="9"/>
      <c r="E137" s="9"/>
      <c r="F137" s="9"/>
      <c r="G137" s="10">
        <f>IFERROR(__xludf.DUMMYFUNCTION("""COMPUTED_VALUE"""),0.6666666666666666)</f>
        <v>0.6666666667</v>
      </c>
      <c r="H137" s="9"/>
      <c r="I137" s="9"/>
      <c r="J137" s="11">
        <f>IFERROR(__xludf.DUMMYFUNCTION("""COMPUTED_VALUE"""),4.0)</f>
        <v>4</v>
      </c>
      <c r="K137" s="9"/>
      <c r="L137" s="9"/>
      <c r="M137" s="9"/>
      <c r="N137" s="10">
        <f>IFERROR(__xludf.DUMMYFUNCTION("""COMPUTED_VALUE"""),0.25)</f>
        <v>0.25</v>
      </c>
      <c r="O137" s="9"/>
      <c r="P137" s="9"/>
      <c r="Q137" s="11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1">
        <f>IFERROR(__xludf.DUMMYFUNCTION("""COMPUTED_VALUE"""),6.0)</f>
        <v>6</v>
      </c>
      <c r="D138" s="9"/>
      <c r="E138" s="9"/>
      <c r="F138" s="9"/>
      <c r="G138" s="10">
        <f>IFERROR(__xludf.DUMMYFUNCTION("""COMPUTED_VALUE"""),0.6666666666666666)</f>
        <v>0.6666666667</v>
      </c>
      <c r="H138" s="9"/>
      <c r="I138" s="9"/>
      <c r="J138" s="11">
        <f>IFERROR(__xludf.DUMMYFUNCTION("""COMPUTED_VALUE"""),4.0)</f>
        <v>4</v>
      </c>
      <c r="K138" s="9"/>
      <c r="L138" s="9"/>
      <c r="M138" s="9"/>
      <c r="N138" s="10">
        <f>IFERROR(__xludf.DUMMYFUNCTION("""COMPUTED_VALUE"""),0.25)</f>
        <v>0.25</v>
      </c>
      <c r="O138" s="9"/>
      <c r="P138" s="9"/>
      <c r="Q138" s="11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1">
        <f>IFERROR(__xludf.DUMMYFUNCTION("""COMPUTED_VALUE"""),7.0)</f>
        <v>7</v>
      </c>
      <c r="D139" s="9"/>
      <c r="E139" s="9"/>
      <c r="F139" s="9"/>
      <c r="G139" s="10">
        <f>IFERROR(__xludf.DUMMYFUNCTION("""COMPUTED_VALUE"""),0.14285714285714285)</f>
        <v>0.1428571429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IFERROR(__xludf.DUMMYFUNCTION("""COMPUTED_VALUE"""),0.0)</f>
        <v>0</v>
      </c>
      <c r="O139" s="9"/>
      <c r="P139" s="9"/>
      <c r="Q139" s="11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>
        <f>IFERROR(__xludf.DUMMYFUNCTION("""COMPUTED_VALUE"""),750.0)</f>
        <v>750</v>
      </c>
      <c r="C226" s="35">
        <f>IFERROR(__xludf.DUMMYFUNCTION("""COMPUTED_VALUE"""),623.0)</f>
        <v>623</v>
      </c>
      <c r="D226" s="35">
        <f>IFERROR(__xludf.DUMMYFUNCTION("""COMPUTED_VALUE"""),168.0)</f>
        <v>168</v>
      </c>
      <c r="E226" s="35">
        <f>IFERROR(__xludf.DUMMYFUNCTION("""COMPUTED_VALUE"""),653.2258064516125)</f>
        <v>653.2258065</v>
      </c>
      <c r="F226" s="35">
        <f>IFERROR(__xludf.DUMMYFUNCTION("""COMPUTED_VALUE"""),542.6129032258061)</f>
        <v>542.6129032</v>
      </c>
      <c r="G226" s="35">
        <f>IFERROR(__xludf.DUMMYFUNCTION("""COMPUTED_VALUE"""),134.40000000000003)</f>
        <v>134.4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>
        <f>IFERROR(__xludf.DUMMYFUNCTION("""COMPUTED_VALUE"""),31.0)</f>
        <v>31</v>
      </c>
      <c r="C227" s="35">
        <f>IFERROR(__xludf.DUMMYFUNCTION("""COMPUTED_VALUE"""),31.0)</f>
        <v>31</v>
      </c>
      <c r="D227" s="35">
        <f>IFERROR(__xludf.DUMMYFUNCTION("""COMPUTED_VALUE"""),11.0)</f>
        <v>11</v>
      </c>
      <c r="E227" s="35">
        <f>IFERROR(__xludf.DUMMYFUNCTION("""COMPUTED_VALUE"""),26.999999999999982)</f>
        <v>27</v>
      </c>
      <c r="F227" s="35">
        <f>IFERROR(__xludf.DUMMYFUNCTION("""COMPUTED_VALUE"""),26.999999999999982)</f>
        <v>27</v>
      </c>
      <c r="G227" s="35">
        <f>IFERROR(__xludf.DUMMYFUNCTION("""COMPUTED_VALUE"""),8.800000000000002)</f>
        <v>8.8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>
        <f>IFERROR(__xludf.DUMMYFUNCTION("""COMPUTED_VALUE"""),1975.0)</f>
        <v>1975</v>
      </c>
      <c r="C228" s="35">
        <f>IFERROR(__xludf.DUMMYFUNCTION("""COMPUTED_VALUE"""),1514.0)</f>
        <v>1514</v>
      </c>
      <c r="D228" s="35">
        <f>IFERROR(__xludf.DUMMYFUNCTION("""COMPUTED_VALUE"""),529.0)</f>
        <v>529</v>
      </c>
      <c r="E228" s="35">
        <f>IFERROR(__xludf.DUMMYFUNCTION("""COMPUTED_VALUE"""),1720.1612903225796)</f>
        <v>1720.16129</v>
      </c>
      <c r="F228" s="35">
        <f>IFERROR(__xludf.DUMMYFUNCTION("""COMPUTED_VALUE"""),1318.6451612903218)</f>
        <v>1318.645161</v>
      </c>
      <c r="G228" s="35">
        <f>IFERROR(__xludf.DUMMYFUNCTION("""COMPUTED_VALUE"""),423.2000000000001)</f>
        <v>423.2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>
        <f>IFERROR(__xludf.DUMMYFUNCTION("""COMPUTED_VALUE"""),1237.0)</f>
        <v>1237</v>
      </c>
      <c r="C229" s="35">
        <f>IFERROR(__xludf.DUMMYFUNCTION("""COMPUTED_VALUE"""),970.0)</f>
        <v>970</v>
      </c>
      <c r="D229" s="35">
        <f>IFERROR(__xludf.DUMMYFUNCTION("""COMPUTED_VALUE"""),344.0)</f>
        <v>344</v>
      </c>
      <c r="E229" s="35">
        <f>IFERROR(__xludf.DUMMYFUNCTION("""COMPUTED_VALUE"""),1077.387096774193)</f>
        <v>1077.387097</v>
      </c>
      <c r="F229" s="35">
        <f>IFERROR(__xludf.DUMMYFUNCTION("""COMPUTED_VALUE"""),844.8387096774188)</f>
        <v>844.8387097</v>
      </c>
      <c r="G229" s="35">
        <f>IFERROR(__xludf.DUMMYFUNCTION("""COMPUTED_VALUE"""),275.20000000000005)</f>
        <v>275.2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>
        <f>IFERROR(__xludf.DUMMYFUNCTION("""COMPUTED_VALUE"""),362.0)</f>
        <v>362</v>
      </c>
      <c r="C230" s="35">
        <f>IFERROR(__xludf.DUMMYFUNCTION("""COMPUTED_VALUE"""),276.0)</f>
        <v>276</v>
      </c>
      <c r="D230" s="35">
        <f>IFERROR(__xludf.DUMMYFUNCTION("""COMPUTED_VALUE"""),85.0)</f>
        <v>85</v>
      </c>
      <c r="E230" s="35">
        <f>IFERROR(__xludf.DUMMYFUNCTION("""COMPUTED_VALUE"""),315.29032258064495)</f>
        <v>315.2903226</v>
      </c>
      <c r="F230" s="35">
        <f>IFERROR(__xludf.DUMMYFUNCTION("""COMPUTED_VALUE"""),240.3870967741934)</f>
        <v>240.3870968</v>
      </c>
      <c r="G230" s="35">
        <f>IFERROR(__xludf.DUMMYFUNCTION("""COMPUTED_VALUE"""),68.00000000000001)</f>
        <v>68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>
        <f>IFERROR(__xludf.DUMMYFUNCTION("""COMPUTED_VALUE"""),280.0)</f>
        <v>280</v>
      </c>
      <c r="C231" s="35">
        <f>IFERROR(__xludf.DUMMYFUNCTION("""COMPUTED_VALUE"""),205.0)</f>
        <v>205</v>
      </c>
      <c r="D231" s="35">
        <f>IFERROR(__xludf.DUMMYFUNCTION("""COMPUTED_VALUE"""),80.0)</f>
        <v>80</v>
      </c>
      <c r="E231" s="35">
        <f>IFERROR(__xludf.DUMMYFUNCTION("""COMPUTED_VALUE"""),243.87096774193532)</f>
        <v>243.8709677</v>
      </c>
      <c r="F231" s="35">
        <f>IFERROR(__xludf.DUMMYFUNCTION("""COMPUTED_VALUE"""),178.5483870967741)</f>
        <v>178.5483871</v>
      </c>
      <c r="G231" s="35">
        <f>IFERROR(__xludf.DUMMYFUNCTION("""COMPUTED_VALUE"""),64.00000000000001)</f>
        <v>64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>
        <f>IFERROR(__xludf.DUMMYFUNCTION("""COMPUTED_VALUE"""),96.0)</f>
        <v>96</v>
      </c>
      <c r="C232" s="35">
        <f>IFERROR(__xludf.DUMMYFUNCTION("""COMPUTED_VALUE"""),63.0)</f>
        <v>63</v>
      </c>
      <c r="D232" s="35">
        <f>IFERROR(__xludf.DUMMYFUNCTION("""COMPUTED_VALUE"""),20.0)</f>
        <v>20</v>
      </c>
      <c r="E232" s="35">
        <f>IFERROR(__xludf.DUMMYFUNCTION("""COMPUTED_VALUE"""),83.6129032258064)</f>
        <v>83.61290323</v>
      </c>
      <c r="F232" s="35">
        <f>IFERROR(__xludf.DUMMYFUNCTION("""COMPUTED_VALUE"""),54.87096774193545)</f>
        <v>54.87096774</v>
      </c>
      <c r="G232" s="35">
        <f>IFERROR(__xludf.DUMMYFUNCTION("""COMPUTED_VALUE"""),16.000000000000004)</f>
        <v>16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IFERROR(__xludf.DUMMYFUNCTION("""COMPUTED_VALUE"""),2456.0)</f>
        <v>2456</v>
      </c>
      <c r="C233" s="35">
        <f>IFERROR(__xludf.DUMMYFUNCTION("""COMPUTED_VALUE"""),1647.0)</f>
        <v>1647</v>
      </c>
      <c r="D233" s="35">
        <f>IFERROR(__xludf.DUMMYFUNCTION("""COMPUTED_VALUE"""),564.0)</f>
        <v>564</v>
      </c>
      <c r="E233" s="35">
        <f>IFERROR(__xludf.DUMMYFUNCTION("""COMPUTED_VALUE"""),2139.096774193547)</f>
        <v>2139.096774</v>
      </c>
      <c r="F233" s="35">
        <f>IFERROR(__xludf.DUMMYFUNCTION("""COMPUTED_VALUE"""),1434.483870967741)</f>
        <v>1434.483871</v>
      </c>
      <c r="G233" s="35">
        <f>IFERROR(__xludf.DUMMYFUNCTION("""COMPUTED_VALUE"""),451.2000000000001)</f>
        <v>451.2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IFERROR(__xludf.DUMMYFUNCTION("""COMPUTED_VALUE"""),371.0)</f>
        <v>371</v>
      </c>
      <c r="C234" s="35">
        <f>IFERROR(__xludf.DUMMYFUNCTION("""COMPUTED_VALUE"""),299.0)</f>
        <v>299</v>
      </c>
      <c r="D234" s="35">
        <f>IFERROR(__xludf.DUMMYFUNCTION("""COMPUTED_VALUE"""),102.0)</f>
        <v>102</v>
      </c>
      <c r="E234" s="35">
        <f>IFERROR(__xludf.DUMMYFUNCTION("""COMPUTED_VALUE"""),323.1290322580643)</f>
        <v>323.1290323</v>
      </c>
      <c r="F234" s="35">
        <f>IFERROR(__xludf.DUMMYFUNCTION("""COMPUTED_VALUE"""),260.4193548387095)</f>
        <v>260.4193548</v>
      </c>
      <c r="G234" s="35">
        <f>IFERROR(__xludf.DUMMYFUNCTION("""COMPUTED_VALUE"""),81.60000000000002)</f>
        <v>81.6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IFERROR(__xludf.DUMMYFUNCTION("""COMPUTED_VALUE"""),360.0)</f>
        <v>360</v>
      </c>
      <c r="C235" s="35">
        <f>IFERROR(__xludf.DUMMYFUNCTION("""COMPUTED_VALUE"""),254.0)</f>
        <v>254</v>
      </c>
      <c r="D235" s="35">
        <f>IFERROR(__xludf.DUMMYFUNCTION("""COMPUTED_VALUE"""),58.0)</f>
        <v>58</v>
      </c>
      <c r="E235" s="35">
        <f>IFERROR(__xludf.DUMMYFUNCTION("""COMPUTED_VALUE"""),313.548387096774)</f>
        <v>313.5483871</v>
      </c>
      <c r="F235" s="35">
        <f>IFERROR(__xludf.DUMMYFUNCTION("""COMPUTED_VALUE"""),221.22580645161275)</f>
        <v>221.2258065</v>
      </c>
      <c r="G235" s="35">
        <f>IFERROR(__xludf.DUMMYFUNCTION("""COMPUTED_VALUE"""),46.400000000000006)</f>
        <v>46.4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IFERROR(__xludf.DUMMYFUNCTION("""COMPUTED_VALUE"""),221.0)</f>
        <v>221</v>
      </c>
      <c r="C236" s="35">
        <f>IFERROR(__xludf.DUMMYFUNCTION("""COMPUTED_VALUE"""),118.0)</f>
        <v>118</v>
      </c>
      <c r="D236" s="35">
        <f>IFERROR(__xludf.DUMMYFUNCTION("""COMPUTED_VALUE"""),36.0)</f>
        <v>36</v>
      </c>
      <c r="E236" s="35">
        <f>IFERROR(__xludf.DUMMYFUNCTION("""COMPUTED_VALUE"""),192.4838709677418)</f>
        <v>192.483871</v>
      </c>
      <c r="F236" s="35">
        <f>IFERROR(__xludf.DUMMYFUNCTION("""COMPUTED_VALUE"""),102.77419354838703)</f>
        <v>102.7741935</v>
      </c>
      <c r="G236" s="35">
        <f>IFERROR(__xludf.DUMMYFUNCTION("""COMPUTED_VALUE"""),28.800000000000004)</f>
        <v>28.8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IFERROR(__xludf.DUMMYFUNCTION("""COMPUTED_VALUE"""),1440.0)</f>
        <v>1440</v>
      </c>
      <c r="C237" s="35">
        <f>IFERROR(__xludf.DUMMYFUNCTION("""COMPUTED_VALUE"""),934.0)</f>
        <v>934</v>
      </c>
      <c r="D237" s="35">
        <f>IFERROR(__xludf.DUMMYFUNCTION("""COMPUTED_VALUE"""),355.0)</f>
        <v>355</v>
      </c>
      <c r="E237" s="35">
        <f>IFERROR(__xludf.DUMMYFUNCTION("""COMPUTED_VALUE"""),1254.193548387096)</f>
        <v>1254.193548</v>
      </c>
      <c r="F237" s="35">
        <f>IFERROR(__xludf.DUMMYFUNCTION("""COMPUTED_VALUE"""),813.4838709677414)</f>
        <v>813.483871</v>
      </c>
      <c r="G237" s="35">
        <f>IFERROR(__xludf.DUMMYFUNCTION("""COMPUTED_VALUE"""),284.00000000000006)</f>
        <v>284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IFERROR(__xludf.DUMMYFUNCTION("""COMPUTED_VALUE"""),64.0)</f>
        <v>64</v>
      </c>
      <c r="C238" s="35">
        <f>IFERROR(__xludf.DUMMYFUNCTION("""COMPUTED_VALUE"""),42.0)</f>
        <v>42</v>
      </c>
      <c r="D238" s="35">
        <f>IFERROR(__xludf.DUMMYFUNCTION("""COMPUTED_VALUE"""),13.0)</f>
        <v>13</v>
      </c>
      <c r="E238" s="35">
        <f>IFERROR(__xludf.DUMMYFUNCTION("""COMPUTED_VALUE"""),55.74193548387093)</f>
        <v>55.74193548</v>
      </c>
      <c r="F238" s="35">
        <f>IFERROR(__xludf.DUMMYFUNCTION("""COMPUTED_VALUE"""),36.5806451612903)</f>
        <v>36.58064516</v>
      </c>
      <c r="G238" s="35">
        <f>IFERROR(__xludf.DUMMYFUNCTION("""COMPUTED_VALUE"""),10.400000000000002)</f>
        <v>10.4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