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<sst xmlns="http://schemas.openxmlformats.org/spreadsheetml/2006/main" count="682" uniqueCount="394">
  <si>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</si>
  <si>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</si>
  <si>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</si>
  <si>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</si>
  <si>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</si>
  <si>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</si>
  <si>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</si>
  <si>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</si>
  <si>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</si>
  <si>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</si>
  <si>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</si>
  <si>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</si>
  <si>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</si>
  <si>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</si>
  <si>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</si>
  <si>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</si>
  <si>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</si>
  <si>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</si>
  <si>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</si>
  <si>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</si>
  <si>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</si>
  <si>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</si>
  <si>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</si>
  <si>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</si>
  <si>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</si>
  <si>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</si>
  <si>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</si>
  <si>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</si>
  <si>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</si>
  <si>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</si>
  <si>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</si>
  <si>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</si>
  <si>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</si>
  <si>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</si>
  <si>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</si>
  <si>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</si>
  <si>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</si>
  <si>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</si>
  <si>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</si>
  <si>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</si>
  <si>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</si>
  <si>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</si>
  <si>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</si>
  <si>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</si>
  <si>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</si>
  <si>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</si>
  <si>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</si>
  <si>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</si>
  <si>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</si>
  <si>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</si>
  <si>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</si>
  <si>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</si>
  <si>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</si>
  <si>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</si>
  <si>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</si>
  <si>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</si>
  <si>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</si>
  <si>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</si>
  <si>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</si>
  <si>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</si>
  <si>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</si>
  <si>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</si>
  <si>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</si>
  <si>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</si>
  <si>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</si>
  <si>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</si>
  <si>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</si>
  <si>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</si>
  <si>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</si>
  <si>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</si>
  <si>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</si>
  <si>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</si>
  <si>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</si>
  <si>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</si>
  <si>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</si>
  <si>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</si>
  <si>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</si>
  <si>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</si>
  <si>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</si>
  <si>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</si>
  <si>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</si>
  <si>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</si>
  <si>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</si>
  <si>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</si>
  <si>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</si>
  <si>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</si>
  <si>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</si>
  <si>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</si>
  <si>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</si>
  <si>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</si>
  <si>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</si>
  <si>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</si>
  <si>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</si>
  <si>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</si>
  <si>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</si>
  <si>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</si>
  <si>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</si>
  <si>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Matheus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</si>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</sst>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IFERROR(__xludf.DUMMYFUNCTION("""COMPUTED_VALUE"""),5486718.548217773)</f>
        <v>5486718.548</v>
      </c>
      <c r="C2" s="3">
        <f>B2-A2</f>
        <v>-2413380.653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IFERROR(__xludf.DUMMYFUNCTION("""COMPUTED_VALUE"""),-0.852431145868752)</f>
        <v>-0.8524311459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IFERROR(__xludf.DUMMYFUNCTION("""COMPUTED_VALUE"""),-0.8729247796679647)</f>
        <v>-0.8729247797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"),"Indicação - Outros")</f>
        <v>Indicação - Outros</v>
      </c>
      <c r="M2" s="6">
        <f>IFERROR(__xludf.DUMMYFUNCTION("""COMPUTED_VALUE"""),-63.63636363636365)</f>
        <v>-63.63636364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"),0.2631578947368421)</f>
        <v>0.2631578947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IFERROR(__xludf.DUMMYFUNCTION("""COMPUTED_VALUE"""),-0.8087458708144946)</f>
        <v>-0.8087458708</v>
      </c>
      <c r="AC2" s="3">
        <f>IFERROR(__xludf.DUMMYFUNCTION("""COMPUTED_VALUE"""),-1930.1960072595277)</f>
        <v>-1930.196007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IFERROR(__xludf.DUMMYFUNCTION("""COMPUTED_VALUE"""),6.037677589297183)</f>
        <v>6.037677589</v>
      </c>
      <c r="AF2" s="3">
        <f>IFERROR(__xludf.DUMMYFUNCTION("""COMPUTED_VALUE"""),32234.464285714286)</f>
        <v>32234.46429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Comercial!AE2"")"),2.680260656775241E7)</f>
        <v>26802606.57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IFERROR(__xludf.DUMMYFUNCTION("""COMPUTED_VALUE"""),-0.8227862573600868)</f>
        <v>-0.8227862574</v>
      </c>
      <c r="H3" s="4" t="str">
        <f>IFERROR(__xludf.DUMMYFUNCTION("""COMPUTED_VALUE"""),"Indicação - Outros")</f>
        <v>Indicação - Outros</v>
      </c>
      <c r="I3" s="5">
        <f>IFERROR(__xludf.DUMMYFUNCTION("""COMPUTED_VALUE"""),-0.7384495967061522)</f>
        <v>-0.7384495967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IFERROR(__xludf.DUMMYFUNCTION("""COMPUTED_VALUE"""),-8.02675585284281)</f>
        <v>-8.026755853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IFERROR(__xludf.DUMMYFUNCTION("""COMPUTED_VALUE"""),"Indicação - Outros")</f>
        <v>Indicação - Outros</v>
      </c>
      <c r="O3" s="5">
        <f>IFERROR(__xludf.DUMMYFUNCTION("""COMPUTED_VALUE"""),-1.0)</f>
        <v>-1</v>
      </c>
      <c r="P3" s="3">
        <f>IFERROR(__xludf.DUMMYFUNCTION("""COMPUTED_VALUE"""),-27596.0)</f>
        <v>-27596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Link de Indicação")</f>
        <v>[IM] Link de Indicação</v>
      </c>
      <c r="AE3" s="5">
        <f>IFERROR(__xludf.DUMMYFUNCTION("""COMPUTED_VALUE"""),1.1636787533979538)</f>
        <v>1.163678753</v>
      </c>
      <c r="AF3" s="3">
        <f>IFERROR(__xludf.DUMMYFUNCTION("""COMPUTED_VALUE"""),3056.982)</f>
        <v>3056.982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IFERROR(__xludf.DUMMYFUNCTION("""COMPUTED_VALUE"""),-0.7565584431519791)</f>
        <v>-0.7565584432</v>
      </c>
      <c r="H4" s="4" t="str">
        <f>IFERROR(__xludf.DUMMYFUNCTION("""COMPUTED_VALUE"""),"[SKL] Outros")</f>
        <v>[SKL] Outros</v>
      </c>
      <c r="I4" s="5">
        <f>IFERROR(__xludf.DUMMYFUNCTION("""COMPUTED_VALUE"""),-0.7364651475157589)</f>
        <v>-0.7364651475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IFERROR(__xludf.DUMMYFUNCTION("""COMPUTED_VALUE"""),-7.600000000000001)</f>
        <v>-7.6</v>
      </c>
      <c r="L4" s="4" t="str">
        <f>IFERROR(__xludf.DUMMYFUNCTION("""COMPUTED_VALUE"""),"[ON] Chat")</f>
        <v>[ON] Chat</v>
      </c>
      <c r="M4" s="6">
        <f>IFERROR(__xludf.DUMMYFUNCTION("""COMPUTED_VALUE"""),-22.599999999999998)</f>
        <v>-22.6</v>
      </c>
      <c r="N4" s="4" t="str">
        <f>IFERROR(__xludf.DUMMYFUNCTION("""COMPUTED_VALUE"""),"[ON] Time de vendas")</f>
        <v>[ON] Time de vendas</v>
      </c>
      <c r="O4" s="5">
        <f>IFERROR(__xludf.DUMMYFUNCTION("""COMPUTED_VALUE"""),-0.8386803403442227)</f>
        <v>-0.8386803403</v>
      </c>
      <c r="P4" s="3">
        <f>IFERROR(__xludf.DUMMYFUNCTION("""COMPUTED_VALUE"""),-20779.89333419602)</f>
        <v>-20779.89333</v>
      </c>
      <c r="S4" s="4"/>
      <c r="T4" s="4"/>
      <c r="AA4" s="4" t="str">
        <f>IFERROR(__xludf.DUMMYFUNCTION("""COMPUTED_VALUE"""),"Form G4 Instagram Tallis")</f>
        <v>Form G4 Instagram Tallis</v>
      </c>
      <c r="AB4" s="5">
        <f>IFERROR(__xludf.DUMMYFUNCTION("""COMPUTED_VALUE"""),-0.7081843777522858)</f>
        <v>-0.7081843778</v>
      </c>
      <c r="AC4" s="3">
        <f>IFERROR(__xludf.DUMMYFUNCTION("""COMPUTED_VALUE"""),-4019.293548387097)</f>
        <v>-4019.293548</v>
      </c>
      <c r="AD4" s="4" t="str">
        <f>IFERROR(__xludf.DUMMYFUNCTION("""COMPUTED_VALUE"""),"Aplicativo G4 - Indicação")</f>
        <v>Aplicativo G4 - Indicação</v>
      </c>
      <c r="AE4" s="5">
        <f>IFERROR(__xludf.DUMMYFUNCTION("""COMPUTED_VALUE"""),1.081751050026079)</f>
        <v>1.08175105</v>
      </c>
      <c r="AF4" s="3">
        <f>IFERROR(__xludf.DUMMYFUNCTION("""COMPUTED_VALUE"""),2642.3076923076924)</f>
        <v>2642.307692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IFERROR(__xludf.DUMMYFUNCTION("""COMPUTED_VALUE"""),-0.6890827942430168)</f>
        <v>-0.6890827942</v>
      </c>
      <c r="H5" s="4" t="str">
        <f>IFERROR(__xludf.DUMMYFUNCTION("""COMPUTED_VALUE"""),"[SKL] CRM - Email")</f>
        <v>[SKL] CRM - Email</v>
      </c>
      <c r="I5" s="5">
        <f>IFERROR(__xludf.DUMMYFUNCTION("""COMPUTED_VALUE"""),-0.6997098471741636)</f>
        <v>-0.6997098472</v>
      </c>
      <c r="J5" s="4" t="str">
        <f>IFERROR(__xludf.DUMMYFUNCTION("""COMPUTED_VALUE"""),"[IM] Form Facebook Ads")</f>
        <v>[IM] Form Facebook Ads</v>
      </c>
      <c r="K5" s="6">
        <f>IFERROR(__xludf.DUMMYFUNCTION("""COMPUTED_VALUE"""),-6.674418604651167)</f>
        <v>-6.674418605</v>
      </c>
      <c r="L5" s="4" t="str">
        <f>IFERROR(__xludf.DUMMYFUNCTION("""COMPUTED_VALUE"""),"[ON] Outros")</f>
        <v>[ON] Outros</v>
      </c>
      <c r="M5" s="6">
        <f>IFERROR(__xludf.DUMMYFUNCTION("""COMPUTED_VALUE"""),-20.91942148760331)</f>
        <v>-20.91942149</v>
      </c>
      <c r="N5" s="4" t="str">
        <f>IFERROR(__xludf.DUMMYFUNCTION("""COMPUTED_VALUE"""),"[IM] Form G4 Facebook Ads - K")</f>
        <v>[IM] Form G4 Facebook Ads - K</v>
      </c>
      <c r="O5" s="5">
        <f>IFERROR(__xludf.DUMMYFUNCTION("""COMPUTED_VALUE"""),-0.7747483903958348)</f>
        <v>-0.7747483904</v>
      </c>
      <c r="P5" s="3">
        <f>IFERROR(__xludf.DUMMYFUNCTION("""COMPUTED_VALUE"""),-11110.666666666666)</f>
        <v>-11110.66667</v>
      </c>
      <c r="S5" s="4"/>
      <c r="T5" s="4"/>
      <c r="AA5" s="4" t="str">
        <f>IFERROR(__xludf.DUMMYFUNCTION("""COMPUTED_VALUE"""),"[SKL] Midia Paga - Quente")</f>
        <v>[SKL] Midia Paga - Quente</v>
      </c>
      <c r="AB5" s="5">
        <f>IFERROR(__xludf.DUMMYFUNCTION("""COMPUTED_VALUE"""),-0.6963935956615251)</f>
        <v>-0.6963935957</v>
      </c>
      <c r="AC5" s="3">
        <f>IFERROR(__xludf.DUMMYFUNCTION("""COMPUTED_VALUE"""),-2516.32962962963)</f>
        <v>-2516.32963</v>
      </c>
      <c r="AD5" s="4" t="str">
        <f>IFERROR(__xludf.DUMMYFUNCTION("""COMPUTED_VALUE"""),"[IM] Chat")</f>
        <v>[IM] Chat</v>
      </c>
      <c r="AE5" s="5">
        <f>IFERROR(__xludf.DUMMYFUNCTION("""COMPUTED_VALUE"""),1.059733431253287)</f>
        <v>1.059733431</v>
      </c>
      <c r="AF5" s="3">
        <f>IFERROR(__xludf.DUMMYFUNCTION("""COMPUTED_VALUE"""),2826.6350814295683)</f>
        <v>2826.635081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IFERROR(__xludf.DUMMYFUNCTION("""COMPUTED_VALUE"""),-0.6808823529411764)</f>
        <v>-0.6808823529</v>
      </c>
      <c r="H6" s="4" t="str">
        <f>IFERROR(__xludf.DUMMYFUNCTION("""COMPUTED_VALUE"""),"Aplicativo G4 - Indicação")</f>
        <v>Aplicativo G4 - Indicação</v>
      </c>
      <c r="I6" s="5">
        <f>IFERROR(__xludf.DUMMYFUNCTION("""COMPUTED_VALUE"""),-0.6748164286290647)</f>
        <v>-0.6748164286</v>
      </c>
      <c r="J6" s="4" t="str">
        <f>IFERROR(__xludf.DUMMYFUNCTION("""COMPUTED_VALUE"""),"[ON] Abandono de carrinho")</f>
        <v>[ON] Abandono de carrinho</v>
      </c>
      <c r="K6" s="6">
        <f>IFERROR(__xludf.DUMMYFUNCTION("""COMPUTED_VALUE"""),-5.915384615384614)</f>
        <v>-5.915384615</v>
      </c>
      <c r="L6" s="4" t="str">
        <f>IFERROR(__xludf.DUMMYFUNCTION("""COMPUTED_VALUE"""),"[CM] Form G4 - Instagram")</f>
        <v>[CM] Form G4 - Instagram</v>
      </c>
      <c r="M6" s="6">
        <f>IFERROR(__xludf.DUMMYFUNCTION("""COMPUTED_VALUE"""),-17.85714285714286)</f>
        <v>-17.85714286</v>
      </c>
      <c r="N6" s="4" t="str">
        <f>IFERROR(__xludf.DUMMYFUNCTION("""COMPUTED_VALUE"""),"[SKL] Social")</f>
        <v>[SKL] Social</v>
      </c>
      <c r="O6" s="5">
        <f>IFERROR(__xludf.DUMMYFUNCTION("""COMPUTED_VALUE"""),-0.7324411764705883)</f>
        <v>-0.7324411765</v>
      </c>
      <c r="P6" s="3">
        <f>IFERROR(__xludf.DUMMYFUNCTION("""COMPUTED_VALUE"""),-12451.5)</f>
        <v>-12451.5</v>
      </c>
      <c r="Q6" s="7"/>
      <c r="S6" s="4"/>
      <c r="T6" s="4"/>
      <c r="AA6" s="4" t="str">
        <f>IFERROR(__xludf.DUMMYFUNCTION("""COMPUTED_VALUE"""),"[SKL] CRM - WhatsApp")</f>
        <v>[SKL] CRM - WhatsApp</v>
      </c>
      <c r="AB6" s="5">
        <f>IFERROR(__xludf.DUMMYFUNCTION("""COMPUTED_VALUE"""),-0.6740939875526439)</f>
        <v>-0.6740939876</v>
      </c>
      <c r="AC6" s="3">
        <f>IFERROR(__xludf.DUMMYFUNCTION("""COMPUTED_VALUE"""),-1579.8052373158755)</f>
        <v>-1579.805237</v>
      </c>
      <c r="AD6" s="4" t="str">
        <f>IFERROR(__xludf.DUMMYFUNCTION("""COMPUTED_VALUE"""),"Form G4 - K Outros")</f>
        <v>Form G4 - K Outros</v>
      </c>
      <c r="AE6" s="5">
        <f>IFERROR(__xludf.DUMMYFUNCTION("""COMPUTED_VALUE"""),0.613766281832389)</f>
        <v>0.6137662818</v>
      </c>
      <c r="AF6" s="3">
        <f>IFERROR(__xludf.DUMMYFUNCTION("""COMPUTED_VALUE"""),392.17428571428604)</f>
        <v>392.1742857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IFERROR(__xludf.DUMMYFUNCTION("""COMPUTED_VALUE"""),"Indicação - Outros")</f>
        <v>Indicação - Outros</v>
      </c>
      <c r="G7" s="5">
        <f>IFERROR(__xludf.DUMMYFUNCTION("""COMPUTED_VALUE"""),-0.5605953224663357)</f>
        <v>-0.5605953225</v>
      </c>
      <c r="H7" s="4" t="str">
        <f>IFERROR(__xludf.DUMMYFUNCTION("""COMPUTED_VALUE"""),"[SKL] Social")</f>
        <v>[SKL] Social</v>
      </c>
      <c r="I7" s="5">
        <f>IFERROR(__xludf.DUMMYFUNCTION("""COMPUTED_VALUE"""),-0.6627344484119525)</f>
        <v>-0.6627344484</v>
      </c>
      <c r="J7" s="4" t="str">
        <f>IFERROR(__xludf.DUMMYFUNCTION("""COMPUTED_VALUE"""),"[SKL] CRM - WhatsApp")</f>
        <v>[SKL] CRM - WhatsApp</v>
      </c>
      <c r="K7" s="6">
        <f>IFERROR(__xludf.DUMMYFUNCTION("""COMPUTED_VALUE"""),-5.77821625887924)</f>
        <v>-5.778216259</v>
      </c>
      <c r="L7" s="4" t="str">
        <f>IFERROR(__xludf.DUMMYFUNCTION("""COMPUTED_VALUE"""),"Form G4 Instagram Tallis")</f>
        <v>Form G4 Instagram Tallis</v>
      </c>
      <c r="M7" s="6">
        <f>IFERROR(__xludf.DUMMYFUNCTION("""COMPUTED_VALUE"""),-13.225806451612904)</f>
        <v>-13.22580645</v>
      </c>
      <c r="N7" s="4" t="str">
        <f>IFERROR(__xludf.DUMMYFUNCTION("""COMPUTED_VALUE"""),"[IM] Outros")</f>
        <v>[IM] Outros</v>
      </c>
      <c r="O7" s="5">
        <f>IFERROR(__xludf.DUMMYFUNCTION("""COMPUTED_VALUE"""),-0.4781749128557307)</f>
        <v>-0.4781749129</v>
      </c>
      <c r="P7" s="3">
        <f>IFERROR(__xludf.DUMMYFUNCTION("""COMPUTED_VALUE"""),-9191.0)</f>
        <v>-9191</v>
      </c>
      <c r="S7" s="4"/>
      <c r="T7" s="4"/>
      <c r="AA7" s="4" t="str">
        <f>IFERROR(__xludf.DUMMYFUNCTION("""COMPUTED_VALUE"""),"Form G4 - K Instagram")</f>
        <v>Form G4 - K Instagram</v>
      </c>
      <c r="AB7" s="5">
        <f>IFERROR(__xludf.DUMMYFUNCTION("""COMPUTED_VALUE"""),-0.6348115143225639)</f>
        <v>-0.6348115143</v>
      </c>
      <c r="AC7" s="3">
        <f>IFERROR(__xludf.DUMMYFUNCTION("""COMPUTED_VALUE"""),-772.9962406015037)</f>
        <v>-772.9962406</v>
      </c>
      <c r="AD7" s="4" t="str">
        <f>IFERROR(__xludf.DUMMYFUNCTION("""COMPUTED_VALUE"""),"Form G4 Outros - Orgânico")</f>
        <v>Form G4 Outros - Orgânico</v>
      </c>
      <c r="AE7" s="5">
        <f>IFERROR(__xludf.DUMMYFUNCTION("""COMPUTED_VALUE"""),0.3703138830155035)</f>
        <v>0.370313883</v>
      </c>
      <c r="AF7" s="3">
        <f>IFERROR(__xludf.DUMMYFUNCTION("""COMPUTED_VALUE"""),309.0692684419819)</f>
        <v>309.0692684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IFERROR(__xludf.DUMMYFUNCTION("""COMPUTED_VALUE"""),"Form G4 Instagram Tallis")</f>
        <v>Form G4 Instagram Tallis</v>
      </c>
      <c r="G8" s="5">
        <f>IFERROR(__xludf.DUMMYFUNCTION("""COMPUTED_VALUE"""),-0.5349999999999998)</f>
        <v>-0.535</v>
      </c>
      <c r="H8" s="4" t="str">
        <f>IFERROR(__xludf.DUMMYFUNCTION("""COMPUTED_VALUE"""),"Form G4 - K Instagram")</f>
        <v>Form G4 - K Instagram</v>
      </c>
      <c r="I8" s="5">
        <f>IFERROR(__xludf.DUMMYFUNCTION("""COMPUTED_VALUE"""),-0.4966353075094578)</f>
        <v>-0.4966353075</v>
      </c>
      <c r="J8" s="4" t="str">
        <f>IFERROR(__xludf.DUMMYFUNCTION("""COMPUTED_VALUE"""),"[SKL] Site")</f>
        <v>[SKL] Site</v>
      </c>
      <c r="K8" s="6">
        <f>IFERROR(__xludf.DUMMYFUNCTION("""COMPUTED_VALUE"""),-5.216564237635351)</f>
        <v>-5.216564238</v>
      </c>
      <c r="L8" s="4" t="str">
        <f>IFERROR(__xludf.DUMMYFUNCTION("""COMPUTED_VALUE"""),"[SKL] Midia Paga - Quente")</f>
        <v>[SKL] Midia Paga - Quente</v>
      </c>
      <c r="M8" s="6">
        <f>IFERROR(__xludf.DUMMYFUNCTION("""COMPUTED_VALUE"""),-12.592592592592593)</f>
        <v>-12.59259259</v>
      </c>
      <c r="N8" s="4" t="str">
        <f>IFERROR(__xludf.DUMMYFUNCTION("""COMPUTED_VALUE"""),"[SKL] Midia Paga - Quente")</f>
        <v>[SKL] Midia Paga - Quente</v>
      </c>
      <c r="O8" s="5">
        <f>IFERROR(__xludf.DUMMYFUNCTION("""COMPUTED_VALUE"""),-0.36746089708477875)</f>
        <v>-0.3674608971</v>
      </c>
      <c r="P8" s="3">
        <f>IFERROR(__xludf.DUMMYFUNCTION("""COMPUTED_VALUE"""),-6037.75)</f>
        <v>-6037.75</v>
      </c>
      <c r="Q8" s="4"/>
      <c r="S8" s="4"/>
      <c r="T8" s="4"/>
      <c r="AA8" s="4" t="str">
        <f>IFERROR(__xludf.DUMMYFUNCTION("""COMPUTED_VALUE"""),"[SKL] Social")</f>
        <v>[SKL] Social</v>
      </c>
      <c r="AB8" s="5">
        <f>IFERROR(__xludf.DUMMYFUNCTION("""COMPUTED_VALUE"""),-0.6108782949246303)</f>
        <v>-0.6108782949</v>
      </c>
      <c r="AC8" s="3">
        <f>IFERROR(__xludf.DUMMYFUNCTION("""COMPUTED_VALUE"""),-1413.335313531353)</f>
        <v>-1413.335314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Instagram Outros")</f>
        <v>Form G4 Instagram Outros</v>
      </c>
      <c r="G9" s="5">
        <f>IFERROR(__xludf.DUMMYFUNCTION("""COMPUTED_VALUE"""),-0.5310924369747897)</f>
        <v>-0.531092437</v>
      </c>
      <c r="H9" s="4" t="str">
        <f>IFERROR(__xludf.DUMMYFUNCTION("""COMPUTED_VALUE"""),"Form G4 Instagram Outros")</f>
        <v>Form G4 Instagram Outros</v>
      </c>
      <c r="I9" s="5">
        <f>IFERROR(__xludf.DUMMYFUNCTION("""COMPUTED_VALUE"""),-0.49078396790815076)</f>
        <v>-0.4907839679</v>
      </c>
      <c r="J9" s="4" t="str">
        <f>IFERROR(__xludf.DUMMYFUNCTION("""COMPUTED_VALUE"""),"[IM] Form G4 Facebook Ads - K")</f>
        <v>[IM] Form G4 Facebook Ads - K</v>
      </c>
      <c r="K9" s="6">
        <f>IFERROR(__xludf.DUMMYFUNCTION("""COMPUTED_VALUE"""),-4.1129983097662555)</f>
        <v>-4.11299831</v>
      </c>
      <c r="L9" s="4" t="str">
        <f>IFERROR(__xludf.DUMMYFUNCTION("""COMPUTED_VALUE"""),"Form G4 Google")</f>
        <v>Form G4 Google</v>
      </c>
      <c r="M9" s="6">
        <f>IFERROR(__xludf.DUMMYFUNCTION("""COMPUTED_VALUE"""),-12.24390243902439)</f>
        <v>-12.24390244</v>
      </c>
      <c r="N9" s="9" t="str">
        <f>IFERROR(__xludf.DUMMYFUNCTION("""COMPUTED_VALUE"""),"[SKL] Site")</f>
        <v>[SKL] Site</v>
      </c>
      <c r="O9" s="5">
        <f>IFERROR(__xludf.DUMMYFUNCTION("""COMPUTED_VALUE"""),-0.3590714896041014)</f>
        <v>-0.3590714896</v>
      </c>
      <c r="P9" s="3">
        <f>IFERROR(__xludf.DUMMYFUNCTION("""COMPUTED_VALUE"""),-6303.5)</f>
        <v>-6303.5</v>
      </c>
      <c r="S9" s="4"/>
      <c r="T9" s="4"/>
      <c r="AA9" s="4" t="str">
        <f>IFERROR(__xludf.DUMMYFUNCTION("""COMPUTED_VALUE"""),"Form G4 Outros - Não Orgânico")</f>
        <v>Form G4 Outros - Não Orgânico</v>
      </c>
      <c r="AB9" s="5">
        <f>IFERROR(__xludf.DUMMYFUNCTION("""COMPUTED_VALUE"""),-0.5985089163139865)</f>
        <v>-0.5985089163</v>
      </c>
      <c r="AC9" s="3">
        <f>IFERROR(__xludf.DUMMYFUNCTION("""COMPUTED_VALUE"""),-3484.9714285714285)</f>
        <v>-3484.971429</v>
      </c>
      <c r="AD9" s="4" t="str">
        <f>IFERROR(__xludf.DUMMYFUNCTION("""COMPUTED_VALUE"""),"[SKL] Outros")</f>
        <v>[SKL] Outros</v>
      </c>
      <c r="AE9" s="5">
        <f>IFERROR(__xludf.DUMMYFUNCTION("""COMPUTED_VALUE"""),0.11559447450269511)</f>
        <v>0.1155944745</v>
      </c>
      <c r="AF9" s="3">
        <f>IFERROR(__xludf.DUMMYFUNCTION("""COMPUTED_VALUE"""),-593.4938426740387)</f>
        <v>-593.4938427</v>
      </c>
    </row>
    <row r="10">
      <c r="F10" s="4" t="str">
        <f>IFERROR(__xludf.DUMMYFUNCTION("""COMPUTED_VALUE"""),"Form G4 - K Instagram")</f>
        <v>Form G4 - K Instagram</v>
      </c>
      <c r="G10" s="5">
        <f>IFERROR(__xludf.DUMMYFUNCTION("""COMPUTED_VALUE"""),-0.49271524225870944)</f>
        <v>-0.4927152423</v>
      </c>
      <c r="H10" s="4" t="str">
        <f>IFERROR(__xludf.DUMMYFUNCTION("""COMPUTED_VALUE"""),"Form G4 Instagram Tallis")</f>
        <v>Form G4 Instagram Tallis</v>
      </c>
      <c r="I10" s="5">
        <f>IFERROR(__xludf.DUMMYFUNCTION("""COMPUTED_VALUE"""),-0.48629842180774724)</f>
        <v>-0.4862984218</v>
      </c>
      <c r="J10" s="4" t="str">
        <f>IFERROR(__xludf.DUMMYFUNCTION("""COMPUTED_VALUE"""),"[CM] Form G4 - Outros")</f>
        <v>[CM] Form G4 - Outros</v>
      </c>
      <c r="K10" s="6">
        <f>IFERROR(__xludf.DUMMYFUNCTION("""COMPUTED_VALUE"""),-4.07058823529412)</f>
        <v>-4.070588235</v>
      </c>
      <c r="L10" s="4" t="str">
        <f>IFERROR(__xludf.DUMMYFUNCTION("""COMPUTED_VALUE"""),"Form G4 - K Instagram")</f>
        <v>Form G4 - K Instagram</v>
      </c>
      <c r="M10" s="6">
        <f>IFERROR(__xludf.DUMMYFUNCTION("""COMPUTED_VALUE"""),-11.654135338345863)</f>
        <v>-11.65413534</v>
      </c>
      <c r="N10" s="9" t="str">
        <f>IFERROR(__xludf.DUMMYFUNCTION("""COMPUTED_VALUE"""),"[ON] Abandono de carrinho")</f>
        <v>[ON] Abandono de carrinho</v>
      </c>
      <c r="O10" s="5">
        <f>IFERROR(__xludf.DUMMYFUNCTION("""COMPUTED_VALUE"""),-0.34860062176509665)</f>
        <v>-0.3486006218</v>
      </c>
      <c r="P10" s="3">
        <f>IFERROR(__xludf.DUMMYFUNCTION("""COMPUTED_VALUE"""),-1061.8374938964844)</f>
        <v>-1061.837494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IFERROR(__xludf.DUMMYFUNCTION("""COMPUTED_VALUE"""),-0.4376571501822497)</f>
        <v>-0.4376571502</v>
      </c>
      <c r="AC10" s="3">
        <f>IFERROR(__xludf.DUMMYFUNCTION("""COMPUTED_VALUE"""),-3905.923076923077)</f>
        <v>-3905.923077</v>
      </c>
      <c r="AD10" s="9" t="str">
        <f>IFERROR(__xludf.DUMMYFUNCTION("""COMPUTED_VALUE"""),"[SKL] Site")</f>
        <v>[SKL] Site</v>
      </c>
      <c r="AE10" s="10">
        <f>IFERROR(__xludf.DUMMYFUNCTION("""COMPUTED_VALUE"""),0.08230937586489295)</f>
        <v>0.08230937586</v>
      </c>
      <c r="AF10" s="11">
        <f>IFERROR(__xludf.DUMMYFUNCTION("""COMPUTED_VALUE"""),-605.7114164904865)</f>
        <v>-605.7114165</v>
      </c>
    </row>
    <row r="11">
      <c r="F11" s="4" t="str">
        <f>IFERROR(__xludf.DUMMYFUNCTION("""COMPUTED_VALUE"""),"Form G4 Outros - Não Orgânico")</f>
        <v>Form G4 Outros - Não Orgânico</v>
      </c>
      <c r="G11" s="5">
        <f>IFERROR(__xludf.DUMMYFUNCTION("""COMPUTED_VALUE"""),-0.4763370841620574)</f>
        <v>-0.4763370842</v>
      </c>
      <c r="H11" s="4" t="str">
        <f>IFERROR(__xludf.DUMMYFUNCTION("""COMPUTED_VALUE"""),"Form G4 Outros - Não Orgânico")</f>
        <v>Form G4 Outros - Não Orgânico</v>
      </c>
      <c r="I11" s="5">
        <f>IFERROR(__xludf.DUMMYFUNCTION("""COMPUTED_VALUE"""),-0.4577740598501841)</f>
        <v>-0.4577740599</v>
      </c>
      <c r="J11" s="4" t="str">
        <f>IFERROR(__xludf.DUMMYFUNCTION("""COMPUTED_VALUE"""),"[IM] Chat")</f>
        <v>[IM] Chat</v>
      </c>
      <c r="K11" s="6">
        <f>IFERROR(__xludf.DUMMYFUNCTION("""COMPUTED_VALUE"""),-2.278042560735299)</f>
        <v>-2.278042561</v>
      </c>
      <c r="L11" s="4" t="str">
        <f>IFERROR(__xludf.DUMMYFUNCTION("""COMPUTED_VALUE"""),"[SKL] CRM - WhatsApp")</f>
        <v>[SKL] CRM - WhatsApp</v>
      </c>
      <c r="M11" s="6">
        <f>IFERROR(__xludf.DUMMYFUNCTION("""COMPUTED_VALUE"""),-11.047463175122749)</f>
        <v>-11.04746318</v>
      </c>
      <c r="N11" s="9" t="str">
        <f>IFERROR(__xludf.DUMMYFUNCTION("""COMPUTED_VALUE"""),"Form G4 Instagram Tallis")</f>
        <v>Form G4 Instagram Tallis</v>
      </c>
      <c r="O11" s="5">
        <f>IFERROR(__xludf.DUMMYFUNCTION("""COMPUTED_VALUE"""),-0.32810522682823945)</f>
        <v>-0.3281052268</v>
      </c>
      <c r="P11" s="3">
        <f>IFERROR(__xludf.DUMMYFUNCTION("""COMPUTED_VALUE"""),-8556.0)</f>
        <v>-8556</v>
      </c>
      <c r="AA11" s="4" t="str">
        <f>IFERROR(__xludf.DUMMYFUNCTION("""COMPUTED_VALUE"""),"[IM] Form Facebook Ads")</f>
        <v>[IM] Form Facebook Ads</v>
      </c>
      <c r="AB11" s="5">
        <f>IFERROR(__xludf.DUMMYFUNCTION("""COMPUTED_VALUE"""),-0.41210241008323534)</f>
        <v>-0.4121024101</v>
      </c>
      <c r="AC11" s="3">
        <f>IFERROR(__xludf.DUMMYFUNCTION("""COMPUTED_VALUE"""),-2535.095744680851)</f>
        <v>-2535.095745</v>
      </c>
    </row>
    <row r="12">
      <c r="F12" s="4" t="str">
        <f>IFERROR(__xludf.DUMMYFUNCTION("""COMPUTED_VALUE"""),"[ON] Chat")</f>
        <v>[ON] Chat</v>
      </c>
      <c r="G12" s="5">
        <f>IFERROR(__xludf.DUMMYFUNCTION("""COMPUTED_VALUE"""),-0.44078431372548993)</f>
        <v>-0.4407843137</v>
      </c>
      <c r="H12" s="4" t="str">
        <f>IFERROR(__xludf.DUMMYFUNCTION("""COMPUTED_VALUE"""),"Form G4 - K Outros")</f>
        <v>Form G4 - K Outros</v>
      </c>
      <c r="I12" s="5">
        <f>IFERROR(__xludf.DUMMYFUNCTION("""COMPUTED_VALUE"""),-0.38192381329636205)</f>
        <v>-0.3819238133</v>
      </c>
      <c r="J12" s="4" t="str">
        <f>IFERROR(__xludf.DUMMYFUNCTION("""COMPUTED_VALUE"""),"Form G4 Instagram G4")</f>
        <v>Form G4 Instagram G4</v>
      </c>
      <c r="K12" s="6">
        <f>IFERROR(__xludf.DUMMYFUNCTION("""COMPUTED_VALUE"""),-1.8817621866608014)</f>
        <v>-1.881762187</v>
      </c>
      <c r="L12" s="4" t="str">
        <f>IFERROR(__xludf.DUMMYFUNCTION("""COMPUTED_VALUE"""),"Form G4 Instagram Outros")</f>
        <v>Form G4 Instagram Outros</v>
      </c>
      <c r="M12" s="6">
        <f>IFERROR(__xludf.DUMMYFUNCTION("""COMPUTED_VALUE"""),-10.179487179487182)</f>
        <v>-10.17948718</v>
      </c>
      <c r="N12" s="9" t="str">
        <f>IFERROR(__xludf.DUMMYFUNCTION("""COMPUTED_VALUE"""),"[IM] Social DM")</f>
        <v>[IM] Social DM</v>
      </c>
      <c r="O12" s="5">
        <f>IFERROR(__xludf.DUMMYFUNCTION("""COMPUTED_VALUE"""),-0.30934989114816264)</f>
        <v>-0.3093498911</v>
      </c>
      <c r="P12" s="3">
        <f>IFERROR(__xludf.DUMMYFUNCTION("""COMPUTED_VALUE"""),-12243.44999186198)</f>
        <v>-12243.44999</v>
      </c>
      <c r="AA12" s="4" t="str">
        <f>IFERROR(__xludf.DUMMYFUNCTION("""COMPUTED_VALUE"""),"[IM] Social DM")</f>
        <v>[IM] Social DM</v>
      </c>
      <c r="AB12" s="5">
        <f>IFERROR(__xludf.DUMMYFUNCTION("""COMPUTED_VALUE"""),-0.3583899008703655)</f>
        <v>-0.3583899009</v>
      </c>
      <c r="AC12" s="3">
        <f>IFERROR(__xludf.DUMMYFUNCTION("""COMPUTED_VALUE"""),-6194.835553747105)</f>
        <v>-6194.835554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IFERROR(__xludf.DUMMYFUNCTION("""COMPUTED_VALUE"""),-0.3696441539578792)</f>
        <v>-0.369644154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IFERROR(__xludf.DUMMYFUNCTION("""COMPUTED_VALUE"""),-0.37086933538847616)</f>
        <v>-0.3708693354</v>
      </c>
      <c r="J13" s="4" t="str">
        <f>IFERROR(__xludf.DUMMYFUNCTION("""COMPUTED_VALUE"""),"[SKL] Midia Paga - Quente")</f>
        <v>[SKL] Midia Paga - Quente</v>
      </c>
      <c r="K13" s="6">
        <f>IFERROR(__xludf.DUMMYFUNCTION("""COMPUTED_VALUE"""),-1.8507863444572337)</f>
        <v>-1.850786344</v>
      </c>
      <c r="L13" s="4" t="str">
        <f>IFERROR(__xludf.DUMMYFUNCTION("""COMPUTED_VALUE"""),"Form G4 Outros - Não Orgânico")</f>
        <v>Form G4 Outros - Não Orgânico</v>
      </c>
      <c r="M13" s="6">
        <f>IFERROR(__xludf.DUMMYFUNCTION("""COMPUTED_VALUE"""),-10.0)</f>
        <v>-10</v>
      </c>
      <c r="N13" s="9" t="str">
        <f>IFERROR(__xludf.DUMMYFUNCTION("""COMPUTED_VALUE"""),"Form G4 Outros - Não Orgânico")</f>
        <v>Form G4 Outros - Não Orgânico</v>
      </c>
      <c r="O13" s="5">
        <f>IFERROR(__xludf.DUMMYFUNCTION("""COMPUTED_VALUE"""),-0.2564677123650438)</f>
        <v>-0.2564677124</v>
      </c>
      <c r="P13" s="3">
        <f>IFERROR(__xludf.DUMMYFUNCTION("""COMPUTED_VALUE"""),-7554.0)</f>
        <v>-7554</v>
      </c>
      <c r="AA13" s="4" t="str">
        <f>IFERROR(__xludf.DUMMYFUNCTION("""COMPUTED_VALUE"""),"Form G4 Google")</f>
        <v>Form G4 Google</v>
      </c>
      <c r="AB13" s="5">
        <f>IFERROR(__xludf.DUMMYFUNCTION("""COMPUTED_VALUE"""),-0.2989145430607143)</f>
        <v>-0.2989145431</v>
      </c>
      <c r="AC13" s="3">
        <f>IFERROR(__xludf.DUMMYFUNCTION("""COMPUTED_VALUE"""),-2234.669023794779)</f>
        <v>-2234.669024</v>
      </c>
    </row>
    <row r="14">
      <c r="F14" s="4" t="str">
        <f>IFERROR(__xludf.DUMMYFUNCTION("""COMPUTED_VALUE"""),"Form G4 Incompleto Instagram")</f>
        <v>Form G4 Incompleto Instagram</v>
      </c>
      <c r="G14" s="5">
        <f>IFERROR(__xludf.DUMMYFUNCTION("""COMPUTED_VALUE"""),-0.3226890756302518)</f>
        <v>-0.3226890756</v>
      </c>
      <c r="H14" s="4" t="str">
        <f>IFERROR(__xludf.DUMMYFUNCTION("""COMPUTED_VALUE"""),"Form G4 Incompleto Instagram")</f>
        <v>Form G4 Incompleto Instagram</v>
      </c>
      <c r="I14" s="5">
        <f>IFERROR(__xludf.DUMMYFUNCTION("""COMPUTED_VALUE"""),-0.3301320528211281)</f>
        <v>-0.3301320528</v>
      </c>
      <c r="J14" s="4" t="str">
        <f>IFERROR(__xludf.DUMMYFUNCTION("""COMPUTED_VALUE"""),"[IM] Social DM")</f>
        <v>[IM] Social DM</v>
      </c>
      <c r="K14" s="6">
        <f>IFERROR(__xludf.DUMMYFUNCTION("""COMPUTED_VALUE"""),-1.5625)</f>
        <v>-1.5625</v>
      </c>
      <c r="L14" s="4" t="str">
        <f>IFERROR(__xludf.DUMMYFUNCTION("""COMPUTED_VALUE"""),"[SKL] CRM - Email")</f>
        <v>[SKL] CRM - Email</v>
      </c>
      <c r="M14" s="6">
        <f>IFERROR(__xludf.DUMMYFUNCTION("""COMPUTED_VALUE"""),-9.666666666666666)</f>
        <v>-9.666666667</v>
      </c>
      <c r="N14" s="9" t="str">
        <f>IFERROR(__xludf.DUMMYFUNCTION("""COMPUTED_VALUE"""),"Form G4 Incompleto Instagram")</f>
        <v>Form G4 Incompleto Instagram</v>
      </c>
      <c r="O14" s="5">
        <f>IFERROR(__xludf.DUMMYFUNCTION("""COMPUTED_VALUE"""),-0.22307843137254907)</f>
        <v>-0.2230784314</v>
      </c>
      <c r="P14" s="3">
        <f>IFERROR(__xludf.DUMMYFUNCTION("""COMPUTED_VALUE"""),-3792.333333333334)</f>
        <v>-3792.333333</v>
      </c>
      <c r="AA14" s="4" t="str">
        <f>IFERROR(__xludf.DUMMYFUNCTION("""COMPUTED_VALUE"""),"Form G4 Facebook")</f>
        <v>Form G4 Facebook</v>
      </c>
      <c r="AB14" s="5">
        <f>IFERROR(__xludf.DUMMYFUNCTION("""COMPUTED_VALUE"""),-0.26208560831458827)</f>
        <v>-0.2620856083</v>
      </c>
      <c r="AC14" s="3">
        <f>IFERROR(__xludf.DUMMYFUNCTION("""COMPUTED_VALUE"""),-1528.2269230769225)</f>
        <v>-1528.226923</v>
      </c>
    </row>
    <row r="15">
      <c r="F15" s="4" t="str">
        <f>IFERROR(__xludf.DUMMYFUNCTION("""COMPUTED_VALUE"""),"Form G4 Incompleto Outros")</f>
        <v>Form G4 Incompleto Outros</v>
      </c>
      <c r="G15" s="5">
        <f>IFERROR(__xludf.DUMMYFUNCTION("""COMPUTED_VALUE"""),-0.32008403361344506)</f>
        <v>-0.3200840336</v>
      </c>
      <c r="H15" s="4" t="str">
        <f>IFERROR(__xludf.DUMMYFUNCTION("""COMPUTED_VALUE"""),"Form G4 Incompleto Outros")</f>
        <v>Form G4 Incompleto Outros</v>
      </c>
      <c r="I15" s="5">
        <f>IFERROR(__xludf.DUMMYFUNCTION("""COMPUTED_VALUE"""),-0.28462298740634434)</f>
        <v>-0.2846229874</v>
      </c>
      <c r="J15" s="4"/>
      <c r="K15" s="4"/>
      <c r="L15" s="9" t="str">
        <f>IFERROR(__xludf.DUMMYFUNCTION("""COMPUTED_VALUE"""),"[IM] Form Facebook Ads")</f>
        <v>[IM] Form Facebook Ads</v>
      </c>
      <c r="M15" s="6">
        <f>IFERROR(__xludf.DUMMYFUNCTION("""COMPUTED_VALUE"""),-9.617021276595745)</f>
        <v>-9.617021277</v>
      </c>
      <c r="N15" s="9" t="str">
        <f>IFERROR(__xludf.DUMMYFUNCTION("""COMPUTED_VALUE"""),"Form G4 Instagram Outros")</f>
        <v>Form G4 Instagram Outros</v>
      </c>
      <c r="O15" s="5">
        <f>IFERROR(__xludf.DUMMYFUNCTION("""COMPUTED_VALUE"""),-0.22154000000000001)</f>
        <v>-0.22154</v>
      </c>
      <c r="P15" s="3">
        <f>IFERROR(__xludf.DUMMYFUNCTION("""COMPUTED_VALUE"""),-6646.200000000001)</f>
        <v>-6646.2</v>
      </c>
      <c r="AA15" s="4" t="str">
        <f>IFERROR(__xludf.DUMMYFUNCTION("""COMPUTED_VALUE"""),"Form G4 Incompleto Instagram")</f>
        <v>Form G4 Incompleto Instagram</v>
      </c>
      <c r="AB15" s="5">
        <f>IFERROR(__xludf.DUMMYFUNCTION("""COMPUTED_VALUE"""),-0.25966959800497236)</f>
        <v>-0.259669598</v>
      </c>
      <c r="AC15" s="3">
        <f>IFERROR(__xludf.DUMMYFUNCTION("""COMPUTED_VALUE"""),-874.6176470588234)</f>
        <v>-874.6176471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IFERROR(__xludf.DUMMYFUNCTION("""COMPUTED_VALUE"""),-0.3189905591866373)</f>
        <v>-0.3189905592</v>
      </c>
      <c r="H16" s="4" t="str">
        <f>IFERROR(__xludf.DUMMYFUNCTION("""COMPUTED_VALUE"""),"[SKL] Site")</f>
        <v>[SKL] Site</v>
      </c>
      <c r="I16" s="5">
        <f>IFERROR(__xludf.DUMMYFUNCTION("""COMPUTED_VALUE"""),-0.2591111428503412)</f>
        <v>-0.2591111429</v>
      </c>
      <c r="J16" s="4"/>
      <c r="K16" s="4"/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N16" s="9" t="str">
        <f>IFERROR(__xludf.DUMMYFUNCTION("""COMPUTED_VALUE"""),"[SKL] CRM - WhatsApp")</f>
        <v>[SKL] CRM - WhatsApp</v>
      </c>
      <c r="O16" s="5">
        <f>IFERROR(__xludf.DUMMYFUNCTION("""COMPUTED_VALUE"""),-0.026180227224613647)</f>
        <v>-0.02618022722</v>
      </c>
      <c r="P16" s="3">
        <f>IFERROR(__xludf.DUMMYFUNCTION("""COMPUTED_VALUE"""),-371.0)</f>
        <v>-371</v>
      </c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IFERROR(__xludf.DUMMYFUNCTION("""COMPUTED_VALUE"""),"[SKL] Site")</f>
        <v>[SKL] Site</v>
      </c>
      <c r="G17" s="5">
        <f>IFERROR(__xludf.DUMMYFUNCTION("""COMPUTED_VALUE"""),-0.24092316352378232)</f>
        <v>-0.2409231635</v>
      </c>
      <c r="H17" s="4" t="str">
        <f>IFERROR(__xludf.DUMMYFUNCTION("""COMPUTED_VALUE"""),"Form G4 Google")</f>
        <v>Form G4 Google</v>
      </c>
      <c r="I17" s="5">
        <f>IFERROR(__xludf.DUMMYFUNCTION("""COMPUTED_VALUE"""),-0.2358846637738462)</f>
        <v>-0.2358846638</v>
      </c>
      <c r="J17" s="4"/>
      <c r="K17" s="4"/>
      <c r="L17" s="9" t="str">
        <f>IFERROR(__xludf.DUMMYFUNCTION("""COMPUTED_VALUE"""),"Form G4 Instagram G4")</f>
        <v>Form G4 Instagram G4</v>
      </c>
      <c r="M17" s="6">
        <f>IFERROR(__xludf.DUMMYFUNCTION("""COMPUTED_VALUE"""),-7.839572192513368)</f>
        <v>-7.839572193</v>
      </c>
      <c r="N17" s="9" t="str">
        <f>IFERROR(__xludf.DUMMYFUNCTION("""COMPUTED_VALUE"""),"[IM] Time de vendas")</f>
        <v>[IM] Time de vendas</v>
      </c>
      <c r="O17" s="5">
        <f>IFERROR(__xludf.DUMMYFUNCTION("""COMPUTED_VALUE"""),-0.011730087794674302)</f>
        <v>-0.01173008779</v>
      </c>
      <c r="P17" s="3">
        <f>IFERROR(__xludf.DUMMYFUNCTION("""COMPUTED_VALUE"""),-377.2712636611868)</f>
        <v>-377.2712637</v>
      </c>
      <c r="AA17" s="4" t="str">
        <f>IFERROR(__xludf.DUMMYFUNCTION("""COMPUTED_VALUE"""),"[SKL] CRM - Email")</f>
        <v>[SKL] CRM - Email</v>
      </c>
      <c r="AB17" s="5">
        <f>IFERROR(__xludf.DUMMYFUNCTION("""COMPUTED_VALUE"""),-0.12228023611015781)</f>
        <v>-0.1222802361</v>
      </c>
      <c r="AC17" s="3">
        <f>IFERROR(__xludf.DUMMYFUNCTION("""COMPUTED_VALUE"""),-869.5999999999995)</f>
        <v>-869.6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IFERROR(__xludf.DUMMYFUNCTION("""COMPUTED_VALUE"""),-0.21399594320486773)</f>
        <v>-0.2139959432</v>
      </c>
      <c r="H18" s="4" t="str">
        <f>IFERROR(__xludf.DUMMYFUNCTION("""COMPUTED_VALUE"""),"[SKL] CRM - WhatsApp")</f>
        <v>[SKL] CRM - WhatsApp</v>
      </c>
      <c r="I18" s="5">
        <f>IFERROR(__xludf.DUMMYFUNCTION("""COMPUTED_VALUE"""),-0.2141456582633049)</f>
        <v>-0.2141456583</v>
      </c>
      <c r="J18" s="4"/>
      <c r="K18" s="4"/>
      <c r="L18" s="9" t="str">
        <f>IFERROR(__xludf.DUMMYFUNCTION("""COMPUTED_VALUE"""),"Form G4 Incompleto Outros")</f>
        <v>Form G4 Incompleto Outros</v>
      </c>
      <c r="M18" s="6">
        <f>IFERROR(__xludf.DUMMYFUNCTION("""COMPUTED_VALUE"""),-7.55775577557756)</f>
        <v>-7.557755776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IFERROR(__xludf.DUMMYFUNCTION("""COMPUTED_VALUE"""),-0.09144678135156048)</f>
        <v>-0.09144678135</v>
      </c>
      <c r="AC18" s="3">
        <f>IFERROR(__xludf.DUMMYFUNCTION("""COMPUTED_VALUE"""),-1506.5935828877004)</f>
        <v>-1506.593583</v>
      </c>
    </row>
    <row r="19">
      <c r="F19" s="4" t="str">
        <f>IFERROR(__xludf.DUMMYFUNCTION("""COMPUTED_VALUE"""),"[SKL] CRM - WhatsApp")</f>
        <v>[SKL] CRM - WhatsApp</v>
      </c>
      <c r="G19" s="5">
        <f>IFERROR(__xludf.DUMMYFUNCTION("""COMPUTED_VALUE"""),-0.19627137447845014)</f>
        <v>-0.1962713745</v>
      </c>
      <c r="H19" s="4" t="str">
        <f>IFERROR(__xludf.DUMMYFUNCTION("""COMPUTED_VALUE"""),"[IM] Form Facebook Ads")</f>
        <v>[IM] Form Facebook Ads</v>
      </c>
      <c r="I19" s="5">
        <f>IFERROR(__xludf.DUMMYFUNCTION("""COMPUTED_VALUE"""),-0.1789344009855247)</f>
        <v>-0.178934401</v>
      </c>
      <c r="J19" s="4"/>
      <c r="K19" s="4"/>
      <c r="L19" s="9" t="str">
        <f>IFERROR(__xludf.DUMMYFUNCTION("""COMPUTED_VALUE"""),"Form G4 Outros - Orgânico")</f>
        <v>Form G4 Outros - Orgânico</v>
      </c>
      <c r="M19" s="6">
        <f>IFERROR(__xludf.DUMMYFUNCTION("""COMPUTED_VALUE"""),-7.085416213866552)</f>
        <v>-7.085416214</v>
      </c>
      <c r="O19" s="4"/>
      <c r="P19" s="4"/>
      <c r="AA19" s="4"/>
      <c r="AB19" s="4"/>
      <c r="AC19" s="4"/>
    </row>
    <row r="20">
      <c r="F20" s="4" t="str">
        <f>IFERROR(__xludf.DUMMYFUNCTION("""COMPUTED_VALUE"""),"Form G4 Outros - Orgânico")</f>
        <v>Form G4 Outros - Orgânico</v>
      </c>
      <c r="G20" s="5">
        <f>IFERROR(__xludf.DUMMYFUNCTION("""COMPUTED_VALUE"""),-0.176531189398836)</f>
        <v>-0.1765311894</v>
      </c>
      <c r="H20" s="4" t="str">
        <f>IFERROR(__xludf.DUMMYFUNCTION("""COMPUTED_VALUE"""),"[ON] Chat")</f>
        <v>[ON] Chat</v>
      </c>
      <c r="I20" s="5">
        <f>IFERROR(__xludf.DUMMYFUNCTION("""COMPUTED_VALUE"""),-0.173823969049503)</f>
        <v>-0.173823969</v>
      </c>
      <c r="J20" s="4"/>
      <c r="K20" s="4"/>
      <c r="L20" s="9" t="str">
        <f>IFERROR(__xludf.DUMMYFUNCTION("""COMPUTED_VALUE"""),"Form G4 Facebook")</f>
        <v>Form G4 Facebook</v>
      </c>
      <c r="M20" s="6">
        <f>IFERROR(__xludf.DUMMYFUNCTION("""COMPUTED_VALUE"""),-7.05128205128205)</f>
        <v>-7.051282051</v>
      </c>
      <c r="O20" s="4"/>
      <c r="P20" s="4"/>
      <c r="AA20" s="4"/>
      <c r="AB20" s="4"/>
      <c r="AC20" s="4"/>
    </row>
    <row r="21">
      <c r="F21" s="4" t="str">
        <f>IFERROR(__xludf.DUMMYFUNCTION("""COMPUTED_VALUE"""),"[SKL] Midia Paga - Quente")</f>
        <v>[SKL] Midia Paga - Quente</v>
      </c>
      <c r="G21" s="5">
        <f>IFERROR(__xludf.DUMMYFUNCTION("""COMPUTED_VALUE"""),-0.16244870041039633)</f>
        <v>-0.1624487004</v>
      </c>
      <c r="H21" s="4" t="str">
        <f>IFERROR(__xludf.DUMMYFUNCTION("""COMPUTED_VALUE"""),"[SKL] Midia Paga - Quente")</f>
        <v>[SKL] Midia Paga - Quente</v>
      </c>
      <c r="I21" s="5">
        <f>IFERROR(__xludf.DUMMYFUNCTION("""COMPUTED_VALUE"""),-0.16244870041039625)</f>
        <v>-0.1624487004</v>
      </c>
      <c r="J21" s="4"/>
      <c r="K21" s="4"/>
      <c r="L21" s="9" t="str">
        <f>IFERROR(__xludf.DUMMYFUNCTION("""COMPUTED_VALUE"""),"[IM] Form G4 Facebook Ads - K")</f>
        <v>[IM] Form G4 Facebook Ads - K</v>
      </c>
      <c r="M21" s="6">
        <f>IFERROR(__xludf.DUMMYFUNCTION("""COMPUTED_VALUE"""),-5.444646098003629)</f>
        <v>-5.444646098</v>
      </c>
      <c r="O21" s="4"/>
      <c r="P21" s="4"/>
      <c r="AA21" s="4"/>
      <c r="AB21" s="4"/>
      <c r="AC21" s="4"/>
    </row>
    <row r="22">
      <c r="F22" s="4" t="str">
        <f>IFERROR(__xludf.DUMMYFUNCTION("""COMPUTED_VALUE"""),"[IM] Form Facebook Ads")</f>
        <v>[IM] Form Facebook Ads</v>
      </c>
      <c r="G22" s="5">
        <f>IFERROR(__xludf.DUMMYFUNCTION("""COMPUTED_VALUE"""),-0.08155220203264499)</f>
        <v>-0.08155220203</v>
      </c>
      <c r="H22" s="4" t="str">
        <f>IFERROR(__xludf.DUMMYFUNCTION("""COMPUTED_VALUE"""),"Form G4 Instagram G4")</f>
        <v>Form G4 Instagram G4</v>
      </c>
      <c r="I22" s="5">
        <f>IFERROR(__xludf.DUMMYFUNCTION("""COMPUTED_VALUE"""),-0.11265756302520967)</f>
        <v>-0.112657563</v>
      </c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 t="str">
        <f>IFERROR(__xludf.DUMMYFUNCTION("""COMPUTED_VALUE"""),"Form G4 Instagram G4")</f>
        <v>Form G4 Instagram G4</v>
      </c>
      <c r="G23" s="5">
        <f>IFERROR(__xludf.DUMMYFUNCTION("""COMPUTED_VALUE"""),-0.0765126050420164)</f>
        <v>-0.07651260504</v>
      </c>
      <c r="H23" s="4" t="str">
        <f>IFERROR(__xludf.DUMMYFUNCTION("""COMPUTED_VALUE"""),"Form G4 Outros - Orgânico")</f>
        <v>Form G4 Outros - Orgânico</v>
      </c>
      <c r="I23" s="5">
        <f>IFERROR(__xludf.DUMMYFUNCTION("""COMPUTED_VALUE"""),-0.11191749427043485)</f>
        <v>-0.1119174943</v>
      </c>
      <c r="J23" s="4"/>
      <c r="K23" s="4"/>
      <c r="L23" s="9" t="str">
        <f>IFERROR(__xludf.DUMMYFUNCTION("""COMPUTED_VALUE"""),"Aplicativo G4 - Indicação")</f>
        <v>Aplicativo G4 - Indicação</v>
      </c>
      <c r="M23" s="6">
        <f>IFERROR(__xludf.DUMMYFUNCTION("""COMPUTED_VALUE"""),-4.2735042735042725)</f>
        <v>-4.273504274</v>
      </c>
      <c r="O23" s="4"/>
      <c r="P23" s="4"/>
      <c r="AA23" s="4"/>
      <c r="AB23" s="4"/>
    </row>
    <row r="24">
      <c r="F24" s="4"/>
      <c r="G24" s="4"/>
      <c r="H24" s="4" t="str">
        <f>IFERROR(__xludf.DUMMYFUNCTION("""COMPUTED_VALUE"""),"[IM] Chat")</f>
        <v>[IM] Chat</v>
      </c>
      <c r="I24" s="5">
        <f>IFERROR(__xludf.DUMMYFUNCTION("""COMPUTED_VALUE"""),-0.07261375519644718)</f>
        <v>-0.0726137552</v>
      </c>
      <c r="J24" s="4"/>
      <c r="K24" s="4"/>
      <c r="L24" s="9" t="str">
        <f>IFERROR(__xludf.DUMMYFUNCTION("""COMPUTED_VALUE"""),"[SKL] Outros")</f>
        <v>[SKL] Outros</v>
      </c>
      <c r="M24" s="6">
        <f>IFERROR(__xludf.DUMMYFUNCTION("""COMPUTED_VALUE"""),-3.995978889168134)</f>
        <v>-3.995978889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IFERROR(__xludf.DUMMYFUNCTION("""COMPUTED_VALUE"""),"[IM] Chat")</f>
        <v>[IM] Chat</v>
      </c>
      <c r="M25" s="6">
        <f>IFERROR(__xludf.DUMMYFUNCTION("""COMPUTED_VALUE"""),-3.5913806863527546)</f>
        <v>-3.591380686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G4 - K Outros")</f>
        <v>Form G4 - K Outros</v>
      </c>
      <c r="M26" s="6">
        <f>IFERROR(__xludf.DUMMYFUNCTION("""COMPUTED_VALUE"""),-3.371428571428571)</f>
        <v>-3.371428571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Incompleto Instagram")</f>
        <v>Form G4 Incompleto Instagram</v>
      </c>
      <c r="M27" s="6">
        <f>IFERROR(__xludf.DUMMYFUNCTION("""COMPUTED_VALUE"""),-3.176470588235293)</f>
        <v>-3.176470588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Comercial!AE1"")"),1711724.7851892104)</f>
        <v>1711724.785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Comercial!AF4"")"),584511.3000488281)</f>
        <v>584511.3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Comercial!AE4"")"),633338.1705200078)</f>
        <v>633338.1705</v>
      </c>
    </row>
    <row r="5">
      <c r="A5" s="1" t="s">
        <v>36</v>
      </c>
      <c r="B5" s="1" t="s">
        <v>2</v>
      </c>
      <c r="C5" s="3">
        <f>C3-C4</f>
        <v>-48826.87047</v>
      </c>
    </row>
    <row r="6">
      <c r="A6" s="1" t="s">
        <v>36</v>
      </c>
      <c r="B6" s="1" t="s">
        <v>39</v>
      </c>
      <c r="C6" s="5">
        <f>C3/C2</f>
        <v>0.3414750462</v>
      </c>
    </row>
    <row r="7">
      <c r="A7" s="1" t="s">
        <v>36</v>
      </c>
      <c r="B7" s="1" t="s">
        <v>40</v>
      </c>
      <c r="C7" s="5">
        <f>C3/C4</f>
        <v>0.9229055302</v>
      </c>
    </row>
    <row r="8">
      <c r="A8" s="1" t="s">
        <v>36</v>
      </c>
      <c r="B8" s="1" t="s">
        <v>41</v>
      </c>
      <c r="C8" s="5">
        <f>C9-C6</f>
        <v>0.02852495383</v>
      </c>
    </row>
    <row r="9">
      <c r="A9" s="1" t="s">
        <v>36</v>
      </c>
      <c r="B9" s="1" t="s">
        <v>42</v>
      </c>
      <c r="C9" s="7">
        <f>C4/C2</f>
        <v>0.37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5584511.3</v>
      </c>
    </row>
    <row r="12">
      <c r="A12" s="1" t="s">
        <v>36</v>
      </c>
      <c r="B12" s="1" t="s">
        <v>45</v>
      </c>
      <c r="C12" s="12">
        <f>C2-C11</f>
        <v>-3872786.515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0.2631578947368421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Matheus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)"),"Form G4 - K Instagram")</f>
        <v>Form G4 - K Instagram</v>
      </c>
      <c r="B2" s="12">
        <f>IFERROR(__xludf.DUMMYFUNCTION("""COMPUTED_VALUE"""),-50392.91924792621)</f>
        <v>-50392.91925</v>
      </c>
      <c r="C2" s="7">
        <f t="shared" ref="C2:C1000" si="1">IF(B2="","",B2/SUM($B$2:$B$1000))</f>
        <v>0.4864852127</v>
      </c>
      <c r="D2" s="7">
        <f>IF(B2="","",C2)</f>
        <v>0.4864852127</v>
      </c>
      <c r="E2" s="3">
        <f t="array" ref="E2">XLOOKUP(A2,'Dados Funil'!$A:$A,'Dados Funil'!$K:$K,"")</f>
        <v>-200.0903226</v>
      </c>
      <c r="F2" s="5">
        <f t="array" ref="F2">XLOOKUP(A2,'Dados Funil'!$A:$A,'Dados Funil'!$L:$L,"")</f>
        <v>-0.4202780714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)"),"[ON] Outros")</f>
        <v>[ON] Outros</v>
      </c>
      <c r="H2" s="12">
        <f>IFERROR(__xludf.DUMMYFUNCTION("""COMPUTED_VALUE"""),-76174.37507946599)</f>
        <v>-76174.37508</v>
      </c>
      <c r="I2" s="7">
        <f t="shared" ref="I2:I1000" si="2">IF(H2="","",H2/SUM($H$2:$H$1000))</f>
        <v>0.7699481098</v>
      </c>
      <c r="J2" s="7">
        <f>IF(H2="","",I2)</f>
        <v>0.7699481098</v>
      </c>
      <c r="K2" s="6">
        <f t="array" ref="K2">XLOOKUP(G2,'Dados Funil'!A:A,'Dados Funil'!O:O,"")</f>
        <v>-13.34896811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G4 - K Instagram")</f>
        <v>Form G4 - K Instagram</v>
      </c>
      <c r="M2" s="12">
        <f>IFERROR(__xludf.DUMMYFUNCTION("""COMPUTED_VALUE"""),-54442.57142857142)</f>
        <v>-54442.57143</v>
      </c>
      <c r="N2" s="7">
        <f t="shared" ref="N2:N1000" si="3">IF(M2="","",M2/SUM($M$2:$M$1000))</f>
        <v>0.3819760868</v>
      </c>
      <c r="O2" s="7">
        <f>IF(M2="","",N2)</f>
        <v>0.3819760868</v>
      </c>
      <c r="P2" s="12">
        <f t="array" ref="P2">XLOOKUP(L2,'Dados Funil'!A:A,'Dados Funil'!AM:AM,"")</f>
        <v>-756.1468254</v>
      </c>
      <c r="Q2" s="5">
        <f t="array" ref="Q2">XLOOKUP(L2,'Dados Funil'!A:A,'Dados Funil'!AN:AN,"")</f>
        <v>-0.702552134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)"),"[ON] Outros")</f>
        <v>[ON] Outros</v>
      </c>
      <c r="S2" s="12">
        <f>IFERROR(__xludf.DUMMYFUNCTION("""COMPUTED_VALUE"""),29445.75700428608)</f>
        <v>29445.757</v>
      </c>
      <c r="T2" s="7">
        <f t="shared" ref="T2:T1000" si="4">IF(S2="","",S2/SUM($S$2:$S$1000))</f>
        <v>0.5758877233</v>
      </c>
      <c r="U2" s="7">
        <f>IF(S2="","",T2)</f>
        <v>0.5758877233</v>
      </c>
      <c r="V2" s="3">
        <f t="array" ref="V2">XLOOKUP(R2,'Dados Funil'!$A:$A,'Dados Funil'!$K:$K,"")</f>
        <v>50.00645161</v>
      </c>
      <c r="W2" s="5">
        <f t="array" ref="W2">XLOOKUP(R2,'Dados Funil'!$A:$A,'Dados Funil'!$L:$L,"")</f>
        <v>0.3226356976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)"),"Form G4 - K Instagram")</f>
        <v>Form G4 - K Instagram</v>
      </c>
      <c r="Y2" s="12">
        <f>IFERROR(__xludf.DUMMYFUNCTION("""COMPUTED_VALUE"""),7981.73485714285)</f>
        <v>7981.734857</v>
      </c>
      <c r="Z2" s="7">
        <f t="shared" ref="Z2:Z1000" si="5">IF(Y2="","",Y2/SUM($Y$2:$Y$1000))</f>
        <v>0.6764827701</v>
      </c>
      <c r="AA2" s="7">
        <f>IF(Y2="","",Z2)</f>
        <v>0.6764827701</v>
      </c>
      <c r="AB2" s="6">
        <f t="array" ref="AB2">XLOOKUP(X2,'Dados Funil'!A:A,'Dados Funil'!O:O,"")</f>
        <v>2.686956522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)"),"Form G4 - K Outros")</f>
        <v>Form G4 - K Outros</v>
      </c>
      <c r="AD2" s="12">
        <f>IFERROR(__xludf.DUMMYFUNCTION("""COMPUTED_VALUE"""),18523.52000000001)</f>
        <v>18523.52</v>
      </c>
      <c r="AE2" s="7">
        <f t="shared" ref="AE2:AE1000" si="6">IF(AD2="","",AD2/SUM($AD$2:$AD$1000))</f>
        <v>1</v>
      </c>
      <c r="AF2" s="7">
        <f>IF(AD2="","",AE2)</f>
        <v>1</v>
      </c>
      <c r="AG2" s="12">
        <f t="array" ref="AG2">XLOOKUP(AC2,'Dados Funil'!A:A,'Dados Funil'!AM:AM,"")</f>
        <v>578.86</v>
      </c>
      <c r="AH2" s="5">
        <f t="array" ref="AH2">XLOOKUP(AC2,'Dados Funil'!A:A,'Dados Funil'!AN:AN,"")</f>
        <v>0.3619820654</v>
      </c>
      <c r="AI2" s="9" t="str">
        <f>IFERROR(__xludf.DUMMYFUNCTION("QUERY('Dados Funil'!A2:AP100,""SELECT Col1, Col9, Col13, Col37 WHERE Col9 &gt; 0"")"),"Form G4 - K Instagram")</f>
        <v>Form G4 - K Instagram</v>
      </c>
      <c r="AJ2" s="11">
        <f>IFERROR(__xludf.DUMMYFUNCTION("""COMPUTED_VALUE"""),476.09032258064497)</f>
        <v>476.0903226</v>
      </c>
      <c r="AK2" s="10">
        <f>IFERROR(__xludf.DUMMYFUNCTION("""COMPUTED_VALUE"""),0.234)</f>
        <v>0.234</v>
      </c>
      <c r="AL2" s="9">
        <f>IFERROR(__xludf.DUMMYFUNCTION("""COMPUTED_VALUE"""),1076.2857142857142)</f>
        <v>1076.285714</v>
      </c>
      <c r="AM2" s="9">
        <f t="shared" ref="AM2:AM35" si="7">AJ2*AK2*AL2</f>
        <v>119903.7558</v>
      </c>
      <c r="AN2" s="9" t="str">
        <f>IFERROR(__xludf.DUMMYFUNCTION("QUERY('Dados Funil'!A2:AZ100,""SELECT Col1, Col10, Col14, Col38 WHERE Col9 &gt; 0"")"),"Form G4 - K Instagram")</f>
        <v>Form G4 - K Instagram</v>
      </c>
      <c r="AO2" s="11">
        <f>IFERROR(__xludf.DUMMYFUNCTION("""COMPUTED_VALUE"""),276.0)</f>
        <v>276</v>
      </c>
      <c r="AP2" s="10">
        <f>IFERROR(__xludf.DUMMYFUNCTION("""COMPUTED_VALUE"""),0.2608695652173913)</f>
        <v>0.2608695652</v>
      </c>
      <c r="AQ2" s="14">
        <f>IFERROR(__xludf.DUMMYFUNCTION("""COMPUTED_VALUE"""),320.1388888888889)</f>
        <v>320.1388889</v>
      </c>
      <c r="AR2" s="9">
        <f t="shared" ref="AR2:AR35" si="8">AO2*AP2*AQ2</f>
        <v>23050</v>
      </c>
    </row>
    <row r="3">
      <c r="A3" s="4" t="str">
        <f>IFERROR(__xludf.DUMMYFUNCTION("""COMPUTED_VALUE"""),"Form G4 Incompleto Instagram")</f>
        <v>Form G4 Incompleto Instagram</v>
      </c>
      <c r="B3" s="12">
        <f>IFERROR(__xludf.DUMMYFUNCTION("""COMPUTED_VALUE"""),-21771.406451612856)</f>
        <v>-21771.40645</v>
      </c>
      <c r="C3" s="7">
        <f t="shared" si="1"/>
        <v>0.2101776888</v>
      </c>
      <c r="D3" s="7">
        <f t="shared" ref="D3:D1000" si="9">IF(B3="","",C3+D2)</f>
        <v>0.6966629015</v>
      </c>
      <c r="E3" s="3">
        <f t="array" ref="E3">XLOOKUP(A3,'Dados Funil'!$A:$A,'Dados Funil'!$K:$K,"")</f>
        <v>-59.29032258</v>
      </c>
      <c r="F3" s="5">
        <f t="array" ref="F3">XLOOKUP(A3,'Dados Funil'!$A:$A,'Dados Funil'!$L:$L,"")</f>
        <v>-0.2679300292</v>
      </c>
      <c r="G3" s="4" t="str">
        <f>IFERROR(__xludf.DUMMYFUNCTION("""COMPUTED_VALUE"""),"[IM] Form G4 Facebook Ads - K")</f>
        <v>[IM] Form G4 Facebook Ads - K</v>
      </c>
      <c r="H3" s="12">
        <f>IFERROR(__xludf.DUMMYFUNCTION("""COMPUTED_VALUE"""),-12342.704747864429)</f>
        <v>-12342.70475</v>
      </c>
      <c r="I3" s="7">
        <f t="shared" si="2"/>
        <v>0.1247564182</v>
      </c>
      <c r="J3" s="7">
        <f t="shared" ref="J3:J1000" si="10">IF(H3="","",I3+J2)</f>
        <v>0.894704528</v>
      </c>
      <c r="K3" s="6">
        <f t="array" ref="K3">XLOOKUP(G3,'Dados Funil'!A:A,'Dados Funil'!O:O,"")</f>
        <v>-4.823750174</v>
      </c>
      <c r="L3" s="4" t="str">
        <f>IFERROR(__xludf.DUMMYFUNCTION("""COMPUTED_VALUE"""),"[IM] Form G4 Facebook Ads - K")</f>
        <v>[IM] Form G4 Facebook Ads - K</v>
      </c>
      <c r="M3" s="12">
        <f>IFERROR(__xludf.DUMMYFUNCTION("""COMPUTED_VALUE"""),-48615.21052631578)</f>
        <v>-48615.21053</v>
      </c>
      <c r="N3" s="7">
        <f t="shared" si="3"/>
        <v>0.3410905728</v>
      </c>
      <c r="O3" s="7">
        <f t="shared" ref="O3:O1000" si="11">IF(N3="","",N3+O2)</f>
        <v>0.7230666596</v>
      </c>
      <c r="P3" s="12">
        <f t="array" ref="P3">XLOOKUP(L3,'Dados Funil'!A:A,'Dados Funil'!AM:AM,"")</f>
        <v>-1944.608421</v>
      </c>
      <c r="Q3" s="5">
        <f t="array" ref="Q3">XLOOKUP(L3,'Dados Funil'!A:A,'Dados Funil'!AN:AN,"")</f>
        <v>-0.8587862306</v>
      </c>
      <c r="R3" s="4" t="str">
        <f>IFERROR(__xludf.DUMMYFUNCTION("""COMPUTED_VALUE"""),"[IM] Form G4 Facebook Ads - K")</f>
        <v>[IM] Form G4 Facebook Ads - K</v>
      </c>
      <c r="S3" s="12">
        <f>IFERROR(__xludf.DUMMYFUNCTION("""COMPUTED_VALUE"""),21581.181817473956)</f>
        <v>21581.18182</v>
      </c>
      <c r="T3" s="7">
        <f t="shared" si="4"/>
        <v>0.4220756716</v>
      </c>
      <c r="U3" s="7">
        <f t="shared" ref="U3:U1000" si="12">IF(S3="","",T3+U2)</f>
        <v>0.9979633948</v>
      </c>
      <c r="V3" s="3">
        <f t="array" ref="V3">XLOOKUP(R3,'Dados Funil'!$A:$A,'Dados Funil'!$K:$K,"")</f>
        <v>35.36774194</v>
      </c>
      <c r="W3" s="5">
        <f t="array" ref="W3">XLOOKUP(R3,'Dados Funil'!$A:$A,'Dados Funil'!$L:$L,"")</f>
        <v>0.455580487</v>
      </c>
      <c r="X3" s="4" t="str">
        <f>IFERROR(__xludf.DUMMYFUNCTION("""COMPUTED_VALUE"""),"[ON] Chat")</f>
        <v>[ON] Chat</v>
      </c>
      <c r="Y3" s="12">
        <f>IFERROR(__xludf.DUMMYFUNCTION("""COMPUTED_VALUE"""),2267.5723199999993)</f>
        <v>2267.57232</v>
      </c>
      <c r="Z3" s="7">
        <f t="shared" si="5"/>
        <v>0.1921854875</v>
      </c>
      <c r="AA3" s="7">
        <f t="shared" ref="AA3:AA1000" si="13">IF(Y3="","",Z3+AA2)</f>
        <v>0.8686682575</v>
      </c>
      <c r="AB3" s="6">
        <f t="array" ref="AB3">XLOOKUP(X3,'Dados Funil'!A:A,'Dados Funil'!O:O,"")</f>
        <v>4.471428571</v>
      </c>
      <c r="AC3" s="4"/>
      <c r="AD3" s="4"/>
      <c r="AE3" s="7" t="str">
        <f t="shared" si="6"/>
        <v/>
      </c>
      <c r="AF3" s="4" t="str">
        <f t="shared" ref="AF3:AF11" si="14">IF(AE3="","",AE3+AF2)</f>
        <v/>
      </c>
      <c r="AG3" s="4" t="str">
        <f t="array" ref="AG3">XLOOKUP(AC3,'Dados Funil'!A:A,'Dados Funil'!AM:AM,"")</f>
        <v/>
      </c>
      <c r="AH3" s="4" t="str">
        <f t="array" ref="AH3">XLOOKUP(AC3,'Dados Funil'!A:A,'Dados Funil'!AN:AN,"")</f>
        <v/>
      </c>
      <c r="AI3" s="9" t="str">
        <f>IFERROR(__xludf.DUMMYFUNCTION("""COMPUTED_VALUE"""),"[ON] Outros")</f>
        <v>[ON] Outros</v>
      </c>
      <c r="AJ3" s="11">
        <f>IFERROR(__xludf.DUMMYFUNCTION("""COMPUTED_VALUE"""),154.9935483870967)</f>
        <v>154.9935484</v>
      </c>
      <c r="AK3" s="10">
        <f>IFERROR(__xludf.DUMMYFUNCTION("""COMPUTED_VALUE"""),0.21153846153846154)</f>
        <v>0.2115384615</v>
      </c>
      <c r="AL3" s="9">
        <f>IFERROR(__xludf.DUMMYFUNCTION("""COMPUTED_VALUE"""),2783.6033057851237)</f>
        <v>2783.603306</v>
      </c>
      <c r="AM3" s="9">
        <f t="shared" si="7"/>
        <v>91266.27097</v>
      </c>
      <c r="AN3" s="9" t="str">
        <f>IFERROR(__xludf.DUMMYFUNCTION("""COMPUTED_VALUE"""),"[ON] Outros")</f>
        <v>[ON] Outros</v>
      </c>
      <c r="AO3" s="11">
        <f>IFERROR(__xludf.DUMMYFUNCTION("""COMPUTED_VALUE"""),205.0)</f>
        <v>205</v>
      </c>
      <c r="AP3" s="10">
        <f>IFERROR(__xludf.DUMMYFUNCTION("""COMPUTED_VALUE"""),0.07804878048780488)</f>
        <v>0.07804878049</v>
      </c>
      <c r="AQ3" s="14">
        <f>IFERROR(__xludf.DUMMYFUNCTION("""COMPUTED_VALUE"""),2740.9375)</f>
        <v>2740.9375</v>
      </c>
      <c r="AR3" s="9">
        <f t="shared" si="8"/>
        <v>43855</v>
      </c>
    </row>
    <row r="4">
      <c r="A4" s="4" t="str">
        <f>IFERROR(__xludf.DUMMYFUNCTION("""COMPUTED_VALUE"""),"Form G4 - K Outros")</f>
        <v>Form G4 - K Outros</v>
      </c>
      <c r="B4" s="12">
        <f>IFERROR(__xludf.DUMMYFUNCTION("""COMPUTED_VALUE"""),-20193.939919999968)</f>
        <v>-20193.93992</v>
      </c>
      <c r="C4" s="7">
        <f t="shared" si="1"/>
        <v>0.1949490783</v>
      </c>
      <c r="D4" s="7">
        <f t="shared" si="9"/>
        <v>0.8916119798</v>
      </c>
      <c r="E4" s="3">
        <f t="array" ref="E4">XLOOKUP(A4,'Dados Funil'!$A:$A,'Dados Funil'!$K:$K,"")</f>
        <v>-58.19354839</v>
      </c>
      <c r="F4" s="5">
        <f t="array" ref="F4">XLOOKUP(A4,'Dados Funil'!$A:$A,'Dados Funil'!$L:$L,"")</f>
        <v>-0.2892416226</v>
      </c>
      <c r="G4" s="4" t="str">
        <f>IFERROR(__xludf.DUMMYFUNCTION("""COMPUTED_VALUE"""),"[ON] Abandono de carrinho")</f>
        <v>[ON] Abandono de carrinho</v>
      </c>
      <c r="H4" s="12">
        <f>IFERROR(__xludf.DUMMYFUNCTION("""COMPUTED_VALUE"""),-10090.947192)</f>
        <v>-10090.94719</v>
      </c>
      <c r="I4" s="7">
        <f t="shared" si="2"/>
        <v>0.1019963171</v>
      </c>
      <c r="J4" s="7">
        <f t="shared" si="10"/>
        <v>0.9967008451</v>
      </c>
      <c r="K4" s="6">
        <f t="array" ref="K4">XLOOKUP(G4,'Dados Funil'!A:A,'Dados Funil'!O:O,"")</f>
        <v>-5.915384615</v>
      </c>
      <c r="L4" s="4" t="str">
        <f>IFERROR(__xludf.DUMMYFUNCTION("""COMPUTED_VALUE"""),"Form G4 Incompleto Instagram")</f>
        <v>Form G4 Incompleto Instagram</v>
      </c>
      <c r="M4" s="12">
        <f>IFERROR(__xludf.DUMMYFUNCTION("""COMPUTED_VALUE"""),-19536.999999999996)</f>
        <v>-19537</v>
      </c>
      <c r="N4" s="7">
        <f t="shared" si="3"/>
        <v>0.137074106</v>
      </c>
      <c r="O4" s="7">
        <f t="shared" si="11"/>
        <v>0.8601407656</v>
      </c>
      <c r="P4" s="12">
        <f t="array" ref="P4">XLOOKUP(L4,'Dados Funil'!A:A,'Dados Funil'!AM:AM,"")</f>
        <v>-673.6896552</v>
      </c>
      <c r="Q4" s="5">
        <f t="array" ref="Q4">XLOOKUP(L4,'Dados Funil'!A:A,'Dados Funil'!AN:AN,"")</f>
        <v>-0.330240027</v>
      </c>
      <c r="R4" s="4" t="str">
        <f>IFERROR(__xludf.DUMMYFUNCTION("""COMPUTED_VALUE"""),"[ON] Chat")</f>
        <v>[ON] Chat</v>
      </c>
      <c r="S4" s="12">
        <f>IFERROR(__xludf.DUMMYFUNCTION("""COMPUTED_VALUE"""),104.13380661849668)</f>
        <v>104.1338066</v>
      </c>
      <c r="T4" s="7">
        <f t="shared" si="4"/>
        <v>0.002036605165</v>
      </c>
      <c r="U4" s="7">
        <f t="shared" si="12"/>
        <v>1</v>
      </c>
      <c r="V4" s="3">
        <f t="array" ref="V4">XLOOKUP(R4,'Dados Funil'!$A:$A,'Dados Funil'!$K:$K,"")</f>
        <v>0.1121209864</v>
      </c>
      <c r="W4" s="5">
        <f t="array" ref="W4">XLOOKUP(R4,'Dados Funil'!$A:$A,'Dados Funil'!$L:$L,"")</f>
        <v>0.003213751868</v>
      </c>
      <c r="X4" s="4" t="str">
        <f>IFERROR(__xludf.DUMMYFUNCTION("""COMPUTED_VALUE"""),"Form G4 - K Outros")</f>
        <v>Form G4 - K Outros</v>
      </c>
      <c r="Y4" s="12">
        <f>IFERROR(__xludf.DUMMYFUNCTION("""COMPUTED_VALUE"""),1549.56666)</f>
        <v>1549.56666</v>
      </c>
      <c r="Z4" s="7">
        <f t="shared" si="5"/>
        <v>0.1313317425</v>
      </c>
      <c r="AA4" s="7">
        <f t="shared" si="13"/>
        <v>1</v>
      </c>
      <c r="AB4" s="6">
        <f t="array" ref="AB4">XLOOKUP(X4,'Dados Funil'!A:A,'Dados Funil'!O:O,"")</f>
        <v>0.6776223776</v>
      </c>
      <c r="AC4" s="4"/>
      <c r="AD4" s="4"/>
      <c r="AE4" s="7" t="str">
        <f t="shared" si="6"/>
        <v/>
      </c>
      <c r="AF4" s="4" t="str">
        <f t="shared" si="14"/>
        <v/>
      </c>
      <c r="AG4" s="4" t="str">
        <f t="array" ref="AG4">XLOOKUP(AC4,'Dados Funil'!A:A,'Dados Funil'!AM:AM,"")</f>
        <v/>
      </c>
      <c r="AH4" s="4" t="str">
        <f t="array" ref="AH4">XLOOKUP(AC4,'Dados Funil'!A:A,'Dados Funil'!AN:AN,"")</f>
        <v/>
      </c>
      <c r="AI4" s="9" t="str">
        <f>IFERROR(__xludf.DUMMYFUNCTION("""COMPUTED_VALUE"""),"Form G4 Incompleto Instagram")</f>
        <v>Form G4 Incompleto Instagram</v>
      </c>
      <c r="AJ4" s="11">
        <f>IFERROR(__xludf.DUMMYFUNCTION("""COMPUTED_VALUE"""),221.29032258064504)</f>
        <v>221.2903226</v>
      </c>
      <c r="AK4" s="10">
        <f>IFERROR(__xludf.DUMMYFUNCTION("""COMPUTED_VALUE"""),0.18)</f>
        <v>0.18</v>
      </c>
      <c r="AL4" s="9">
        <f>IFERROR(__xludf.DUMMYFUNCTION("""COMPUTED_VALUE"""),2040.0)</f>
        <v>2040</v>
      </c>
      <c r="AM4" s="9">
        <f t="shared" si="7"/>
        <v>81257.80645</v>
      </c>
      <c r="AN4" s="9" t="str">
        <f>IFERROR(__xludf.DUMMYFUNCTION("""COMPUTED_VALUE"""),"Form G4 Incompleto Instagram")</f>
        <v>Form G4 Incompleto Instagram</v>
      </c>
      <c r="AO4" s="11">
        <f>IFERROR(__xludf.DUMMYFUNCTION("""COMPUTED_VALUE"""),162.0)</f>
        <v>162</v>
      </c>
      <c r="AP4" s="10">
        <f>IFERROR(__xludf.DUMMYFUNCTION("""COMPUTED_VALUE"""),0.17901234567901234)</f>
        <v>0.1790123457</v>
      </c>
      <c r="AQ4" s="14">
        <f>IFERROR(__xludf.DUMMYFUNCTION("""COMPUTED_VALUE"""),1366.3103448275863)</f>
        <v>1366.310345</v>
      </c>
      <c r="AR4" s="9">
        <f t="shared" si="8"/>
        <v>39623</v>
      </c>
    </row>
    <row r="5">
      <c r="A5" s="4" t="str">
        <f>IFERROR(__xludf.DUMMYFUNCTION("""COMPUTED_VALUE"""),"[ON] Abandono de carrinho")</f>
        <v>[ON] Abandono de carrinho</v>
      </c>
      <c r="B5" s="12">
        <f>IFERROR(__xludf.DUMMYFUNCTION("""COMPUTED_VALUE"""),-11227.450714618197)</f>
        <v>-11227.45071</v>
      </c>
      <c r="C5" s="7">
        <f t="shared" si="1"/>
        <v>0.1083880202</v>
      </c>
      <c r="D5" s="7">
        <f t="shared" si="9"/>
        <v>1</v>
      </c>
      <c r="E5" s="3">
        <f t="array" ref="E5">XLOOKUP(A5,'Dados Funil'!$A:$A,'Dados Funil'!$K:$K,"")</f>
        <v>-24.10167415</v>
      </c>
      <c r="F5" s="5">
        <f t="array" ref="F5">XLOOKUP(A5,'Dados Funil'!$A:$A,'Dados Funil'!$L:$L,"")</f>
        <v>-0.2360556215</v>
      </c>
      <c r="G5" s="4" t="str">
        <f>IFERROR(__xludf.DUMMYFUNCTION("""COMPUTED_VALUE"""),"Form G4 Incompleto Instagram")</f>
        <v>Form G4 Incompleto Instagram</v>
      </c>
      <c r="H5" s="12">
        <f>IFERROR(__xludf.DUMMYFUNCTION("""COMPUTED_VALUE"""),-326.40000000000106)</f>
        <v>-326.4</v>
      </c>
      <c r="I5" s="7">
        <f t="shared" si="2"/>
        <v>0.003299154903</v>
      </c>
      <c r="J5" s="7">
        <f t="shared" si="10"/>
        <v>1</v>
      </c>
      <c r="K5" s="6">
        <f t="array" ref="K5">XLOOKUP(G5,'Dados Funil'!A:A,'Dados Funil'!O:O,"")</f>
        <v>-0.0987654321</v>
      </c>
      <c r="L5" s="4" t="str">
        <f>IFERROR(__xludf.DUMMYFUNCTION("""COMPUTED_VALUE"""),"[ON] Abandono de carrinho")</f>
        <v>[ON] Abandono de carrinho</v>
      </c>
      <c r="M5" s="12">
        <f>IFERROR(__xludf.DUMMYFUNCTION("""COMPUTED_VALUE"""),-10371.035951171878)</f>
        <v>-10371.03595</v>
      </c>
      <c r="N5" s="7">
        <f t="shared" si="3"/>
        <v>0.07276452277</v>
      </c>
      <c r="O5" s="7">
        <f t="shared" si="11"/>
        <v>0.9329052884</v>
      </c>
      <c r="P5" s="12">
        <f t="array" ref="P5">XLOOKUP(L5,'Dados Funil'!A:A,'Dados Funil'!AM:AM,"")</f>
        <v>-864.2529959</v>
      </c>
      <c r="Q5" s="5">
        <f t="array" ref="Q5">XLOOKUP(L5,'Dados Funil'!A:A,'Dados Funil'!AN:AN,"")</f>
        <v>-0.3951723508</v>
      </c>
      <c r="R5" s="4"/>
      <c r="S5" s="4"/>
      <c r="T5" s="7" t="str">
        <f t="shared" si="4"/>
        <v/>
      </c>
      <c r="U5" s="4" t="str">
        <f t="shared" si="12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/>
      <c r="Y5" s="4"/>
      <c r="Z5" s="7" t="str">
        <f t="shared" si="5"/>
        <v/>
      </c>
      <c r="AA5" s="4" t="str">
        <f t="shared" si="13"/>
        <v/>
      </c>
      <c r="AB5" s="4" t="str">
        <f t="array" ref="AB5">XLOOKUP(X5,'Dados Funil'!A:A,'Dados Funil'!O:O,"")</f>
        <v/>
      </c>
      <c r="AC5" s="4"/>
      <c r="AD5" s="4"/>
      <c r="AE5" s="7" t="str">
        <f t="shared" si="6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IFERROR(__xludf.DUMMYFUNCTION("""COMPUTED_VALUE"""),"Form G4 - K Outros")</f>
        <v>Form G4 - K Outros</v>
      </c>
      <c r="AJ5" s="11">
        <f>IFERROR(__xludf.DUMMYFUNCTION("""COMPUTED_VALUE"""),201.19354838709668)</f>
        <v>201.1935484</v>
      </c>
      <c r="AK5" s="10">
        <f>IFERROR(__xludf.DUMMYFUNCTION("""COMPUTED_VALUE"""),0.217)</f>
        <v>0.217</v>
      </c>
      <c r="AL5" s="9">
        <f>IFERROR(__xludf.DUMMYFUNCTION("""COMPUTED_VALUE"""),1599.1399999999996)</f>
        <v>1599.14</v>
      </c>
      <c r="AM5" s="9">
        <f t="shared" si="7"/>
        <v>69816.85326</v>
      </c>
      <c r="AN5" s="9" t="str">
        <f>IFERROR(__xludf.DUMMYFUNCTION("""COMPUTED_VALUE"""),"Form G4 - K Outros")</f>
        <v>Form G4 - K Outros</v>
      </c>
      <c r="AO5" s="11">
        <f>IFERROR(__xludf.DUMMYFUNCTION("""COMPUTED_VALUE"""),143.0)</f>
        <v>143</v>
      </c>
      <c r="AP5" s="10">
        <f>IFERROR(__xludf.DUMMYFUNCTION("""COMPUTED_VALUE"""),0.22377622377622378)</f>
        <v>0.2237762238</v>
      </c>
      <c r="AQ5" s="14">
        <f>IFERROR(__xludf.DUMMYFUNCTION("""COMPUTED_VALUE"""),2178.0)</f>
        <v>2178</v>
      </c>
      <c r="AR5" s="9">
        <f t="shared" si="8"/>
        <v>69696</v>
      </c>
    </row>
    <row r="6">
      <c r="A6" s="4"/>
      <c r="B6" s="4"/>
      <c r="C6" s="7" t="str">
        <f t="shared" si="1"/>
        <v/>
      </c>
      <c r="D6" s="4" t="str">
        <f t="shared" si="9"/>
        <v/>
      </c>
      <c r="E6" s="4" t="str">
        <f t="array" ref="E6">XLOOKUP(A6,'Dados Funil'!$A:$A,'Dados Funil'!$K:$K,"")</f>
        <v/>
      </c>
      <c r="F6" s="4" t="str">
        <f t="array" ref="F6">XLOOKUP(A6,'Dados Funil'!$A:$A,'Dados Funil'!$L:$L,"")</f>
        <v/>
      </c>
      <c r="G6" s="4"/>
      <c r="H6" s="4"/>
      <c r="I6" s="7" t="str">
        <f t="shared" si="2"/>
        <v/>
      </c>
      <c r="J6" s="4" t="str">
        <f t="shared" si="10"/>
        <v/>
      </c>
      <c r="K6" s="4" t="str">
        <f t="array" ref="K6">XLOOKUP(G6,'Dados Funil'!A:A,'Dados Funil'!O:O,"")</f>
        <v/>
      </c>
      <c r="L6" s="4" t="str">
        <f>IFERROR(__xludf.DUMMYFUNCTION("""COMPUTED_VALUE"""),"[ON] Chat")</f>
        <v>[ON] Chat</v>
      </c>
      <c r="M6" s="12">
        <f>IFERROR(__xludf.DUMMYFUNCTION("""COMPUTED_VALUE"""),-8880.271999999995)</f>
        <v>-8880.272</v>
      </c>
      <c r="N6" s="7">
        <f t="shared" si="3"/>
        <v>0.06230513106</v>
      </c>
      <c r="O6" s="7">
        <f t="shared" si="11"/>
        <v>0.9952104195</v>
      </c>
      <c r="P6" s="12">
        <f t="array" ref="P6">XLOOKUP(L6,'Dados Funil'!A:A,'Dados Funil'!AM:AM,"")</f>
        <v>-370.0113333</v>
      </c>
      <c r="Q6" s="5">
        <f t="array" ref="Q6">XLOOKUP(L6,'Dados Funil'!A:A,'Dados Funil'!AN:AN,"")</f>
        <v>-0.2553690268</v>
      </c>
      <c r="R6" s="4"/>
      <c r="S6" s="4"/>
      <c r="T6" s="7" t="str">
        <f t="shared" si="4"/>
        <v/>
      </c>
      <c r="U6" s="4" t="str">
        <f t="shared" si="12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/>
      <c r="Y6" s="4"/>
      <c r="Z6" s="7" t="str">
        <f t="shared" si="5"/>
        <v/>
      </c>
      <c r="AA6" s="4" t="str">
        <f t="shared" si="13"/>
        <v/>
      </c>
      <c r="AB6" s="4" t="str">
        <f t="array" ref="AB6">XLOOKUP(X6,'Dados Funil'!A:A,'Dados Funil'!O:O,"")</f>
        <v/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IFERROR(__xludf.DUMMYFUNCTION("""COMPUTED_VALUE"""),"[ON] Abandono de carrinho")</f>
        <v>[ON] Abandono de carrinho</v>
      </c>
      <c r="AJ6" s="11">
        <f>IFERROR(__xludf.DUMMYFUNCTION("""COMPUTED_VALUE"""),102.10167415271536)</f>
        <v>102.1016742</v>
      </c>
      <c r="AK6" s="10">
        <f>IFERROR(__xludf.DUMMYFUNCTION("""COMPUTED_VALUE"""),0.213)</f>
        <v>0.213</v>
      </c>
      <c r="AL6" s="9">
        <f>IFERROR(__xludf.DUMMYFUNCTION("""COMPUTED_VALUE"""),2187.0280000000002)</f>
        <v>2187.028</v>
      </c>
      <c r="AM6" s="9">
        <f t="shared" si="7"/>
        <v>47562.73391</v>
      </c>
      <c r="AN6" s="9" t="str">
        <f>IFERROR(__xludf.DUMMYFUNCTION("""COMPUTED_VALUE"""),"[ON] Abandono de carrinho")</f>
        <v>[ON] Abandono de carrinho</v>
      </c>
      <c r="AO6" s="11">
        <f>IFERROR(__xludf.DUMMYFUNCTION("""COMPUTED_VALUE"""),78.0)</f>
        <v>78</v>
      </c>
      <c r="AP6" s="10">
        <f>IFERROR(__xludf.DUMMYFUNCTION("""COMPUTED_VALUE"""),0.15384615384615385)</f>
        <v>0.1538461538</v>
      </c>
      <c r="AQ6" s="14">
        <f>IFERROR(__xludf.DUMMYFUNCTION("""COMPUTED_VALUE"""),1322.7750040690105)</f>
        <v>1322.775004</v>
      </c>
      <c r="AR6" s="9">
        <f t="shared" si="8"/>
        <v>15873.30005</v>
      </c>
    </row>
    <row r="7">
      <c r="A7" s="4"/>
      <c r="B7" s="4"/>
      <c r="C7" s="7" t="str">
        <f t="shared" si="1"/>
        <v/>
      </c>
      <c r="D7" s="4" t="str">
        <f t="shared" si="9"/>
        <v/>
      </c>
      <c r="E7" s="4" t="str">
        <f t="array" ref="E7">XLOOKUP(A7,'Dados Funil'!$A:$A,'Dados Funil'!$K:$K,"")</f>
        <v/>
      </c>
      <c r="F7" s="4" t="str">
        <f t="array" ref="F7">XLOOKUP(A7,'Dados Funil'!$A:$A,'Dados Funil'!$L:$L,"")</f>
        <v/>
      </c>
      <c r="G7" s="4"/>
      <c r="H7" s="4"/>
      <c r="I7" s="7" t="str">
        <f t="shared" si="2"/>
        <v/>
      </c>
      <c r="J7" s="4" t="str">
        <f t="shared" si="10"/>
        <v/>
      </c>
      <c r="K7" s="4" t="str">
        <f t="array" ref="K7">XLOOKUP(G7,'Dados Funil'!A:A,'Dados Funil'!O:O,"")</f>
        <v/>
      </c>
      <c r="L7" s="4" t="str">
        <f>IFERROR(__xludf.DUMMYFUNCTION("""COMPUTED_VALUE"""),"[ON] Outros")</f>
        <v>[ON] Outros</v>
      </c>
      <c r="M7" s="12">
        <f>IFERROR(__xludf.DUMMYFUNCTION("""COMPUTED_VALUE"""),-682.6528925619787)</f>
        <v>-682.6528926</v>
      </c>
      <c r="N7" s="7">
        <f t="shared" si="3"/>
        <v>0.004789580538</v>
      </c>
      <c r="O7" s="7">
        <f t="shared" si="11"/>
        <v>1</v>
      </c>
      <c r="P7" s="12">
        <f t="array" ref="P7">XLOOKUP(L7,'Dados Funil'!A:A,'Dados Funil'!AM:AM,"")</f>
        <v>-42.66580579</v>
      </c>
      <c r="Q7" s="5">
        <f t="array" ref="Q7">XLOOKUP(L7,'Dados Funil'!A:A,'Dados Funil'!AN:AN,"")</f>
        <v>-0.01532754531</v>
      </c>
      <c r="R7" s="4"/>
      <c r="S7" s="4"/>
      <c r="T7" s="7" t="str">
        <f t="shared" si="4"/>
        <v/>
      </c>
      <c r="U7" s="4" t="str">
        <f t="shared" si="12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5"/>
        <v/>
      </c>
      <c r="AA7" s="4" t="str">
        <f t="shared" si="13"/>
        <v/>
      </c>
      <c r="AB7" s="4" t="str">
        <f t="array" ref="AB7">XLOOKUP(X7,'Dados Funil'!A:A,'Dados Funil'!O:O,"")</f>
        <v/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IFERROR(__xludf.DUMMYFUNCTION("""COMPUTED_VALUE"""),"[IM] Form G4 Facebook Ads - K")</f>
        <v>[IM] Form G4 Facebook Ads - K</v>
      </c>
      <c r="AJ7" s="11">
        <f>IFERROR(__xludf.DUMMYFUNCTION("""COMPUTED_VALUE"""),77.6322580645161)</f>
        <v>77.63225806</v>
      </c>
      <c r="AK7" s="10">
        <f>IFERROR(__xludf.DUMMYFUNCTION("""COMPUTED_VALUE"""),0.26947643979057595)</f>
        <v>0.2694764398</v>
      </c>
      <c r="AL7" s="9">
        <f>IFERROR(__xludf.DUMMYFUNCTION("""COMPUTED_VALUE"""),2264.368421052631)</f>
        <v>2264.368421</v>
      </c>
      <c r="AM7" s="9">
        <f t="shared" si="7"/>
        <v>47370.73346</v>
      </c>
      <c r="AN7" s="9" t="str">
        <f>IFERROR(__xludf.DUMMYFUNCTION("""COMPUTED_VALUE"""),"[IM] Form G4 Facebook Ads - K")</f>
        <v>[IM] Form G4 Facebook Ads - K</v>
      </c>
      <c r="AO7" s="11">
        <f>IFERROR(__xludf.DUMMYFUNCTION("""COMPUTED_VALUE"""),113.0)</f>
        <v>113</v>
      </c>
      <c r="AP7" s="10">
        <f>IFERROR(__xludf.DUMMYFUNCTION("""COMPUTED_VALUE"""),0.22123893805309736)</f>
        <v>0.2212389381</v>
      </c>
      <c r="AQ7" s="14">
        <f>IFERROR(__xludf.DUMMYFUNCTION("""COMPUTED_VALUE"""),319.76)</f>
        <v>319.76</v>
      </c>
      <c r="AR7" s="9">
        <f t="shared" si="8"/>
        <v>7994</v>
      </c>
    </row>
    <row r="8">
      <c r="A8" s="4"/>
      <c r="B8" s="4"/>
      <c r="C8" s="7" t="str">
        <f t="shared" si="1"/>
        <v/>
      </c>
      <c r="D8" s="4" t="str">
        <f t="shared" si="9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/>
      <c r="H8" s="4"/>
      <c r="I8" s="7" t="str">
        <f t="shared" si="2"/>
        <v/>
      </c>
      <c r="J8" s="4" t="str">
        <f t="shared" si="10"/>
        <v/>
      </c>
      <c r="K8" s="4" t="str">
        <f t="array" ref="K8">XLOOKUP(G8,'Dados Funil'!A:A,'Dados Funil'!O:O,"")</f>
        <v/>
      </c>
      <c r="L8" s="4"/>
      <c r="M8" s="4"/>
      <c r="N8" s="7" t="str">
        <f t="shared" si="3"/>
        <v/>
      </c>
      <c r="O8" s="4" t="str">
        <f t="shared" si="11"/>
        <v/>
      </c>
      <c r="P8" s="4" t="str">
        <f t="array" ref="P8">XLOOKUP(L8,'Dados Funil'!A:A,'Dados Funil'!AM:AM,"")</f>
        <v/>
      </c>
      <c r="Q8" s="4" t="str">
        <f t="array" ref="Q8">XLOOKUP(L8,'Dados Funil'!A:A,'Dados Funil'!AN:AN,"")</f>
        <v/>
      </c>
      <c r="R8" s="4"/>
      <c r="S8" s="4"/>
      <c r="T8" s="7" t="str">
        <f t="shared" si="4"/>
        <v/>
      </c>
      <c r="U8" s="4" t="str">
        <f t="shared" si="12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IFERROR(__xludf.DUMMYFUNCTION("""COMPUTED_VALUE"""),"[ON] Chat")</f>
        <v>[ON] Chat</v>
      </c>
      <c r="AJ8" s="11">
        <f>IFERROR(__xludf.DUMMYFUNCTION("""COMPUTED_VALUE"""),34.88787901363331)</f>
        <v>34.88787901</v>
      </c>
      <c r="AK8" s="10">
        <f>IFERROR(__xludf.DUMMYFUNCTION("""COMPUTED_VALUE"""),0.641)</f>
        <v>0.641</v>
      </c>
      <c r="AL8" s="9">
        <f>IFERROR(__xludf.DUMMYFUNCTION("""COMPUTED_VALUE"""),1448.9279999999999)</f>
        <v>1448.928</v>
      </c>
      <c r="AM8" s="9">
        <f t="shared" si="7"/>
        <v>32402.56587</v>
      </c>
      <c r="AN8" s="9" t="str">
        <f>IFERROR(__xludf.DUMMYFUNCTION("""COMPUTED_VALUE"""),"[ON] Chat")</f>
        <v>[ON] Chat</v>
      </c>
      <c r="AO8" s="11">
        <f>IFERROR(__xludf.DUMMYFUNCTION("""COMPUTED_VALUE"""),35.0)</f>
        <v>35</v>
      </c>
      <c r="AP8" s="10">
        <f>IFERROR(__xludf.DUMMYFUNCTION("""COMPUTED_VALUE"""),0.6857142857142857)</f>
        <v>0.6857142857</v>
      </c>
      <c r="AQ8" s="14">
        <f>IFERROR(__xludf.DUMMYFUNCTION("""COMPUTED_VALUE"""),1078.9166666666667)</f>
        <v>1078.916667</v>
      </c>
      <c r="AR8" s="9">
        <f t="shared" si="8"/>
        <v>25894</v>
      </c>
    </row>
    <row r="9">
      <c r="A9" s="4"/>
      <c r="B9" s="4"/>
      <c r="C9" s="7" t="str">
        <f t="shared" si="1"/>
        <v/>
      </c>
      <c r="D9" s="4" t="str">
        <f t="shared" si="9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10"/>
        <v/>
      </c>
      <c r="K9" s="4" t="str">
        <f t="array" ref="K9">XLOOKUP(G9,'Dados Funil'!A:A,'Dados Funil'!O:O,"")</f>
        <v/>
      </c>
      <c r="L9" s="4"/>
      <c r="M9" s="4"/>
      <c r="N9" s="7" t="str">
        <f t="shared" si="3"/>
        <v/>
      </c>
      <c r="O9" s="4" t="str">
        <f t="shared" si="11"/>
        <v/>
      </c>
      <c r="P9" s="4" t="str">
        <f t="array" ref="P9">XLOOKUP(L9,'Dados Funil'!A:A,'Dados Funil'!AM:AM,"")</f>
        <v/>
      </c>
      <c r="Q9" s="4" t="str">
        <f t="array" ref="Q9">XLOOKUP(L9,'Dados Funil'!A:A,'Dados Funil'!AN:AN,"")</f>
        <v/>
      </c>
      <c r="R9" s="4"/>
      <c r="S9" s="4"/>
      <c r="T9" s="7" t="str">
        <f t="shared" si="4"/>
        <v/>
      </c>
      <c r="U9" s="4" t="str">
        <f t="shared" si="12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M9" s="9">
        <f t="shared" si="7"/>
        <v>0</v>
      </c>
      <c r="AR9" s="9">
        <f t="shared" si="8"/>
        <v>0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/>
      <c r="M10" s="4"/>
      <c r="N10" s="7" t="str">
        <f t="shared" si="3"/>
        <v/>
      </c>
      <c r="O10" s="4" t="str">
        <f t="shared" si="11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12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M10" s="9">
        <f t="shared" si="7"/>
        <v>0</v>
      </c>
      <c r="AR10" s="9">
        <f t="shared" si="8"/>
        <v>0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/>
      <c r="M11" s="4"/>
      <c r="N11" s="7" t="str">
        <f t="shared" si="3"/>
        <v/>
      </c>
      <c r="O11" s="4" t="str">
        <f t="shared" si="11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12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M11" s="9">
        <f t="shared" si="7"/>
        <v>0</v>
      </c>
      <c r="AR11" s="9">
        <f t="shared" si="8"/>
        <v>0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2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M12" s="9">
        <f t="shared" si="7"/>
        <v>0</v>
      </c>
      <c r="AR12" s="9">
        <f t="shared" si="8"/>
        <v>0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2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M13" s="9">
        <f t="shared" si="7"/>
        <v>0</v>
      </c>
      <c r="AR13" s="9">
        <f t="shared" si="8"/>
        <v>0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2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M14" s="9">
        <f t="shared" si="7"/>
        <v>0</v>
      </c>
      <c r="AR14" s="9">
        <f t="shared" si="8"/>
        <v>0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2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M15" s="9">
        <f t="shared" si="7"/>
        <v>0</v>
      </c>
      <c r="AR15" s="9">
        <f t="shared" si="8"/>
        <v>0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2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M16" s="9">
        <f t="shared" si="7"/>
        <v>0</v>
      </c>
      <c r="AR16" s="9">
        <f t="shared" si="8"/>
        <v>0</v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2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M17" s="9">
        <f t="shared" si="7"/>
        <v>0</v>
      </c>
      <c r="AR17" s="9">
        <f t="shared" si="8"/>
        <v>0</v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2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M18" s="9">
        <f t="shared" si="7"/>
        <v>0</v>
      </c>
      <c r="AR18" s="9">
        <f t="shared" si="8"/>
        <v>0</v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2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M19" s="9">
        <f t="shared" si="7"/>
        <v>0</v>
      </c>
      <c r="AR19" s="9">
        <f t="shared" si="8"/>
        <v>0</v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2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M20" s="9">
        <f t="shared" si="7"/>
        <v>0</v>
      </c>
      <c r="AR20" s="9">
        <f t="shared" si="8"/>
        <v>0</v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2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M21" s="9">
        <f t="shared" si="7"/>
        <v>0</v>
      </c>
      <c r="AR21" s="9">
        <f t="shared" si="8"/>
        <v>0</v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2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M22" s="9">
        <f t="shared" si="7"/>
        <v>0</v>
      </c>
      <c r="AR22" s="9">
        <f t="shared" si="8"/>
        <v>0</v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2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M23" s="9">
        <f t="shared" si="7"/>
        <v>0</v>
      </c>
      <c r="AR23" s="9">
        <f t="shared" si="8"/>
        <v>0</v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2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M24" s="9">
        <f t="shared" si="7"/>
        <v>0</v>
      </c>
      <c r="AR24" s="9">
        <f t="shared" si="8"/>
        <v>0</v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2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M25" s="9">
        <f t="shared" si="7"/>
        <v>0</v>
      </c>
      <c r="AR25" s="9">
        <f t="shared" si="8"/>
        <v>0</v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2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M26" s="9">
        <f t="shared" si="7"/>
        <v>0</v>
      </c>
      <c r="AR26" s="9">
        <f t="shared" si="8"/>
        <v>0</v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2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M27" s="9">
        <f t="shared" si="7"/>
        <v>0</v>
      </c>
      <c r="AR27" s="9">
        <f t="shared" si="8"/>
        <v>0</v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2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M28" s="9">
        <f t="shared" si="7"/>
        <v>0</v>
      </c>
      <c r="AR28" s="9">
        <f t="shared" si="8"/>
        <v>0</v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2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M29" s="9">
        <f t="shared" si="7"/>
        <v>0</v>
      </c>
      <c r="AR29" s="9">
        <f t="shared" si="8"/>
        <v>0</v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2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M30" s="9">
        <f t="shared" si="7"/>
        <v>0</v>
      </c>
      <c r="AR30" s="9">
        <f t="shared" si="8"/>
        <v>0</v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2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M31" s="9">
        <f t="shared" si="7"/>
        <v>0</v>
      </c>
      <c r="AR31" s="9">
        <f t="shared" si="8"/>
        <v>0</v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2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M32" s="9">
        <f t="shared" si="7"/>
        <v>0</v>
      </c>
      <c r="AR32" s="9">
        <f t="shared" si="8"/>
        <v>0</v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2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7"/>
        <v>0</v>
      </c>
      <c r="AR33" s="9">
        <f t="shared" si="8"/>
        <v>0</v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2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7"/>
        <v>0</v>
      </c>
      <c r="AR34" s="9">
        <f t="shared" si="8"/>
        <v>0</v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2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7"/>
        <v>0</v>
      </c>
      <c r="AR35" s="9">
        <f t="shared" si="8"/>
        <v>0</v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2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2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2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2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2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2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2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2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2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2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2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2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2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2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2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2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2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2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2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2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2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2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2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2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2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2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2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2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2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2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2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2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2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2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2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2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2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2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2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2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2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2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2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2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2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2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2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2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2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2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2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2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2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2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2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2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2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2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2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2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2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2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2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2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2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2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2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2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2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2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2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2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2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2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2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2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2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2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2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2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2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2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2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2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2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2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2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2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2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2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2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2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2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2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2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2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2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2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2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2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2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2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2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2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2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2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2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2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2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2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2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2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2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2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2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2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2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2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2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2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2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2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2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2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2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2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2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2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2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2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2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2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2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2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2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2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2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2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2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2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2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2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2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2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2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2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2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2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2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2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2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2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2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2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2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2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2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2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2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2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2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2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2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2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2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2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2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2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2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2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2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2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2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2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2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2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2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2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2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2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2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2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2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2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2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2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2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2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2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2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2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2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2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2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2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2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2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2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2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2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2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2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2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2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2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2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2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2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2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2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2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2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2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2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2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2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2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2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2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2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2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2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2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2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2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2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2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2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2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2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2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2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2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2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2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2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2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2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2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2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2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2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2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2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2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2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2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2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2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2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2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2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2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2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2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2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2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2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2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2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2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2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2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2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2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2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2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2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2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2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2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2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2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2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2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2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2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2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2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2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2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2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2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2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2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2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2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2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2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2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2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2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2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2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2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2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2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2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2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2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2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2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2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2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2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2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2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2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2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2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2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2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2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2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2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2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2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2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2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2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2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2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2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2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2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2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2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2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2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2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2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2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2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2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2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2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2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2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2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2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2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2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2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2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2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2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2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2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2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2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2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2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2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2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2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2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2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2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2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2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2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2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2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2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2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2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2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2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2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2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2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2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2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2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2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2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2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2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2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2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2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2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2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2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2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2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2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2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2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2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2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2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2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2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2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2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2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2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2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2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2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2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2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2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2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2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2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2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2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2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2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2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2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2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2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2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2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2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2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2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2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2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2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2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2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2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2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2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2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2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2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2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2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2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2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2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2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2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2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2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2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2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2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2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2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2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2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2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2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2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2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2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2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2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2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2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2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2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2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2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2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2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2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2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2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2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2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2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2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2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2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2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2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2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2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2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2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2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2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2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2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2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2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2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2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2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2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2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2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2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2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2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2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2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2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2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2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2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2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2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2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2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2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2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2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2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2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2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2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2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2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2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2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2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2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2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2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2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2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2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2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2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2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2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2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2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2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2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2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2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2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2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2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2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2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2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2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2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2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2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2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2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2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2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2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2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2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2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2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2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2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2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2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2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2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2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2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2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2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2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2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2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2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2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2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2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2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2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2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2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2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2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2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2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2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2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2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2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2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2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2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2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2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2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2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2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2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2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2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2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2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2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2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2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2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2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2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2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2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2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2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2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2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2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2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2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2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2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2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2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2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2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2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2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2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2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2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2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2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2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2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2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2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2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2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2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2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2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2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2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2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2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2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2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2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2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2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2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2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2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2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2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2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2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2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2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2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2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2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2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2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2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2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2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2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2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2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2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2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2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2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2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2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2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2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2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2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2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2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2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2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2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2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2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2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2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2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2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2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2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2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2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2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2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2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2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2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2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2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2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2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2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2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2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2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2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2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2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2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2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2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2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2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2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2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2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2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2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2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2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2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2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2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2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2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2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2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2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2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2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2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2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2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2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2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2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2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2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2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2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2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2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2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2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2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2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2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2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2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2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2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2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2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2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2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2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2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2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2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2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2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2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2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2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2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2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2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2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2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2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2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2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2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2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2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2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2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2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2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2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2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2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2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2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2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2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2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2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2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2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2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2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2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2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2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2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2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2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2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2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2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2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2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2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2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2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2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2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2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2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2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2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2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2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2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2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2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2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2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2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2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2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2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2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2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2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2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2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2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2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2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2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2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2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2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2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2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2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2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2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2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2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2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2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2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2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2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2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2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2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2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2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2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2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2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2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2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2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2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2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2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2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2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2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2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2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2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2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2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2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2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2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2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2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2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2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2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2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2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2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2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2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2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2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2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2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2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2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2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2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2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2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2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2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2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2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2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2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2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2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2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2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2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2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2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2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2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2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2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2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2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2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2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2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2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2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2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2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2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2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2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2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2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2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2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2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2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2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2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2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2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2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2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2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2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2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2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2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2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2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2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2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2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2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2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2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2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2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2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2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2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2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2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2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2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2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2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2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2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2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2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2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2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2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2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2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2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2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2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2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2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2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2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2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2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98</v>
      </c>
      <c r="B1" s="15" t="s">
        <v>99</v>
      </c>
      <c r="C1" s="15" t="s">
        <v>100</v>
      </c>
      <c r="D1" s="15" t="s">
        <v>101</v>
      </c>
      <c r="E1" s="16" t="s">
        <v>102</v>
      </c>
      <c r="F1" s="15" t="s">
        <v>103</v>
      </c>
      <c r="G1" s="15" t="s">
        <v>104</v>
      </c>
      <c r="H1" s="17" t="s">
        <v>105</v>
      </c>
      <c r="I1" s="15" t="s">
        <v>87</v>
      </c>
      <c r="J1" s="15" t="s">
        <v>92</v>
      </c>
      <c r="K1" s="15" t="s">
        <v>56</v>
      </c>
      <c r="L1" s="15" t="s">
        <v>57</v>
      </c>
      <c r="M1" s="16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128</v>
      </c>
      <c r="AJ1" s="15" t="s">
        <v>129</v>
      </c>
      <c r="AK1" s="15" t="s">
        <v>89</v>
      </c>
      <c r="AL1" s="15" t="s">
        <v>94</v>
      </c>
      <c r="AM1" s="15" t="s">
        <v>67</v>
      </c>
      <c r="AN1" s="15" t="s">
        <v>68</v>
      </c>
      <c r="AO1" s="15" t="s">
        <v>130</v>
      </c>
      <c r="AP1" s="15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G4 - K Instagram")</f>
        <v>Form G4 - K Instagram</v>
      </c>
      <c r="B2" s="18">
        <f>IFERROR(__xludf.DUMMYFUNCTION("""COMPUTED_VALUE"""),672.0903225806449)</f>
        <v>672.0903226</v>
      </c>
      <c r="C2" s="19">
        <f>IFERROR(__xludf.DUMMYFUNCTION("""COMPUTED_VALUE"""),400.0)</f>
        <v>400</v>
      </c>
      <c r="D2" s="20">
        <f>IFERROR(__xludf.DUMMYFUNCTION("""COMPUTED_VALUE"""),-272.09032258064485)</f>
        <v>-272.0903226</v>
      </c>
      <c r="E2" s="21">
        <f>IFERROR(__xludf.DUMMYFUNCTION("""COMPUTED_VALUE"""),-0.40484189913030094)</f>
        <v>-0.4048418991</v>
      </c>
      <c r="F2" s="22">
        <f>IFERROR(__xludf.DUMMYFUNCTION("""COMPUTED_VALUE"""),0.7083725305738477)</f>
        <v>0.7083725306</v>
      </c>
      <c r="G2" s="22">
        <f>IFERROR(__xludf.DUMMYFUNCTION("""COMPUTED_VALUE"""),0.69)</f>
        <v>0.69</v>
      </c>
      <c r="H2" s="23">
        <f>IFERROR(__xludf.DUMMYFUNCTION("""COMPUTED_VALUE"""),-1.83725305738478)</f>
        <v>-1.837253057</v>
      </c>
      <c r="I2" s="18">
        <f>IFERROR(__xludf.DUMMYFUNCTION("""COMPUTED_VALUE"""),476.09032258064497)</f>
        <v>476.0903226</v>
      </c>
      <c r="J2" s="19">
        <f>IFERROR(__xludf.DUMMYFUNCTION("""COMPUTED_VALUE"""),276.0)</f>
        <v>276</v>
      </c>
      <c r="K2" s="20">
        <f>IFERROR(__xludf.DUMMYFUNCTION("""COMPUTED_VALUE"""),-200.09032258064497)</f>
        <v>-200.0903226</v>
      </c>
      <c r="L2" s="21">
        <f>IFERROR(__xludf.DUMMYFUNCTION("""COMPUTED_VALUE"""),-0.42027807138791745)</f>
        <v>-0.4202780714</v>
      </c>
      <c r="M2" s="24">
        <f>IFERROR(__xludf.DUMMYFUNCTION("""COMPUTED_VALUE"""),0.234)</f>
        <v>0.234</v>
      </c>
      <c r="N2" s="22">
        <f>IFERROR(__xludf.DUMMYFUNCTION("""COMPUTED_VALUE"""),0.2608695652173913)</f>
        <v>0.2608695652</v>
      </c>
      <c r="O2" s="25">
        <f>IFERROR(__xludf.DUMMYFUNCTION("""COMPUTED_VALUE"""),2.6869565217391282)</f>
        <v>2.686956522</v>
      </c>
      <c r="P2" s="18">
        <f>IFERROR(__xludf.DUMMYFUNCTION("""COMPUTED_VALUE"""),123.3414)</f>
        <v>123.3414</v>
      </c>
      <c r="Q2" s="19">
        <f>IFERROR(__xludf.DUMMYFUNCTION("""COMPUTED_VALUE"""),72.0)</f>
        <v>72</v>
      </c>
      <c r="R2" s="20">
        <f>IFERROR(__xludf.DUMMYFUNCTION("""COMPUTED_VALUE"""),-51.34139999999999)</f>
        <v>-51.3414</v>
      </c>
      <c r="S2" s="26">
        <f>IFERROR(__xludf.DUMMYFUNCTION("""COMPUTED_VALUE"""),-0.41625439633407757)</f>
        <v>-0.4162543963</v>
      </c>
      <c r="T2" s="22">
        <f>IFERROR(__xludf.DUMMYFUNCTION("""COMPUTED_VALUE"""),0.14285714285714285)</f>
        <v>0.1428571429</v>
      </c>
      <c r="U2" s="22">
        <f>IFERROR(__xludf.DUMMYFUNCTION("""COMPUTED_VALUE"""),0.027777777777777776)</f>
        <v>0.02777777778</v>
      </c>
      <c r="V2" s="23">
        <f>IFERROR(__xludf.DUMMYFUNCTION("""COMPUTED_VALUE"""),-11.507936507936508)</f>
        <v>-11.50793651</v>
      </c>
      <c r="W2" s="18">
        <f>IFERROR(__xludf.DUMMYFUNCTION("""COMPUTED_VALUE"""),17.620199999999997)</f>
        <v>17.6202</v>
      </c>
      <c r="X2" s="19">
        <f>IFERROR(__xludf.DUMMYFUNCTION("""COMPUTED_VALUE"""),2.0)</f>
        <v>2</v>
      </c>
      <c r="Y2" s="20">
        <f>IFERROR(__xludf.DUMMYFUNCTION("""COMPUTED_VALUE"""),-15.620199999999997)</f>
        <v>-15.6202</v>
      </c>
      <c r="Z2" s="27">
        <f>IFERROR(__xludf.DUMMYFUNCTION("""COMPUTED_VALUE"""),-0.8864939103982928)</f>
        <v>-0.8864939104</v>
      </c>
      <c r="AA2" s="18">
        <f>IFERROR(__xludf.DUMMYFUNCTION("""COMPUTED_VALUE"""),7534.0)</f>
        <v>7534</v>
      </c>
      <c r="AB2" s="19">
        <f>IFERROR(__xludf.DUMMYFUNCTION("""COMPUTED_VALUE"""),11525.0)</f>
        <v>11525</v>
      </c>
      <c r="AC2" s="20">
        <f>IFERROR(__xludf.DUMMYFUNCTION("""COMPUTED_VALUE"""),3991.0)</f>
        <v>3991</v>
      </c>
      <c r="AD2" s="27">
        <f>IFERROR(__xludf.DUMMYFUNCTION("""COMPUTED_VALUE"""),0.5297318821343244)</f>
        <v>0.5297318821</v>
      </c>
      <c r="AE2" s="18">
        <f>IFERROR(__xludf.DUMMYFUNCTION("""COMPUTED_VALUE"""),98235.43423199999)</f>
        <v>98235.43423</v>
      </c>
      <c r="AF2" s="19">
        <f>IFERROR(__xludf.DUMMYFUNCTION("""COMPUTED_VALUE"""),23050.0)</f>
        <v>23050</v>
      </c>
      <c r="AG2" s="20">
        <f>IFERROR(__xludf.DUMMYFUNCTION("""COMPUTED_VALUE"""),-75185.43423199999)</f>
        <v>-75185.43423</v>
      </c>
      <c r="AH2" s="28">
        <f>IFERROR(__xludf.DUMMYFUNCTION("""COMPUTED_VALUE"""),-0.7653596161079368)</f>
        <v>-0.7653596161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"),-50392.91924792621)</f>
        <v>-50392.91925</v>
      </c>
      <c r="AJ2" s="29">
        <f>IFERROR(__xludf.DUMMYFUNCTION("""COMPUTED_VALUE"""),-46460.83657142856)</f>
        <v>-46460.83657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"),1076.2857142857142)</f>
        <v>1076.285714</v>
      </c>
      <c r="AL2" s="30">
        <f>IFERROR(__xludf.DUMMYFUNCTION("""COMPUTED_VALUE"""),320.1388888888889)</f>
        <v>320.1388889</v>
      </c>
      <c r="AM2" s="29">
        <f t="shared" ref="AM2:AM16" si="1">AL2-AK2</f>
        <v>-756.1468254</v>
      </c>
      <c r="AN2" s="31">
        <f t="shared" ref="AN2:AN16" si="2">AM2/AK2</f>
        <v>-0.702552134</v>
      </c>
      <c r="AO2" s="12">
        <f t="shared" ref="AO2:AO16" si="3">J2*(N2-M2)*AK2</f>
        <v>7981.734857</v>
      </c>
      <c r="AP2" s="12">
        <f t="shared" ref="AP2:AP16" si="4">J2*N2*AM2</f>
        <v>-54442.57143</v>
      </c>
      <c r="AQ2" s="12">
        <f>SUMIFS(AP2:AP16,AP2:AP16,"&lt;"&amp;0)</f>
        <v>-142528.7428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IFERROR(__xludf.DUMMYFUNCTION("""COMPUTED_VALUE"""),"[ON] Outros")</f>
        <v>[ON] Outros</v>
      </c>
      <c r="B3" s="18">
        <f>IFERROR(__xludf.DUMMYFUNCTION("""COMPUTED_VALUE"""),234.38709677419345)</f>
        <v>234.3870968</v>
      </c>
      <c r="C3" s="19">
        <f>IFERROR(__xludf.DUMMYFUNCTION("""COMPUTED_VALUE"""),42.0)</f>
        <v>42</v>
      </c>
      <c r="D3" s="20">
        <f>IFERROR(__xludf.DUMMYFUNCTION("""COMPUTED_VALUE"""),-192.38709677419345)</f>
        <v>-192.3870968</v>
      </c>
      <c r="E3" s="21">
        <f>IFERROR(__xludf.DUMMYFUNCTION("""COMPUTED_VALUE"""),-0.8208092485549132)</f>
        <v>-0.8208092486</v>
      </c>
      <c r="F3" s="22">
        <f>IFERROR(__xludf.DUMMYFUNCTION("""COMPUTED_VALUE"""),0.661271676300578)</f>
        <v>0.6612716763</v>
      </c>
      <c r="G3" s="22">
        <f>IFERROR(__xludf.DUMMYFUNCTION("""COMPUTED_VALUE"""),4.880952380952381)</f>
        <v>4.880952381</v>
      </c>
      <c r="H3" s="23">
        <f>IFERROR(__xludf.DUMMYFUNCTION("""COMPUTED_VALUE"""),421.9680704651803)</f>
        <v>421.9680705</v>
      </c>
      <c r="I3" s="18">
        <f>IFERROR(__xludf.DUMMYFUNCTION("""COMPUTED_VALUE"""),154.9935483870967)</f>
        <v>154.9935484</v>
      </c>
      <c r="J3" s="19">
        <f>IFERROR(__xludf.DUMMYFUNCTION("""COMPUTED_VALUE"""),205.0)</f>
        <v>205</v>
      </c>
      <c r="K3" s="20">
        <f>IFERROR(__xludf.DUMMYFUNCTION("""COMPUTED_VALUE"""),50.006451612903305)</f>
        <v>50.00645161</v>
      </c>
      <c r="L3" s="21">
        <f>IFERROR(__xludf.DUMMYFUNCTION("""COMPUTED_VALUE"""),0.3226356976356983)</f>
        <v>0.3226356976</v>
      </c>
      <c r="M3" s="24">
        <f>IFERROR(__xludf.DUMMYFUNCTION("""COMPUTED_VALUE"""),0.21153846153846154)</f>
        <v>0.2115384615</v>
      </c>
      <c r="N3" s="22">
        <f>IFERROR(__xludf.DUMMYFUNCTION("""COMPUTED_VALUE"""),0.07804878048780488)</f>
        <v>0.07804878049</v>
      </c>
      <c r="O3" s="25">
        <f>IFERROR(__xludf.DUMMYFUNCTION("""COMPUTED_VALUE"""),-13.348968105065667)</f>
        <v>-13.34896811</v>
      </c>
      <c r="P3" s="18">
        <f>IFERROR(__xludf.DUMMYFUNCTION("""COMPUTED_VALUE"""),36.29999999999999)</f>
        <v>36.3</v>
      </c>
      <c r="Q3" s="19">
        <f>IFERROR(__xludf.DUMMYFUNCTION("""COMPUTED_VALUE"""),16.0)</f>
        <v>16</v>
      </c>
      <c r="R3" s="20">
        <f>IFERROR(__xludf.DUMMYFUNCTION("""COMPUTED_VALUE"""),-20.29999999999999)</f>
        <v>-20.3</v>
      </c>
      <c r="S3" s="26">
        <f>IFERROR(__xludf.DUMMYFUNCTION("""COMPUTED_VALUE"""),-0.5592286501377409)</f>
        <v>-0.5592286501</v>
      </c>
      <c r="T3" s="22">
        <f>IFERROR(__xludf.DUMMYFUNCTION("""COMPUTED_VALUE"""),0.39669421487603307)</f>
        <v>0.3966942149</v>
      </c>
      <c r="U3" s="22">
        <f>IFERROR(__xludf.DUMMYFUNCTION("""COMPUTED_VALUE"""),0.1875)</f>
        <v>0.1875</v>
      </c>
      <c r="V3" s="23">
        <f>IFERROR(__xludf.DUMMYFUNCTION("""COMPUTED_VALUE"""),-20.91942148760331)</f>
        <v>-20.91942149</v>
      </c>
      <c r="W3" s="18">
        <f>IFERROR(__xludf.DUMMYFUNCTION("""COMPUTED_VALUE"""),14.399999999999997)</f>
        <v>14.4</v>
      </c>
      <c r="X3" s="19">
        <f>IFERROR(__xludf.DUMMYFUNCTION("""COMPUTED_VALUE"""),3.0)</f>
        <v>3</v>
      </c>
      <c r="Y3" s="20">
        <f>IFERROR(__xludf.DUMMYFUNCTION("""COMPUTED_VALUE"""),-11.399999999999997)</f>
        <v>-11.4</v>
      </c>
      <c r="Z3" s="27">
        <f>IFERROR(__xludf.DUMMYFUNCTION("""COMPUTED_VALUE"""),-0.7916666666666666)</f>
        <v>-0.7916666667</v>
      </c>
      <c r="AA3" s="18">
        <f>IFERROR(__xludf.DUMMYFUNCTION("""COMPUTED_VALUE"""),7017.0)</f>
        <v>7017</v>
      </c>
      <c r="AB3" s="19">
        <f>IFERROR(__xludf.DUMMYFUNCTION("""COMPUTED_VALUE"""),14618.333333333334)</f>
        <v>14618.33333</v>
      </c>
      <c r="AC3" s="20">
        <f>IFERROR(__xludf.DUMMYFUNCTION("""COMPUTED_VALUE"""),7601.333333333334)</f>
        <v>7601.333333</v>
      </c>
      <c r="AD3" s="27">
        <f>IFERROR(__xludf.DUMMYFUNCTION("""COMPUTED_VALUE"""),1.0832739537314142)</f>
        <v>1.083273954</v>
      </c>
      <c r="AE3" s="18">
        <f>IFERROR(__xludf.DUMMYFUNCTION("""COMPUTED_VALUE"""),74773.15199999999)</f>
        <v>74773.152</v>
      </c>
      <c r="AF3" s="19">
        <f>IFERROR(__xludf.DUMMYFUNCTION("""COMPUTED_VALUE"""),43855.0)</f>
        <v>43855</v>
      </c>
      <c r="AG3" s="20">
        <f>IFERROR(__xludf.DUMMYFUNCTION("""COMPUTED_VALUE"""),-30918.151999999987)</f>
        <v>-30918.152</v>
      </c>
      <c r="AH3" s="28">
        <f>IFERROR(__xludf.DUMMYFUNCTION("""COMPUTED_VALUE"""),-0.41349269320624593)</f>
        <v>-0.4134926932</v>
      </c>
      <c r="AI3" s="29">
        <f>IFERROR(__xludf.DUMMYFUNCTION("""COMPUTED_VALUE"""),29445.75700428608)</f>
        <v>29445.757</v>
      </c>
      <c r="AJ3" s="29">
        <f>IFERROR(__xludf.DUMMYFUNCTION("""COMPUTED_VALUE"""),-76857.02797202795)</f>
        <v>-76857.02797</v>
      </c>
      <c r="AK3" s="4">
        <f>IFERROR(__xludf.DUMMYFUNCTION("""COMPUTED_VALUE"""),2783.6033057851237)</f>
        <v>2783.603306</v>
      </c>
      <c r="AL3" s="30">
        <f>IFERROR(__xludf.DUMMYFUNCTION("""COMPUTED_VALUE"""),2740.9375)</f>
        <v>2740.9375</v>
      </c>
      <c r="AM3" s="29">
        <f t="shared" si="1"/>
        <v>-42.66580579</v>
      </c>
      <c r="AN3" s="31">
        <f t="shared" si="2"/>
        <v>-0.01532754531</v>
      </c>
      <c r="AO3" s="12">
        <f t="shared" si="3"/>
        <v>-76174.37508</v>
      </c>
      <c r="AP3" s="12">
        <f t="shared" si="4"/>
        <v>-682.6528926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IFERROR(__xludf.DUMMYFUNCTION("""COMPUTED_VALUE"""),"Form G4 Incompleto Instagram")</f>
        <v>Form G4 Incompleto Instagram</v>
      </c>
      <c r="B4" s="18">
        <f>IFERROR(__xludf.DUMMYFUNCTION("""COMPUTED_VALUE"""),316.1290322580644)</f>
        <v>316.1290323</v>
      </c>
      <c r="C4" s="19">
        <f>IFERROR(__xludf.DUMMYFUNCTION("""COMPUTED_VALUE"""),238.0)</f>
        <v>238</v>
      </c>
      <c r="D4" s="20">
        <f>IFERROR(__xludf.DUMMYFUNCTION("""COMPUTED_VALUE"""),-78.1290322580644)</f>
        <v>-78.12903226</v>
      </c>
      <c r="E4" s="21">
        <f>IFERROR(__xludf.DUMMYFUNCTION("""COMPUTED_VALUE"""),-0.24714285714285686)</f>
        <v>-0.2471428571</v>
      </c>
      <c r="F4" s="22">
        <f>IFERROR(__xludf.DUMMYFUNCTION("""COMPUTED_VALUE"""),0.7)</f>
        <v>0.7</v>
      </c>
      <c r="G4" s="22">
        <f>IFERROR(__xludf.DUMMYFUNCTION("""COMPUTED_VALUE"""),0.680672268907563)</f>
        <v>0.6806722689</v>
      </c>
      <c r="H4" s="23">
        <f>IFERROR(__xludf.DUMMYFUNCTION("""COMPUTED_VALUE"""),-1.9327731092436906)</f>
        <v>-1.932773109</v>
      </c>
      <c r="I4" s="18">
        <f>IFERROR(__xludf.DUMMYFUNCTION("""COMPUTED_VALUE"""),221.29032258064504)</f>
        <v>221.2903226</v>
      </c>
      <c r="J4" s="19">
        <f>IFERROR(__xludf.DUMMYFUNCTION("""COMPUTED_VALUE"""),162.0)</f>
        <v>162</v>
      </c>
      <c r="K4" s="20">
        <f>IFERROR(__xludf.DUMMYFUNCTION("""COMPUTED_VALUE"""),-59.29032258064504)</f>
        <v>-59.29032258</v>
      </c>
      <c r="L4" s="21">
        <f>IFERROR(__xludf.DUMMYFUNCTION("""COMPUTED_VALUE"""),-0.2679300291545185)</f>
        <v>-0.2679300292</v>
      </c>
      <c r="M4" s="24">
        <f>IFERROR(__xludf.DUMMYFUNCTION("""COMPUTED_VALUE"""),0.18)</f>
        <v>0.18</v>
      </c>
      <c r="N4" s="22">
        <f>IFERROR(__xludf.DUMMYFUNCTION("""COMPUTED_VALUE"""),0.17901234567901234)</f>
        <v>0.1790123457</v>
      </c>
      <c r="O4" s="25">
        <f>IFERROR(__xludf.DUMMYFUNCTION("""COMPUTED_VALUE"""),-0.09876543209876576)</f>
        <v>-0.0987654321</v>
      </c>
      <c r="P4" s="18">
        <f>IFERROR(__xludf.DUMMYFUNCTION("""COMPUTED_VALUE"""),44.09999999999999)</f>
        <v>44.1</v>
      </c>
      <c r="Q4" s="19">
        <f>IFERROR(__xludf.DUMMYFUNCTION("""COMPUTED_VALUE"""),29.0)</f>
        <v>29</v>
      </c>
      <c r="R4" s="20">
        <f>IFERROR(__xludf.DUMMYFUNCTION("""COMPUTED_VALUE"""),-15.099999999999987)</f>
        <v>-15.1</v>
      </c>
      <c r="S4" s="26">
        <f>IFERROR(__xludf.DUMMYFUNCTION("""COMPUTED_VALUE"""),-0.34240362811791364)</f>
        <v>-0.3424036281</v>
      </c>
      <c r="T4" s="22">
        <f>IFERROR(__xludf.DUMMYFUNCTION("""COMPUTED_VALUE"""),0.12)</f>
        <v>0.12</v>
      </c>
      <c r="U4" s="22">
        <f>IFERROR(__xludf.DUMMYFUNCTION("""COMPUTED_VALUE"""),0.10344827586206896)</f>
        <v>0.1034482759</v>
      </c>
      <c r="V4" s="23">
        <f>IFERROR(__xludf.DUMMYFUNCTION("""COMPUTED_VALUE"""),-1.6551724137931032)</f>
        <v>-1.655172414</v>
      </c>
      <c r="W4" s="18">
        <f>IFERROR(__xludf.DUMMYFUNCTION("""COMPUTED_VALUE"""),5.291999999999998)</f>
        <v>5.292</v>
      </c>
      <c r="X4" s="19">
        <f>IFERROR(__xludf.DUMMYFUNCTION("""COMPUTED_VALUE"""),3.0)</f>
        <v>3</v>
      </c>
      <c r="Y4" s="20">
        <f>IFERROR(__xludf.DUMMYFUNCTION("""COMPUTED_VALUE"""),-2.291999999999998)</f>
        <v>-2.292</v>
      </c>
      <c r="Z4" s="27">
        <f>IFERROR(__xludf.DUMMYFUNCTION("""COMPUTED_VALUE"""),-0.4331065759637186)</f>
        <v>-0.433106576</v>
      </c>
      <c r="AA4" s="18">
        <f>IFERROR(__xludf.DUMMYFUNCTION("""COMPUTED_VALUE"""),17000.0)</f>
        <v>17000</v>
      </c>
      <c r="AB4" s="19">
        <f>IFERROR(__xludf.DUMMYFUNCTION("""COMPUTED_VALUE"""),13207.666666666666)</f>
        <v>13207.66667</v>
      </c>
      <c r="AC4" s="20">
        <f>IFERROR(__xludf.DUMMYFUNCTION("""COMPUTED_VALUE"""),-3792.333333333334)</f>
        <v>-3792.333333</v>
      </c>
      <c r="AD4" s="27">
        <f>IFERROR(__xludf.DUMMYFUNCTION("""COMPUTED_VALUE"""),-0.22307843137254907)</f>
        <v>-0.2230784314</v>
      </c>
      <c r="AE4" s="18">
        <f>IFERROR(__xludf.DUMMYFUNCTION("""COMPUTED_VALUE"""),66573.35999999999)</f>
        <v>66573.36</v>
      </c>
      <c r="AF4" s="19">
        <f>IFERROR(__xludf.DUMMYFUNCTION("""COMPUTED_VALUE"""),39623.0)</f>
        <v>39623</v>
      </c>
      <c r="AG4" s="20">
        <f>IFERROR(__xludf.DUMMYFUNCTION("""COMPUTED_VALUE"""),-26950.359999999986)</f>
        <v>-26950.36</v>
      </c>
      <c r="AH4" s="28">
        <f>IFERROR(__xludf.DUMMYFUNCTION("""COMPUTED_VALUE"""),-0.40482198885560217)</f>
        <v>-0.4048219889</v>
      </c>
      <c r="AI4" s="29">
        <f>IFERROR(__xludf.DUMMYFUNCTION("""COMPUTED_VALUE"""),-21771.406451612856)</f>
        <v>-21771.40645</v>
      </c>
      <c r="AJ4" s="29">
        <f>IFERROR(__xludf.DUMMYFUNCTION("""COMPUTED_VALUE"""),-19863.399999999998)</f>
        <v>-19863.4</v>
      </c>
      <c r="AK4" s="4">
        <f>IFERROR(__xludf.DUMMYFUNCTION("""COMPUTED_VALUE"""),2040.0)</f>
        <v>2040</v>
      </c>
      <c r="AL4" s="30">
        <f>IFERROR(__xludf.DUMMYFUNCTION("""COMPUTED_VALUE"""),1366.3103448275863)</f>
        <v>1366.310345</v>
      </c>
      <c r="AM4" s="29">
        <f t="shared" si="1"/>
        <v>-673.6896552</v>
      </c>
      <c r="AN4" s="31">
        <f t="shared" si="2"/>
        <v>-0.330240027</v>
      </c>
      <c r="AO4" s="12">
        <f t="shared" si="3"/>
        <v>-326.4</v>
      </c>
      <c r="AP4" s="12">
        <f t="shared" si="4"/>
        <v>-19537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IFERROR(__xludf.DUMMYFUNCTION("""COMPUTED_VALUE"""),"Form G4 - K Outros")</f>
        <v>Form G4 - K Outros</v>
      </c>
      <c r="B5" s="18">
        <f>IFERROR(__xludf.DUMMYFUNCTION("""COMPUTED_VALUE"""),292.64516129032245)</f>
        <v>292.6451613</v>
      </c>
      <c r="C5" s="19">
        <f>IFERROR(__xludf.DUMMYFUNCTION("""COMPUTED_VALUE"""),215.0)</f>
        <v>215</v>
      </c>
      <c r="D5" s="20">
        <f>IFERROR(__xludf.DUMMYFUNCTION("""COMPUTED_VALUE"""),-77.64516129032245)</f>
        <v>-77.64516129</v>
      </c>
      <c r="E5" s="21">
        <f>IFERROR(__xludf.DUMMYFUNCTION("""COMPUTED_VALUE"""),-0.2653218694885358)</f>
        <v>-0.2653218695</v>
      </c>
      <c r="F5" s="22">
        <f>IFERROR(__xludf.DUMMYFUNCTION("""COMPUTED_VALUE"""),0.6875)</f>
        <v>0.6875</v>
      </c>
      <c r="G5" s="22">
        <f>IFERROR(__xludf.DUMMYFUNCTION("""COMPUTED_VALUE"""),0.6651162790697674)</f>
        <v>0.6651162791</v>
      </c>
      <c r="H5" s="23">
        <f>IFERROR(__xludf.DUMMYFUNCTION("""COMPUTED_VALUE"""),-2.2383720930232553)</f>
        <v>-2.238372093</v>
      </c>
      <c r="I5" s="18">
        <f>IFERROR(__xludf.DUMMYFUNCTION("""COMPUTED_VALUE"""),201.19354838709668)</f>
        <v>201.1935484</v>
      </c>
      <c r="J5" s="19">
        <f>IFERROR(__xludf.DUMMYFUNCTION("""COMPUTED_VALUE"""),143.0)</f>
        <v>143</v>
      </c>
      <c r="K5" s="20">
        <f>IFERROR(__xludf.DUMMYFUNCTION("""COMPUTED_VALUE"""),-58.19354838709668)</f>
        <v>-58.19354839</v>
      </c>
      <c r="L5" s="21">
        <f>IFERROR(__xludf.DUMMYFUNCTION("""COMPUTED_VALUE"""),-0.2892416225749556)</f>
        <v>-0.2892416226</v>
      </c>
      <c r="M5" s="24">
        <f>IFERROR(__xludf.DUMMYFUNCTION("""COMPUTED_VALUE"""),0.217)</f>
        <v>0.217</v>
      </c>
      <c r="N5" s="22">
        <f>IFERROR(__xludf.DUMMYFUNCTION("""COMPUTED_VALUE"""),0.22377622377622378)</f>
        <v>0.2237762238</v>
      </c>
      <c r="O5" s="25">
        <f>IFERROR(__xludf.DUMMYFUNCTION("""COMPUTED_VALUE"""),0.6776223776223778)</f>
        <v>0.6776223776</v>
      </c>
      <c r="P5" s="18">
        <f>IFERROR(__xludf.DUMMYFUNCTION("""COMPUTED_VALUE"""),48.336749999999995)</f>
        <v>48.33675</v>
      </c>
      <c r="Q5" s="19">
        <f>IFERROR(__xludf.DUMMYFUNCTION("""COMPUTED_VALUE"""),32.0)</f>
        <v>32</v>
      </c>
      <c r="R5" s="20">
        <f>IFERROR(__xludf.DUMMYFUNCTION("""COMPUTED_VALUE"""),-16.336749999999995)</f>
        <v>-16.33675</v>
      </c>
      <c r="S5" s="26">
        <f>IFERROR(__xludf.DUMMYFUNCTION("""COMPUTED_VALUE"""),-0.33797783260148845)</f>
        <v>-0.3379778326</v>
      </c>
      <c r="T5" s="22">
        <f>IFERROR(__xludf.DUMMYFUNCTION("""COMPUTED_VALUE"""),0.148)</f>
        <v>0.148</v>
      </c>
      <c r="U5" s="22">
        <f>IFERROR(__xludf.DUMMYFUNCTION("""COMPUTED_VALUE"""),0.125)</f>
        <v>0.125</v>
      </c>
      <c r="V5" s="23">
        <f>IFERROR(__xludf.DUMMYFUNCTION("""COMPUTED_VALUE"""),-2.2999999999999994)</f>
        <v>-2.3</v>
      </c>
      <c r="W5" s="18">
        <f>IFERROR(__xludf.DUMMYFUNCTION("""COMPUTED_VALUE"""),7.153838999999999)</f>
        <v>7.153839</v>
      </c>
      <c r="X5" s="19">
        <f>IFERROR(__xludf.DUMMYFUNCTION("""COMPUTED_VALUE"""),4.0)</f>
        <v>4</v>
      </c>
      <c r="Y5" s="20">
        <f>IFERROR(__xludf.DUMMYFUNCTION("""COMPUTED_VALUE"""),-3.1538389999999987)</f>
        <v>-3.153839</v>
      </c>
      <c r="Z5" s="27">
        <f>IFERROR(__xludf.DUMMYFUNCTION("""COMPUTED_VALUE"""),-0.44085965591341925)</f>
        <v>-0.4408596559</v>
      </c>
      <c r="AA5" s="18">
        <f>IFERROR(__xludf.DUMMYFUNCTION("""COMPUTED_VALUE"""),10805.0)</f>
        <v>10805</v>
      </c>
      <c r="AB5" s="19">
        <f>IFERROR(__xludf.DUMMYFUNCTION("""COMPUTED_VALUE"""),17424.0)</f>
        <v>17424</v>
      </c>
      <c r="AC5" s="20">
        <f>IFERROR(__xludf.DUMMYFUNCTION("""COMPUTED_VALUE"""),6619.0)</f>
        <v>6619</v>
      </c>
      <c r="AD5" s="27">
        <f>IFERROR(__xludf.DUMMYFUNCTION("""COMPUTED_VALUE"""),0.6125867653863952)</f>
        <v>0.6125867654</v>
      </c>
      <c r="AE5" s="18">
        <f>IFERROR(__xludf.DUMMYFUNCTION("""COMPUTED_VALUE"""),57199.95049229999)</f>
        <v>57199.95049</v>
      </c>
      <c r="AF5" s="19">
        <f>IFERROR(__xludf.DUMMYFUNCTION("""COMPUTED_VALUE"""),69696.0)</f>
        <v>69696</v>
      </c>
      <c r="AG5" s="20">
        <f>IFERROR(__xludf.DUMMYFUNCTION("""COMPUTED_VALUE"""),12496.049507700009)</f>
        <v>12496.04951</v>
      </c>
      <c r="AH5" s="28">
        <f>IFERROR(__xludf.DUMMYFUNCTION("""COMPUTED_VALUE"""),0.21846259306434493)</f>
        <v>0.2184625931</v>
      </c>
      <c r="AI5" s="29">
        <f>IFERROR(__xludf.DUMMYFUNCTION("""COMPUTED_VALUE"""),-20193.939919999968)</f>
        <v>-20193.93992</v>
      </c>
      <c r="AJ5" s="29">
        <f>IFERROR(__xludf.DUMMYFUNCTION("""COMPUTED_VALUE"""),20073.086659999997)</f>
        <v>20073.08666</v>
      </c>
      <c r="AK5" s="4">
        <f>IFERROR(__xludf.DUMMYFUNCTION("""COMPUTED_VALUE"""),1599.1399999999996)</f>
        <v>1599.14</v>
      </c>
      <c r="AL5" s="30">
        <f>IFERROR(__xludf.DUMMYFUNCTION("""COMPUTED_VALUE"""),2178.0)</f>
        <v>2178</v>
      </c>
      <c r="AM5" s="29">
        <f t="shared" si="1"/>
        <v>578.86</v>
      </c>
      <c r="AN5" s="31">
        <f t="shared" si="2"/>
        <v>0.3619820654</v>
      </c>
      <c r="AO5" s="12">
        <f t="shared" si="3"/>
        <v>1549.56666</v>
      </c>
      <c r="AP5" s="12">
        <f t="shared" si="4"/>
        <v>18523.52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IFERROR(__xludf.DUMMYFUNCTION("""COMPUTED_VALUE"""),"[ON] Abandono de carrinho")</f>
        <v>[ON] Abandono de carrinho</v>
      </c>
      <c r="B6" s="18">
        <f>IFERROR(__xludf.DUMMYFUNCTION("""COMPUTED_VALUE"""),146.32258064516122)</f>
        <v>146.3225806</v>
      </c>
      <c r="C6" s="19">
        <f>IFERROR(__xludf.DUMMYFUNCTION("""COMPUTED_VALUE"""),121.0)</f>
        <v>121</v>
      </c>
      <c r="D6" s="20">
        <f>IFERROR(__xludf.DUMMYFUNCTION("""COMPUTED_VALUE"""),-25.322580645161224)</f>
        <v>-25.32258065</v>
      </c>
      <c r="E6" s="21">
        <f>IFERROR(__xludf.DUMMYFUNCTION("""COMPUTED_VALUE"""),-0.17305996472663102)</f>
        <v>-0.1730599647</v>
      </c>
      <c r="F6" s="22">
        <f>IFERROR(__xludf.DUMMYFUNCTION("""COMPUTED_VALUE"""),0.6977848101265823)</f>
        <v>0.6977848101</v>
      </c>
      <c r="G6" s="22">
        <f>IFERROR(__xludf.DUMMYFUNCTION("""COMPUTED_VALUE"""),0.6446280991735537)</f>
        <v>0.6446280992</v>
      </c>
      <c r="H6" s="23">
        <f>IFERROR(__xludf.DUMMYFUNCTION("""COMPUTED_VALUE"""),-5.315671095302865)</f>
        <v>-5.315671095</v>
      </c>
      <c r="I6" s="18">
        <f>IFERROR(__xludf.DUMMYFUNCTION("""COMPUTED_VALUE"""),102.10167415271536)</f>
        <v>102.1016742</v>
      </c>
      <c r="J6" s="19">
        <f>IFERROR(__xludf.DUMMYFUNCTION("""COMPUTED_VALUE"""),78.0)</f>
        <v>78</v>
      </c>
      <c r="K6" s="20">
        <f>IFERROR(__xludf.DUMMYFUNCTION("""COMPUTED_VALUE"""),-24.10167415271536)</f>
        <v>-24.10167415</v>
      </c>
      <c r="L6" s="21">
        <f>IFERROR(__xludf.DUMMYFUNCTION("""COMPUTED_VALUE"""),-0.23605562154314963)</f>
        <v>-0.2360556215</v>
      </c>
      <c r="M6" s="24">
        <f>IFERROR(__xludf.DUMMYFUNCTION("""COMPUTED_VALUE"""),0.213)</f>
        <v>0.213</v>
      </c>
      <c r="N6" s="22">
        <f>IFERROR(__xludf.DUMMYFUNCTION("""COMPUTED_VALUE"""),0.15384615384615385)</f>
        <v>0.1538461538</v>
      </c>
      <c r="O6" s="25">
        <f>IFERROR(__xludf.DUMMYFUNCTION("""COMPUTED_VALUE"""),-5.915384615384614)</f>
        <v>-5.915384615</v>
      </c>
      <c r="P6" s="18">
        <f>IFERROR(__xludf.DUMMYFUNCTION("""COMPUTED_VALUE"""),24.077762658227847)</f>
        <v>24.07776266</v>
      </c>
      <c r="Q6" s="19">
        <f>IFERROR(__xludf.DUMMYFUNCTION("""COMPUTED_VALUE"""),12.0)</f>
        <v>12</v>
      </c>
      <c r="R6" s="20">
        <f>IFERROR(__xludf.DUMMYFUNCTION("""COMPUTED_VALUE"""),-12.077762658227847)</f>
        <v>-12.07776266</v>
      </c>
      <c r="S6" s="26">
        <f>IFERROR(__xludf.DUMMYFUNCTION("""COMPUTED_VALUE"""),-0.5016148231738067)</f>
        <v>-0.5016148232</v>
      </c>
      <c r="T6" s="22">
        <f>IFERROR(__xludf.DUMMYFUNCTION("""COMPUTED_VALUE"""),0.718)</f>
        <v>0.718</v>
      </c>
      <c r="U6" s="22">
        <f>IFERROR(__xludf.DUMMYFUNCTION("""COMPUTED_VALUE"""),0.6666666666666666)</f>
        <v>0.6666666667</v>
      </c>
      <c r="V6" s="23">
        <f>IFERROR(__xludf.DUMMYFUNCTION("""COMPUTED_VALUE"""),-5.133333333333335)</f>
        <v>-5.133333333</v>
      </c>
      <c r="W6" s="18">
        <f>IFERROR(__xludf.DUMMYFUNCTION("""COMPUTED_VALUE"""),17.287833588607594)</f>
        <v>17.28783359</v>
      </c>
      <c r="X6" s="19">
        <f>IFERROR(__xludf.DUMMYFUNCTION("""COMPUTED_VALUE"""),8.0)</f>
        <v>8</v>
      </c>
      <c r="Y6" s="20">
        <f>IFERROR(__xludf.DUMMYFUNCTION("""COMPUTED_VALUE"""),-9.287833588607594)</f>
        <v>-9.287833589</v>
      </c>
      <c r="Z6" s="27">
        <f>IFERROR(__xludf.DUMMYFUNCTION("""COMPUTED_VALUE"""),-0.5372468181743795)</f>
        <v>-0.5372468182</v>
      </c>
      <c r="AA6" s="18">
        <f>IFERROR(__xludf.DUMMYFUNCTION("""COMPUTED_VALUE"""),3046.0)</f>
        <v>3046</v>
      </c>
      <c r="AB6" s="19">
        <f>IFERROR(__xludf.DUMMYFUNCTION("""COMPUTED_VALUE"""),1984.1625061035156)</f>
        <v>1984.162506</v>
      </c>
      <c r="AC6" s="20">
        <f>IFERROR(__xludf.DUMMYFUNCTION("""COMPUTED_VALUE"""),-1061.8374938964844)</f>
        <v>-1061.837494</v>
      </c>
      <c r="AD6" s="27">
        <f>IFERROR(__xludf.DUMMYFUNCTION("""COMPUTED_VALUE"""),-0.34860062176509665)</f>
        <v>-0.3486006218</v>
      </c>
      <c r="AE6" s="18">
        <f>IFERROR(__xludf.DUMMYFUNCTION("""COMPUTED_VALUE"""),38967.46842206507)</f>
        <v>38967.46842</v>
      </c>
      <c r="AF6" s="19">
        <f>IFERROR(__xludf.DUMMYFUNCTION("""COMPUTED_VALUE"""),15873.300048828125)</f>
        <v>15873.30005</v>
      </c>
      <c r="AG6" s="20">
        <f>IFERROR(__xludf.DUMMYFUNCTION("""COMPUTED_VALUE"""),-23094.168373236942)</f>
        <v>-23094.16837</v>
      </c>
      <c r="AH6" s="28">
        <f>IFERROR(__xludf.DUMMYFUNCTION("""COMPUTED_VALUE"""),-0.5926525203818481)</f>
        <v>-0.5926525204</v>
      </c>
      <c r="AI6" s="29">
        <f>IFERROR(__xludf.DUMMYFUNCTION("""COMPUTED_VALUE"""),-11227.450714618197)</f>
        <v>-11227.45071</v>
      </c>
      <c r="AJ6" s="29">
        <f>IFERROR(__xludf.DUMMYFUNCTION("""COMPUTED_VALUE"""),-20461.98314317188)</f>
        <v>-20461.98314</v>
      </c>
      <c r="AK6" s="4">
        <f>IFERROR(__xludf.DUMMYFUNCTION("""COMPUTED_VALUE"""),2187.0280000000002)</f>
        <v>2187.028</v>
      </c>
      <c r="AL6" s="30">
        <f>IFERROR(__xludf.DUMMYFUNCTION("""COMPUTED_VALUE"""),1322.7750040690105)</f>
        <v>1322.775004</v>
      </c>
      <c r="AM6" s="29">
        <f t="shared" si="1"/>
        <v>-864.2529959</v>
      </c>
      <c r="AN6" s="31">
        <f t="shared" si="2"/>
        <v>-0.3951723508</v>
      </c>
      <c r="AO6" s="12">
        <f t="shared" si="3"/>
        <v>-10090.94719</v>
      </c>
      <c r="AP6" s="12">
        <f t="shared" si="4"/>
        <v>-10371.03595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IFERROR(__xludf.DUMMYFUNCTION("""COMPUTED_VALUE"""),"[IM] Form G4 Facebook Ads - K")</f>
        <v>[IM] Form G4 Facebook Ads - K</v>
      </c>
      <c r="B7" s="18">
        <f>IFERROR(__xludf.DUMMYFUNCTION("""COMPUTED_VALUE"""),127.62580645161286)</f>
        <v>127.6258065</v>
      </c>
      <c r="C7" s="19">
        <f>IFERROR(__xludf.DUMMYFUNCTION("""COMPUTED_VALUE"""),199.0)</f>
        <v>199</v>
      </c>
      <c r="D7" s="20">
        <f>IFERROR(__xludf.DUMMYFUNCTION("""COMPUTED_VALUE"""),71.37419354838714)</f>
        <v>71.37419355</v>
      </c>
      <c r="E7" s="21">
        <f>IFERROR(__xludf.DUMMYFUNCTION("""COMPUTED_VALUE"""),0.5592457789910025)</f>
        <v>0.559245779</v>
      </c>
      <c r="F7" s="22">
        <f>IFERROR(__xludf.DUMMYFUNCTION("""COMPUTED_VALUE"""),0.60828025477707)</f>
        <v>0.6082802548</v>
      </c>
      <c r="G7" s="22">
        <f>IFERROR(__xludf.DUMMYFUNCTION("""COMPUTED_VALUE"""),0.5678391959798995)</f>
        <v>0.567839196</v>
      </c>
      <c r="H7" s="23">
        <f>IFERROR(__xludf.DUMMYFUNCTION("""COMPUTED_VALUE"""),-4.044105879717053)</f>
        <v>-4.04410588</v>
      </c>
      <c r="I7" s="18">
        <f>IFERROR(__xludf.DUMMYFUNCTION("""COMPUTED_VALUE"""),77.6322580645161)</f>
        <v>77.63225806</v>
      </c>
      <c r="J7" s="19">
        <f>IFERROR(__xludf.DUMMYFUNCTION("""COMPUTED_VALUE"""),113.0)</f>
        <v>113</v>
      </c>
      <c r="K7" s="20">
        <f>IFERROR(__xludf.DUMMYFUNCTION("""COMPUTED_VALUE"""),35.367741935483906)</f>
        <v>35.36774194</v>
      </c>
      <c r="L7" s="21">
        <f>IFERROR(__xludf.DUMMYFUNCTION("""COMPUTED_VALUE"""),0.4555804869941002)</f>
        <v>0.455580487</v>
      </c>
      <c r="M7" s="24">
        <f>IFERROR(__xludf.DUMMYFUNCTION("""COMPUTED_VALUE"""),0.26947643979057595)</f>
        <v>0.2694764398</v>
      </c>
      <c r="N7" s="22">
        <f>IFERROR(__xludf.DUMMYFUNCTION("""COMPUTED_VALUE"""),0.22123893805309736)</f>
        <v>0.2212389381</v>
      </c>
      <c r="O7" s="25">
        <f>IFERROR(__xludf.DUMMYFUNCTION("""COMPUTED_VALUE"""),-4.823750173747859)</f>
        <v>-4.823750174</v>
      </c>
      <c r="P7" s="18">
        <f>IFERROR(__xludf.DUMMYFUNCTION("""COMPUTED_VALUE"""),23.1615)</f>
        <v>23.1615</v>
      </c>
      <c r="Q7" s="19">
        <f>IFERROR(__xludf.DUMMYFUNCTION("""COMPUTED_VALUE"""),25.0)</f>
        <v>25</v>
      </c>
      <c r="R7" s="20">
        <f>IFERROR(__xludf.DUMMYFUNCTION("""COMPUTED_VALUE"""),1.8384999999999998)</f>
        <v>1.8385</v>
      </c>
      <c r="S7" s="26">
        <f>IFERROR(__xludf.DUMMYFUNCTION("""COMPUTED_VALUE"""),0.07937741510696629)</f>
        <v>0.07937741511</v>
      </c>
      <c r="T7" s="22">
        <f>IFERROR(__xludf.DUMMYFUNCTION("""COMPUTED_VALUE"""),0.15789473684210525)</f>
        <v>0.1578947368</v>
      </c>
      <c r="U7" s="22">
        <f>IFERROR(__xludf.DUMMYFUNCTION("""COMPUTED_VALUE"""),0.08)</f>
        <v>0.08</v>
      </c>
      <c r="V7" s="23">
        <f>IFERROR(__xludf.DUMMYFUNCTION("""COMPUTED_VALUE"""),-7.789473684210526)</f>
        <v>-7.789473684</v>
      </c>
      <c r="W7" s="18">
        <f>IFERROR(__xludf.DUMMYFUNCTION("""COMPUTED_VALUE"""),3.657078947368421)</f>
        <v>3.657078947</v>
      </c>
      <c r="X7" s="19">
        <f>IFERROR(__xludf.DUMMYFUNCTION("""COMPUTED_VALUE"""),2.0)</f>
        <v>2</v>
      </c>
      <c r="Y7" s="20">
        <f>IFERROR(__xludf.DUMMYFUNCTION("""COMPUTED_VALUE"""),-1.6570789473684209)</f>
        <v>-1.657078947</v>
      </c>
      <c r="Z7" s="27">
        <f>IFERROR(__xludf.DUMMYFUNCTION("""COMPUTED_VALUE"""),-0.45311544301247036)</f>
        <v>-0.453115443</v>
      </c>
      <c r="AA7" s="18">
        <f>IFERROR(__xludf.DUMMYFUNCTION("""COMPUTED_VALUE"""),14341.0)</f>
        <v>14341</v>
      </c>
      <c r="AB7" s="19">
        <f>IFERROR(__xludf.DUMMYFUNCTION("""COMPUTED_VALUE"""),3997.0)</f>
        <v>3997</v>
      </c>
      <c r="AC7" s="20">
        <f>IFERROR(__xludf.DUMMYFUNCTION("""COMPUTED_VALUE"""),-10344.0)</f>
        <v>-10344</v>
      </c>
      <c r="AD7" s="27">
        <f>IFERROR(__xludf.DUMMYFUNCTION("""COMPUTED_VALUE"""),-0.7212886130674291)</f>
        <v>-0.7212886131</v>
      </c>
      <c r="AE7" s="18">
        <f>IFERROR(__xludf.DUMMYFUNCTION("""COMPUTED_VALUE"""),38810.16519631579)</f>
        <v>38810.1652</v>
      </c>
      <c r="AF7" s="19">
        <f>IFERROR(__xludf.DUMMYFUNCTION("""COMPUTED_VALUE"""),7994.0)</f>
        <v>7994</v>
      </c>
      <c r="AG7" s="20">
        <f>IFERROR(__xludf.DUMMYFUNCTION("""COMPUTED_VALUE"""),-30816.165196315793)</f>
        <v>-30816.1652</v>
      </c>
      <c r="AH7" s="28">
        <f>IFERROR(__xludf.DUMMYFUNCTION("""COMPUTED_VALUE"""),-0.7940230359864878)</f>
        <v>-0.794023036</v>
      </c>
      <c r="AI7" s="29">
        <f>IFERROR(__xludf.DUMMYFUNCTION("""COMPUTED_VALUE"""),21581.181817473956)</f>
        <v>21581.18182</v>
      </c>
      <c r="AJ7" s="29">
        <f>IFERROR(__xludf.DUMMYFUNCTION("""COMPUTED_VALUE"""),-60957.915274180225)</f>
        <v>-60957.91527</v>
      </c>
      <c r="AK7" s="4">
        <f>IFERROR(__xludf.DUMMYFUNCTION("""COMPUTED_VALUE"""),2264.368421052631)</f>
        <v>2264.368421</v>
      </c>
      <c r="AL7" s="30">
        <f>IFERROR(__xludf.DUMMYFUNCTION("""COMPUTED_VALUE"""),319.76)</f>
        <v>319.76</v>
      </c>
      <c r="AM7" s="29">
        <f t="shared" si="1"/>
        <v>-1944.608421</v>
      </c>
      <c r="AN7" s="31">
        <f t="shared" si="2"/>
        <v>-0.8587862306</v>
      </c>
      <c r="AO7" s="12">
        <f t="shared" si="3"/>
        <v>-12342.70475</v>
      </c>
      <c r="AP7" s="12">
        <f t="shared" si="4"/>
        <v>-48615.21053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IFERROR(__xludf.DUMMYFUNCTION("""COMPUTED_VALUE"""),"[ON] Chat")</f>
        <v>[ON] Chat</v>
      </c>
      <c r="B8" s="18">
        <f>IFERROR(__xludf.DUMMYFUNCTION("""COMPUTED_VALUE"""),67.74193548387095)</f>
        <v>67.74193548</v>
      </c>
      <c r="C8" s="19">
        <f>IFERROR(__xludf.DUMMYFUNCTION("""COMPUTED_VALUE"""),46.0)</f>
        <v>46</v>
      </c>
      <c r="D8" s="20">
        <f>IFERROR(__xludf.DUMMYFUNCTION("""COMPUTED_VALUE"""),-21.741935483870947)</f>
        <v>-21.74193548</v>
      </c>
      <c r="E8" s="21">
        <f>IFERROR(__xludf.DUMMYFUNCTION("""COMPUTED_VALUE"""),-0.32095238095238077)</f>
        <v>-0.320952381</v>
      </c>
      <c r="F8" s="22">
        <f>IFERROR(__xludf.DUMMYFUNCTION("""COMPUTED_VALUE"""),0.5150115473441109)</f>
        <v>0.5150115473</v>
      </c>
      <c r="G8" s="22">
        <f>IFERROR(__xludf.DUMMYFUNCTION("""COMPUTED_VALUE"""),0.7608695652173914)</f>
        <v>0.7608695652</v>
      </c>
      <c r="H8" s="23">
        <f>IFERROR(__xludf.DUMMYFUNCTION("""COMPUTED_VALUE"""),24.585801787328045)</f>
        <v>24.58580179</v>
      </c>
      <c r="I8" s="18">
        <f>IFERROR(__xludf.DUMMYFUNCTION("""COMPUTED_VALUE"""),34.88787901363331)</f>
        <v>34.88787901</v>
      </c>
      <c r="J8" s="19">
        <f>IFERROR(__xludf.DUMMYFUNCTION("""COMPUTED_VALUE"""),35.0)</f>
        <v>35</v>
      </c>
      <c r="K8" s="20">
        <f>IFERROR(__xludf.DUMMYFUNCTION("""COMPUTED_VALUE"""),0.11212098636669054)</f>
        <v>0.1121209864</v>
      </c>
      <c r="L8" s="21">
        <f>IFERROR(__xludf.DUMMYFUNCTION("""COMPUTED_VALUE"""),0.0032137518684605755)</f>
        <v>0.003213751868</v>
      </c>
      <c r="M8" s="24">
        <f>IFERROR(__xludf.DUMMYFUNCTION("""COMPUTED_VALUE"""),0.641)</f>
        <v>0.641</v>
      </c>
      <c r="N8" s="22">
        <f>IFERROR(__xludf.DUMMYFUNCTION("""COMPUTED_VALUE"""),0.6857142857142857)</f>
        <v>0.6857142857</v>
      </c>
      <c r="O8" s="25">
        <f>IFERROR(__xludf.DUMMYFUNCTION("""COMPUTED_VALUE"""),4.471428571428571)</f>
        <v>4.471428571</v>
      </c>
      <c r="P8" s="18">
        <f>IFERROR(__xludf.DUMMYFUNCTION("""COMPUTED_VALUE"""),24.75918013856813)</f>
        <v>24.75918014</v>
      </c>
      <c r="Q8" s="19">
        <f>IFERROR(__xludf.DUMMYFUNCTION("""COMPUTED_VALUE"""),24.0)</f>
        <v>24</v>
      </c>
      <c r="R8" s="20">
        <f>IFERROR(__xludf.DUMMYFUNCTION("""COMPUTED_VALUE"""),-0.75918013856813)</f>
        <v>-0.7591801386</v>
      </c>
      <c r="S8" s="26">
        <f>IFERROR(__xludf.DUMMYFUNCTION("""COMPUTED_VALUE"""),-0.030662571794351622)</f>
        <v>-0.03066257179</v>
      </c>
      <c r="T8" s="22">
        <f>IFERROR(__xludf.DUMMYFUNCTION("""COMPUTED_VALUE"""),0.351)</f>
        <v>0.351</v>
      </c>
      <c r="U8" s="22">
        <f>IFERROR(__xludf.DUMMYFUNCTION("""COMPUTED_VALUE"""),0.125)</f>
        <v>0.125</v>
      </c>
      <c r="V8" s="23">
        <f>IFERROR(__xludf.DUMMYFUNCTION("""COMPUTED_VALUE"""),-22.599999999999998)</f>
        <v>-22.6</v>
      </c>
      <c r="W8" s="18">
        <f>IFERROR(__xludf.DUMMYFUNCTION("""COMPUTED_VALUE"""),8.690472228637413)</f>
        <v>8.690472229</v>
      </c>
      <c r="X8" s="19">
        <f>IFERROR(__xludf.DUMMYFUNCTION("""COMPUTED_VALUE"""),3.0)</f>
        <v>3</v>
      </c>
      <c r="Y8" s="20">
        <f>IFERROR(__xludf.DUMMYFUNCTION("""COMPUTED_VALUE"""),-5.690472228637413)</f>
        <v>-5.690472229</v>
      </c>
      <c r="Z8" s="27">
        <f>IFERROR(__xludf.DUMMYFUNCTION("""COMPUTED_VALUE"""),-0.6547943631746266)</f>
        <v>-0.6547943632</v>
      </c>
      <c r="AA8" s="18">
        <f>IFERROR(__xludf.DUMMYFUNCTION("""COMPUTED_VALUE"""),4128.0)</f>
        <v>4128</v>
      </c>
      <c r="AB8" s="19">
        <f>IFERROR(__xludf.DUMMYFUNCTION("""COMPUTED_VALUE"""),8631.333333333334)</f>
        <v>8631.333333</v>
      </c>
      <c r="AC8" s="20">
        <f>IFERROR(__xludf.DUMMYFUNCTION("""COMPUTED_VALUE"""),4503.333333333334)</f>
        <v>4503.333333</v>
      </c>
      <c r="AD8" s="27">
        <f>IFERROR(__xludf.DUMMYFUNCTION("""COMPUTED_VALUE"""),1.0909237726098193)</f>
        <v>1.090923773</v>
      </c>
      <c r="AE8" s="18">
        <f>IFERROR(__xludf.DUMMYFUNCTION("""COMPUTED_VALUE"""),26546.959326263284)</f>
        <v>26546.95933</v>
      </c>
      <c r="AF8" s="19">
        <f>IFERROR(__xludf.DUMMYFUNCTION("""COMPUTED_VALUE"""),25894.0)</f>
        <v>25894</v>
      </c>
      <c r="AG8" s="20">
        <f>IFERROR(__xludf.DUMMYFUNCTION("""COMPUTED_VALUE"""),-652.9593262632843)</f>
        <v>-652.9593263</v>
      </c>
      <c r="AH8" s="28">
        <f>IFERROR(__xludf.DUMMYFUNCTION("""COMPUTED_VALUE"""),-0.02459638854448021)</f>
        <v>-0.02459638854</v>
      </c>
      <c r="AI8" s="29">
        <f>IFERROR(__xludf.DUMMYFUNCTION("""COMPUTED_VALUE"""),104.13380661849668)</f>
        <v>104.1338066</v>
      </c>
      <c r="AJ8" s="29">
        <f>IFERROR(__xludf.DUMMYFUNCTION("""COMPUTED_VALUE"""),-6612.699679999999)</f>
        <v>-6612.69968</v>
      </c>
      <c r="AK8" s="4">
        <f>IFERROR(__xludf.DUMMYFUNCTION("""COMPUTED_VALUE"""),1448.9279999999999)</f>
        <v>1448.928</v>
      </c>
      <c r="AL8" s="30">
        <f>IFERROR(__xludf.DUMMYFUNCTION("""COMPUTED_VALUE"""),1078.9166666666667)</f>
        <v>1078.916667</v>
      </c>
      <c r="AM8" s="29">
        <f t="shared" si="1"/>
        <v>-370.0113333</v>
      </c>
      <c r="AN8" s="31">
        <f t="shared" si="2"/>
        <v>-0.2553690268</v>
      </c>
      <c r="AO8" s="12">
        <f t="shared" si="3"/>
        <v>2267.57232</v>
      </c>
      <c r="AP8" s="12">
        <f t="shared" si="4"/>
        <v>-8880.272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IFERROR(__xludf.DUMMYFUNCTION("""COMPUTED_VALUE"""),"[IM] Chat")</f>
        <v>[IM] Chat</v>
      </c>
      <c r="B9" s="18"/>
      <c r="C9" s="19">
        <f>IFERROR(__xludf.DUMMYFUNCTION("""COMPUTED_VALUE"""),0.0)</f>
        <v>0</v>
      </c>
      <c r="D9" s="20">
        <f>IFERROR(__xludf.DUMMYFUNCTION("""COMPUTED_VALUE"""),0.0)</f>
        <v>0</v>
      </c>
      <c r="E9" s="21" t="str">
        <f>IFERROR(__xludf.DUMMYFUNCTION("""COMPUTED_VALUE"""),"")</f>
        <v/>
      </c>
      <c r="F9" s="22"/>
      <c r="G9" s="22" t="str">
        <f>IFERROR(__xludf.DUMMYFUNCTION("""COMPUTED_VALUE"""),"")</f>
        <v/>
      </c>
      <c r="H9" s="23" t="str">
        <f>IFERROR(__xludf.DUMMYFUNCTION("""COMPUTED_VALUE"""),"")</f>
        <v/>
      </c>
      <c r="I9" s="18"/>
      <c r="J9" s="19">
        <f>IFERROR(__xludf.DUMMYFUNCTION("""COMPUTED_VALUE"""),0.0)</f>
        <v>0</v>
      </c>
      <c r="K9" s="20">
        <f>IFERROR(__xludf.DUMMYFUNCTION("""COMPUTED_VALUE"""),0.0)</f>
        <v>0</v>
      </c>
      <c r="L9" s="21" t="str">
        <f>IFERROR(__xludf.DUMMYFUNCTION("""COMPUTED_VALUE"""),"")</f>
        <v/>
      </c>
      <c r="M9" s="24"/>
      <c r="N9" s="22" t="str">
        <f>IFERROR(__xludf.DUMMYFUNCTION("""COMPUTED_VALUE"""),"")</f>
        <v/>
      </c>
      <c r="O9" s="25" t="str">
        <f>IFERROR(__xludf.DUMMYFUNCTION("""COMPUTED_VALUE"""),"")</f>
        <v/>
      </c>
      <c r="P9" s="18"/>
      <c r="Q9" s="19">
        <f>IFERROR(__xludf.DUMMYFUNCTION("""COMPUTED_VALUE"""),2.0)</f>
        <v>2</v>
      </c>
      <c r="R9" s="20">
        <f>IFERROR(__xludf.DUMMYFUNCTION("""COMPUTED_VALUE"""),2.0)</f>
        <v>2</v>
      </c>
      <c r="S9" s="26" t="str">
        <f>IFERROR(__xludf.DUMMYFUNCTION("""COMPUTED_VALUE"""),"")</f>
        <v/>
      </c>
      <c r="T9" s="22"/>
      <c r="U9" s="22">
        <f>IFERROR(__xludf.DUMMYFUNCTION("""COMPUTED_VALUE"""),1.0)</f>
        <v>1</v>
      </c>
      <c r="V9" s="23" t="str">
        <f>IFERROR(__xludf.DUMMYFUNCTION("""COMPUTED_VALUE"""),"")</f>
        <v/>
      </c>
      <c r="W9" s="18"/>
      <c r="X9" s="19">
        <f>IFERROR(__xludf.DUMMYFUNCTION("""COMPUTED_VALUE"""),2.0)</f>
        <v>2</v>
      </c>
      <c r="Y9" s="20">
        <f>IFERROR(__xludf.DUMMYFUNCTION("""COMPUTED_VALUE"""),2.0)</f>
        <v>2</v>
      </c>
      <c r="Z9" s="27" t="str">
        <f>IFERROR(__xludf.DUMMYFUNCTION("""COMPUTED_VALUE"""),"")</f>
        <v/>
      </c>
      <c r="AA9" s="18"/>
      <c r="AB9" s="19">
        <f>IFERROR(__xludf.DUMMYFUNCTION("""COMPUTED_VALUE"""),1747.0)</f>
        <v>1747</v>
      </c>
      <c r="AC9" s="20">
        <f>IFERROR(__xludf.DUMMYFUNCTION("""COMPUTED_VALUE"""),1747.0)</f>
        <v>1747</v>
      </c>
      <c r="AD9" s="27" t="str">
        <f>IFERROR(__xludf.DUMMYFUNCTION("""COMPUTED_VALUE"""),"")</f>
        <v/>
      </c>
      <c r="AE9" s="18"/>
      <c r="AF9" s="19">
        <f>IFERROR(__xludf.DUMMYFUNCTION("""COMPUTED_VALUE"""),3494.0)</f>
        <v>3494</v>
      </c>
      <c r="AG9" s="20">
        <f>IFERROR(__xludf.DUMMYFUNCTION("""COMPUTED_VALUE"""),3494.0)</f>
        <v>3494</v>
      </c>
      <c r="AH9" s="28" t="str">
        <f>IFERROR(__xludf.DUMMYFUNCTION("""COMPUTED_VALUE"""),"")</f>
        <v/>
      </c>
      <c r="AI9" s="29">
        <f>IFERROR(__xludf.DUMMYFUNCTION("""COMPUTED_VALUE"""),0.0)</f>
        <v>0</v>
      </c>
      <c r="AJ9" s="29">
        <f>IFERROR(__xludf.DUMMYFUNCTION("""COMPUTED_VALUE"""),0.0)</f>
        <v>0</v>
      </c>
      <c r="AK9" s="4"/>
      <c r="AL9" s="30">
        <f>IFERROR(__xludf.DUMMYFUNCTION("""COMPUTED_VALUE"""),1747.0)</f>
        <v>1747</v>
      </c>
      <c r="AM9" s="29">
        <f t="shared" si="1"/>
        <v>1747</v>
      </c>
      <c r="AN9" s="31" t="str">
        <f t="shared" si="2"/>
        <v>#DIV/0!</v>
      </c>
      <c r="AO9" s="12">
        <f t="shared" si="3"/>
        <v>0</v>
      </c>
      <c r="AP9" s="12">
        <f t="shared" si="4"/>
        <v>0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Link de Indicação")</f>
        <v>[IM] Link de Indicação</v>
      </c>
      <c r="B10" s="18"/>
      <c r="C10" s="19">
        <f>IFERROR(__xludf.DUMMYFUNCTION("""COMPUTED_VALUE"""),0.0)</f>
        <v>0</v>
      </c>
      <c r="D10" s="20">
        <f>IFERROR(__xludf.DUMMYFUNCTION("""COMPUTED_VALUE"""),0.0)</f>
        <v>0</v>
      </c>
      <c r="E10" s="21" t="str">
        <f>IFERROR(__xludf.DUMMYFUNCTION("""COMPUTED_VALUE"""),"")</f>
        <v/>
      </c>
      <c r="F10" s="22"/>
      <c r="G10" s="22" t="str">
        <f>IFERROR(__xludf.DUMMYFUNCTION("""COMPUTED_VALUE"""),"")</f>
        <v/>
      </c>
      <c r="H10" s="23" t="str">
        <f>IFERROR(__xludf.DUMMYFUNCTION("""COMPUTED_VALUE"""),"")</f>
        <v/>
      </c>
      <c r="I10" s="18"/>
      <c r="J10" s="19">
        <f>IFERROR(__xludf.DUMMYFUNCTION("""COMPUTED_VALUE"""),0.0)</f>
        <v>0</v>
      </c>
      <c r="K10" s="20">
        <f>IFERROR(__xludf.DUMMYFUNCTION("""COMPUTED_VALUE"""),0.0)</f>
        <v>0</v>
      </c>
      <c r="L10" s="21" t="str">
        <f>IFERROR(__xludf.DUMMYFUNCTION("""COMPUTED_VALUE"""),"")</f>
        <v/>
      </c>
      <c r="M10" s="24"/>
      <c r="N10" s="22" t="str">
        <f>IFERROR(__xludf.DUMMYFUNCTION("""COMPUTED_VALUE"""),"")</f>
        <v/>
      </c>
      <c r="O10" s="25" t="str">
        <f>IFERROR(__xludf.DUMMYFUNCTION("""COMPUTED_VALUE"""),"")</f>
        <v/>
      </c>
      <c r="P10" s="18"/>
      <c r="Q10" s="19">
        <f>IFERROR(__xludf.DUMMYFUNCTION("""COMPUTED_VALUE"""),1.0)</f>
        <v>1</v>
      </c>
      <c r="R10" s="20">
        <f>IFERROR(__xludf.DUMMYFUNCTION("""COMPUTED_VALUE"""),1.0)</f>
        <v>1</v>
      </c>
      <c r="S10" s="26" t="str">
        <f>IFERROR(__xludf.DUMMYFUNCTION("""COMPUTED_VALUE"""),"")</f>
        <v/>
      </c>
      <c r="T10" s="22"/>
      <c r="U10" s="22">
        <f>IFERROR(__xludf.DUMMYFUNCTION("""COMPUTED_VALUE"""),0.0)</f>
        <v>0</v>
      </c>
      <c r="V10" s="23" t="str">
        <f>IFERROR(__xludf.DUMMYFUNCTION("""COMPUTED_VALUE"""),"")</f>
        <v/>
      </c>
      <c r="W10" s="18"/>
      <c r="X10" s="19">
        <f>IFERROR(__xludf.DUMMYFUNCTION("""COMPUTED_VALUE"""),0.0)</f>
        <v>0</v>
      </c>
      <c r="Y10" s="20">
        <f>IFERROR(__xludf.DUMMYFUNCTION("""COMPUTED_VALUE"""),0.0)</f>
        <v>0</v>
      </c>
      <c r="Z10" s="27" t="str">
        <f>IFERROR(__xludf.DUMMYFUNCTION("""COMPUTED_VALUE"""),"")</f>
        <v/>
      </c>
      <c r="AA10" s="18"/>
      <c r="AB10" s="19">
        <f>IFERROR(__xludf.DUMMYFUNCTION("""COMPUTED_VALUE"""),0.0)</f>
        <v>0</v>
      </c>
      <c r="AC10" s="20">
        <f>IFERROR(__xludf.DUMMYFUNCTION("""COMPUTED_VALUE"""),0.0)</f>
        <v>0</v>
      </c>
      <c r="AD10" s="27" t="str">
        <f>IFERROR(__xludf.DUMMYFUNCTION("""COMPUTED_VALUE"""),"")</f>
        <v/>
      </c>
      <c r="AE10" s="18"/>
      <c r="AF10" s="19">
        <f>IFERROR(__xludf.DUMMYFUNCTION("""COMPUTED_VALUE"""),0.0)</f>
        <v>0</v>
      </c>
      <c r="AG10" s="20">
        <f>IFERROR(__xludf.DUMMYFUNCTION("""COMPUTED_VALUE"""),0.0)</f>
        <v>0</v>
      </c>
      <c r="AH10" s="28" t="str">
        <f>IFERROR(__xludf.DUMMYFUNCTION("""COMPUTED_VALUE"""),"")</f>
        <v/>
      </c>
      <c r="AI10" s="29">
        <f>IFERROR(__xludf.DUMMYFUNCTION("""COMPUTED_VALUE"""),0.0)</f>
        <v>0</v>
      </c>
      <c r="AJ10" s="29">
        <f>IFERROR(__xludf.DUMMYFUNCTION("""COMPUTED_VALUE"""),0.0)</f>
        <v>0</v>
      </c>
      <c r="AK10" s="4"/>
      <c r="AL10" s="30">
        <f>IFERROR(__xludf.DUMMYFUNCTION("""COMPUTED_VALUE"""),0.0)</f>
        <v>0</v>
      </c>
      <c r="AM10" s="29">
        <f t="shared" si="1"/>
        <v>0</v>
      </c>
      <c r="AN10" s="31" t="str">
        <f t="shared" si="2"/>
        <v>#DIV/0!</v>
      </c>
      <c r="AO10" s="12">
        <f t="shared" si="3"/>
        <v>0</v>
      </c>
      <c r="AP10" s="12">
        <f t="shared" si="4"/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IFERROR(__xludf.DUMMYFUNCTION("""COMPUTED_VALUE"""),"[ON] Form G4")</f>
        <v>[ON] Form G4</v>
      </c>
      <c r="B11" s="18"/>
      <c r="C11" s="19">
        <f>IFERROR(__xludf.DUMMYFUNCTION("""COMPUTED_VALUE"""),0.0)</f>
        <v>0</v>
      </c>
      <c r="D11" s="20">
        <f>IFERROR(__xludf.DUMMYFUNCTION("""COMPUTED_VALUE"""),0.0)</f>
        <v>0</v>
      </c>
      <c r="E11" s="21" t="str">
        <f>IFERROR(__xludf.DUMMYFUNCTION("""COMPUTED_VALUE"""),"")</f>
        <v/>
      </c>
      <c r="F11" s="22"/>
      <c r="G11" s="22" t="str">
        <f>IFERROR(__xludf.DUMMYFUNCTION("""COMPUTED_VALUE"""),"")</f>
        <v/>
      </c>
      <c r="H11" s="23" t="str">
        <f>IFERROR(__xludf.DUMMYFUNCTION("""COMPUTED_VALUE"""),"")</f>
        <v/>
      </c>
      <c r="I11" s="18"/>
      <c r="J11" s="19">
        <f>IFERROR(__xludf.DUMMYFUNCTION("""COMPUTED_VALUE"""),0.0)</f>
        <v>0</v>
      </c>
      <c r="K11" s="20">
        <f>IFERROR(__xludf.DUMMYFUNCTION("""COMPUTED_VALUE"""),0.0)</f>
        <v>0</v>
      </c>
      <c r="L11" s="21" t="str">
        <f>IFERROR(__xludf.DUMMYFUNCTION("""COMPUTED_VALUE"""),"")</f>
        <v/>
      </c>
      <c r="M11" s="24"/>
      <c r="N11" s="22" t="str">
        <f>IFERROR(__xludf.DUMMYFUNCTION("""COMPUTED_VALUE"""),"")</f>
        <v/>
      </c>
      <c r="O11" s="25" t="str">
        <f>IFERROR(__xludf.DUMMYFUNCTION("""COMPUTED_VALUE"""),"")</f>
        <v/>
      </c>
      <c r="P11" s="18"/>
      <c r="Q11" s="19">
        <f>IFERROR(__xludf.DUMMYFUNCTION("""COMPUTED_VALUE"""),16.0)</f>
        <v>16</v>
      </c>
      <c r="R11" s="20">
        <f>IFERROR(__xludf.DUMMYFUNCTION("""COMPUTED_VALUE"""),16.0)</f>
        <v>16</v>
      </c>
      <c r="S11" s="26" t="str">
        <f>IFERROR(__xludf.DUMMYFUNCTION("""COMPUTED_VALUE"""),"")</f>
        <v/>
      </c>
      <c r="T11" s="22"/>
      <c r="U11" s="22">
        <f>IFERROR(__xludf.DUMMYFUNCTION("""COMPUTED_VALUE"""),0.125)</f>
        <v>0.125</v>
      </c>
      <c r="V11" s="23" t="str">
        <f>IFERROR(__xludf.DUMMYFUNCTION("""COMPUTED_VALUE"""),"")</f>
        <v/>
      </c>
      <c r="W11" s="18"/>
      <c r="X11" s="19">
        <f>IFERROR(__xludf.DUMMYFUNCTION("""COMPUTED_VALUE"""),2.0)</f>
        <v>2</v>
      </c>
      <c r="Y11" s="20">
        <f>IFERROR(__xludf.DUMMYFUNCTION("""COMPUTED_VALUE"""),2.0)</f>
        <v>2</v>
      </c>
      <c r="Z11" s="27" t="str">
        <f>IFERROR(__xludf.DUMMYFUNCTION("""COMPUTED_VALUE"""),"")</f>
        <v/>
      </c>
      <c r="AA11" s="18"/>
      <c r="AB11" s="19">
        <f>IFERROR(__xludf.DUMMYFUNCTION("""COMPUTED_VALUE"""),50198.5)</f>
        <v>50198.5</v>
      </c>
      <c r="AC11" s="20">
        <f>IFERROR(__xludf.DUMMYFUNCTION("""COMPUTED_VALUE"""),50198.5)</f>
        <v>50198.5</v>
      </c>
      <c r="AD11" s="27" t="str">
        <f>IFERROR(__xludf.DUMMYFUNCTION("""COMPUTED_VALUE"""),"")</f>
        <v/>
      </c>
      <c r="AE11" s="18"/>
      <c r="AF11" s="19">
        <f>IFERROR(__xludf.DUMMYFUNCTION("""COMPUTED_VALUE"""),100397.0)</f>
        <v>100397</v>
      </c>
      <c r="AG11" s="20">
        <f>IFERROR(__xludf.DUMMYFUNCTION("""COMPUTED_VALUE"""),100397.0)</f>
        <v>100397</v>
      </c>
      <c r="AH11" s="28" t="str">
        <f>IFERROR(__xludf.DUMMYFUNCTION("""COMPUTED_VALUE"""),"")</f>
        <v/>
      </c>
      <c r="AI11" s="29">
        <f>IFERROR(__xludf.DUMMYFUNCTION("""COMPUTED_VALUE"""),0.0)</f>
        <v>0</v>
      </c>
      <c r="AJ11" s="29">
        <f>IFERROR(__xludf.DUMMYFUNCTION("""COMPUTED_VALUE"""),0.0)</f>
        <v>0</v>
      </c>
      <c r="AK11" s="4"/>
      <c r="AL11" s="30">
        <f>IFERROR(__xludf.DUMMYFUNCTION("""COMPUTED_VALUE"""),6274.8125)</f>
        <v>6274.8125</v>
      </c>
      <c r="AM11" s="29">
        <f t="shared" si="1"/>
        <v>6274.8125</v>
      </c>
      <c r="AN11" s="31" t="str">
        <f t="shared" si="2"/>
        <v>#DIV/0!</v>
      </c>
      <c r="AO11" s="12">
        <f t="shared" si="3"/>
        <v>0</v>
      </c>
      <c r="AP11" s="12">
        <f t="shared" si="4"/>
        <v>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IFERROR(__xludf.DUMMYFUNCTION("""COMPUTED_VALUE"""),"[ON] Form G4 Incompleto")</f>
        <v>[ON] Form G4 Incompleto</v>
      </c>
      <c r="B12" s="18"/>
      <c r="C12" s="19">
        <f>IFERROR(__xludf.DUMMYFUNCTION("""COMPUTED_VALUE"""),0.0)</f>
        <v>0</v>
      </c>
      <c r="D12" s="20">
        <f>IFERROR(__xludf.DUMMYFUNCTION("""COMPUTED_VALUE"""),0.0)</f>
        <v>0</v>
      </c>
      <c r="E12" s="21" t="str">
        <f>IFERROR(__xludf.DUMMYFUNCTION("""COMPUTED_VALUE"""),"")</f>
        <v/>
      </c>
      <c r="F12" s="22"/>
      <c r="G12" s="22" t="str">
        <f>IFERROR(__xludf.DUMMYFUNCTION("""COMPUTED_VALUE"""),"")</f>
        <v/>
      </c>
      <c r="H12" s="23" t="str">
        <f>IFERROR(__xludf.DUMMYFUNCTION("""COMPUTED_VALUE"""),"")</f>
        <v/>
      </c>
      <c r="I12" s="18"/>
      <c r="J12" s="19">
        <f>IFERROR(__xludf.DUMMYFUNCTION("""COMPUTED_VALUE"""),0.0)</f>
        <v>0</v>
      </c>
      <c r="K12" s="20">
        <f>IFERROR(__xludf.DUMMYFUNCTION("""COMPUTED_VALUE"""),0.0)</f>
        <v>0</v>
      </c>
      <c r="L12" s="21" t="str">
        <f>IFERROR(__xludf.DUMMYFUNCTION("""COMPUTED_VALUE"""),"")</f>
        <v/>
      </c>
      <c r="M12" s="24"/>
      <c r="N12" s="22" t="str">
        <f>IFERROR(__xludf.DUMMYFUNCTION("""COMPUTED_VALUE"""),"")</f>
        <v/>
      </c>
      <c r="O12" s="25" t="str">
        <f>IFERROR(__xludf.DUMMYFUNCTION("""COMPUTED_VALUE"""),"")</f>
        <v/>
      </c>
      <c r="P12" s="18"/>
      <c r="Q12" s="19">
        <f>IFERROR(__xludf.DUMMYFUNCTION("""COMPUTED_VALUE"""),17.0)</f>
        <v>17</v>
      </c>
      <c r="R12" s="20">
        <f>IFERROR(__xludf.DUMMYFUNCTION("""COMPUTED_VALUE"""),17.0)</f>
        <v>17</v>
      </c>
      <c r="S12" s="26" t="str">
        <f>IFERROR(__xludf.DUMMYFUNCTION("""COMPUTED_VALUE"""),"")</f>
        <v/>
      </c>
      <c r="T12" s="22"/>
      <c r="U12" s="22">
        <f>IFERROR(__xludf.DUMMYFUNCTION("""COMPUTED_VALUE"""),0.11764705882352941)</f>
        <v>0.1176470588</v>
      </c>
      <c r="V12" s="23" t="str">
        <f>IFERROR(__xludf.DUMMYFUNCTION("""COMPUTED_VALUE"""),"")</f>
        <v/>
      </c>
      <c r="W12" s="18"/>
      <c r="X12" s="19">
        <f>IFERROR(__xludf.DUMMYFUNCTION("""COMPUTED_VALUE"""),2.0)</f>
        <v>2</v>
      </c>
      <c r="Y12" s="20">
        <f>IFERROR(__xludf.DUMMYFUNCTION("""COMPUTED_VALUE"""),2.0)</f>
        <v>2</v>
      </c>
      <c r="Z12" s="27" t="str">
        <f>IFERROR(__xludf.DUMMYFUNCTION("""COMPUTED_VALUE"""),"")</f>
        <v/>
      </c>
      <c r="AA12" s="18"/>
      <c r="AB12" s="19">
        <f>IFERROR(__xludf.DUMMYFUNCTION("""COMPUTED_VALUE"""),12948.5)</f>
        <v>12948.5</v>
      </c>
      <c r="AC12" s="20">
        <f>IFERROR(__xludf.DUMMYFUNCTION("""COMPUTED_VALUE"""),12948.5)</f>
        <v>12948.5</v>
      </c>
      <c r="AD12" s="27" t="str">
        <f>IFERROR(__xludf.DUMMYFUNCTION("""COMPUTED_VALUE"""),"")</f>
        <v/>
      </c>
      <c r="AE12" s="18"/>
      <c r="AF12" s="19">
        <f>IFERROR(__xludf.DUMMYFUNCTION("""COMPUTED_VALUE"""),25897.0)</f>
        <v>25897</v>
      </c>
      <c r="AG12" s="20">
        <f>IFERROR(__xludf.DUMMYFUNCTION("""COMPUTED_VALUE"""),25897.0)</f>
        <v>25897</v>
      </c>
      <c r="AH12" s="28" t="str">
        <f>IFERROR(__xludf.DUMMYFUNCTION("""COMPUTED_VALUE"""),"")</f>
        <v/>
      </c>
      <c r="AI12" s="29">
        <f>IFERROR(__xludf.DUMMYFUNCTION("""COMPUTED_VALUE"""),0.0)</f>
        <v>0</v>
      </c>
      <c r="AJ12" s="29">
        <f>IFERROR(__xludf.DUMMYFUNCTION("""COMPUTED_VALUE"""),0.0)</f>
        <v>0</v>
      </c>
      <c r="AK12" s="4"/>
      <c r="AL12" s="30">
        <f>IFERROR(__xludf.DUMMYFUNCTION("""COMPUTED_VALUE"""),1523.3529411764705)</f>
        <v>1523.352941</v>
      </c>
      <c r="AM12" s="29">
        <f t="shared" si="1"/>
        <v>1523.352941</v>
      </c>
      <c r="AN12" s="31" t="str">
        <f t="shared" si="2"/>
        <v>#DIV/0!</v>
      </c>
      <c r="AO12" s="12">
        <f t="shared" si="3"/>
        <v>0</v>
      </c>
      <c r="AP12" s="12">
        <f t="shared" si="4"/>
        <v>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IFERROR(__xludf.DUMMYFUNCTION("""COMPUTED_VALUE"""),"[ON] Form Meta")</f>
        <v>[ON] Form Meta</v>
      </c>
      <c r="B13" s="18"/>
      <c r="C13" s="19">
        <f>IFERROR(__xludf.DUMMYFUNCTION("""COMPUTED_VALUE"""),0.0)</f>
        <v>0</v>
      </c>
      <c r="D13" s="20">
        <f>IFERROR(__xludf.DUMMYFUNCTION("""COMPUTED_VALUE"""),0.0)</f>
        <v>0</v>
      </c>
      <c r="E13" s="21" t="str">
        <f>IFERROR(__xludf.DUMMYFUNCTION("""COMPUTED_VALUE"""),"")</f>
        <v/>
      </c>
      <c r="F13" s="22"/>
      <c r="G13" s="22" t="str">
        <f>IFERROR(__xludf.DUMMYFUNCTION("""COMPUTED_VALUE"""),"")</f>
        <v/>
      </c>
      <c r="H13" s="23" t="str">
        <f>IFERROR(__xludf.DUMMYFUNCTION("""COMPUTED_VALUE"""),"")</f>
        <v/>
      </c>
      <c r="I13" s="18"/>
      <c r="J13" s="19">
        <f>IFERROR(__xludf.DUMMYFUNCTION("""COMPUTED_VALUE"""),0.0)</f>
        <v>0</v>
      </c>
      <c r="K13" s="20">
        <f>IFERROR(__xludf.DUMMYFUNCTION("""COMPUTED_VALUE"""),0.0)</f>
        <v>0</v>
      </c>
      <c r="L13" s="21" t="str">
        <f>IFERROR(__xludf.DUMMYFUNCTION("""COMPUTED_VALUE"""),"")</f>
        <v/>
      </c>
      <c r="M13" s="24"/>
      <c r="N13" s="22" t="str">
        <f>IFERROR(__xludf.DUMMYFUNCTION("""COMPUTED_VALUE"""),"")</f>
        <v/>
      </c>
      <c r="O13" s="25" t="str">
        <f>IFERROR(__xludf.DUMMYFUNCTION("""COMPUTED_VALUE"""),"")</f>
        <v/>
      </c>
      <c r="P13" s="18"/>
      <c r="Q13" s="19">
        <f>IFERROR(__xludf.DUMMYFUNCTION("""COMPUTED_VALUE"""),18.0)</f>
        <v>18</v>
      </c>
      <c r="R13" s="20">
        <f>IFERROR(__xludf.DUMMYFUNCTION("""COMPUTED_VALUE"""),18.0)</f>
        <v>18</v>
      </c>
      <c r="S13" s="26" t="str">
        <f>IFERROR(__xludf.DUMMYFUNCTION("""COMPUTED_VALUE"""),"")</f>
        <v/>
      </c>
      <c r="T13" s="22"/>
      <c r="U13" s="22">
        <f>IFERROR(__xludf.DUMMYFUNCTION("""COMPUTED_VALUE"""),0.16666666666666666)</f>
        <v>0.1666666667</v>
      </c>
      <c r="V13" s="23" t="str">
        <f>IFERROR(__xludf.DUMMYFUNCTION("""COMPUTED_VALUE"""),"")</f>
        <v/>
      </c>
      <c r="W13" s="18"/>
      <c r="X13" s="19">
        <f>IFERROR(__xludf.DUMMYFUNCTION("""COMPUTED_VALUE"""),3.0)</f>
        <v>3</v>
      </c>
      <c r="Y13" s="20">
        <f>IFERROR(__xludf.DUMMYFUNCTION("""COMPUTED_VALUE"""),3.0)</f>
        <v>3</v>
      </c>
      <c r="Z13" s="27" t="str">
        <f>IFERROR(__xludf.DUMMYFUNCTION("""COMPUTED_VALUE"""),"")</f>
        <v/>
      </c>
      <c r="AA13" s="18"/>
      <c r="AB13" s="19">
        <f>IFERROR(__xludf.DUMMYFUNCTION("""COMPUTED_VALUE"""),28072.833333333332)</f>
        <v>28072.83333</v>
      </c>
      <c r="AC13" s="20">
        <f>IFERROR(__xludf.DUMMYFUNCTION("""COMPUTED_VALUE"""),28072.833333333332)</f>
        <v>28072.83333</v>
      </c>
      <c r="AD13" s="27" t="str">
        <f>IFERROR(__xludf.DUMMYFUNCTION("""COMPUTED_VALUE"""),"")</f>
        <v/>
      </c>
      <c r="AE13" s="18"/>
      <c r="AF13" s="19">
        <f>IFERROR(__xludf.DUMMYFUNCTION("""COMPUTED_VALUE"""),84218.5)</f>
        <v>84218.5</v>
      </c>
      <c r="AG13" s="20">
        <f>IFERROR(__xludf.DUMMYFUNCTION("""COMPUTED_VALUE"""),84218.5)</f>
        <v>84218.5</v>
      </c>
      <c r="AH13" s="28" t="str">
        <f>IFERROR(__xludf.DUMMYFUNCTION("""COMPUTED_VALUE"""),"")</f>
        <v/>
      </c>
      <c r="AI13" s="29">
        <f>IFERROR(__xludf.DUMMYFUNCTION("""COMPUTED_VALUE"""),0.0)</f>
        <v>0</v>
      </c>
      <c r="AJ13" s="29">
        <f>IFERROR(__xludf.DUMMYFUNCTION("""COMPUTED_VALUE"""),0.0)</f>
        <v>0</v>
      </c>
      <c r="AK13" s="4"/>
      <c r="AL13" s="30">
        <f>IFERROR(__xludf.DUMMYFUNCTION("""COMPUTED_VALUE"""),4678.805555555556)</f>
        <v>4678.805556</v>
      </c>
      <c r="AM13" s="29">
        <f t="shared" si="1"/>
        <v>4678.805556</v>
      </c>
      <c r="AN13" s="31" t="str">
        <f t="shared" si="2"/>
        <v>#DIV/0!</v>
      </c>
      <c r="AO13" s="12">
        <f t="shared" si="3"/>
        <v>0</v>
      </c>
      <c r="AP13" s="12">
        <f t="shared" si="4"/>
        <v>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IFERROR(__xludf.DUMMYFUNCTION("""COMPUTED_VALUE"""),"Aplicativo G4 - Indicação")</f>
        <v>Aplicativo G4 - Indicação</v>
      </c>
      <c r="B14" s="18"/>
      <c r="C14" s="19">
        <f>IFERROR(__xludf.DUMMYFUNCTION("""COMPUTED_VALUE"""),0.0)</f>
        <v>0</v>
      </c>
      <c r="D14" s="20">
        <f>IFERROR(__xludf.DUMMYFUNCTION("""COMPUTED_VALUE"""),0.0)</f>
        <v>0</v>
      </c>
      <c r="E14" s="21" t="str">
        <f>IFERROR(__xludf.DUMMYFUNCTION("""COMPUTED_VALUE"""),"")</f>
        <v/>
      </c>
      <c r="F14" s="22"/>
      <c r="G14" s="22" t="str">
        <f>IFERROR(__xludf.DUMMYFUNCTION("""COMPUTED_VALUE"""),"")</f>
        <v/>
      </c>
      <c r="H14" s="23" t="str">
        <f>IFERROR(__xludf.DUMMYFUNCTION("""COMPUTED_VALUE"""),"")</f>
        <v/>
      </c>
      <c r="I14" s="18"/>
      <c r="J14" s="19">
        <f>IFERROR(__xludf.DUMMYFUNCTION("""COMPUTED_VALUE"""),0.0)</f>
        <v>0</v>
      </c>
      <c r="K14" s="20">
        <f>IFERROR(__xludf.DUMMYFUNCTION("""COMPUTED_VALUE"""),0.0)</f>
        <v>0</v>
      </c>
      <c r="L14" s="21" t="str">
        <f>IFERROR(__xludf.DUMMYFUNCTION("""COMPUTED_VALUE"""),"")</f>
        <v/>
      </c>
      <c r="M14" s="24"/>
      <c r="N14" s="22" t="str">
        <f>IFERROR(__xludf.DUMMYFUNCTION("""COMPUTED_VALUE"""),"")</f>
        <v/>
      </c>
      <c r="O14" s="25" t="str">
        <f>IFERROR(__xludf.DUMMYFUNCTION("""COMPUTED_VALUE"""),"")</f>
        <v/>
      </c>
      <c r="P14" s="18"/>
      <c r="Q14" s="19">
        <f>IFERROR(__xludf.DUMMYFUNCTION("""COMPUTED_VALUE"""),1.0)</f>
        <v>1</v>
      </c>
      <c r="R14" s="20">
        <f>IFERROR(__xludf.DUMMYFUNCTION("""COMPUTED_VALUE"""),1.0)</f>
        <v>1</v>
      </c>
      <c r="S14" s="26" t="str">
        <f>IFERROR(__xludf.DUMMYFUNCTION("""COMPUTED_VALUE"""),"")</f>
        <v/>
      </c>
      <c r="T14" s="22"/>
      <c r="U14" s="22">
        <f>IFERROR(__xludf.DUMMYFUNCTION("""COMPUTED_VALUE"""),0.0)</f>
        <v>0</v>
      </c>
      <c r="V14" s="23" t="str">
        <f>IFERROR(__xludf.DUMMYFUNCTION("""COMPUTED_VALUE"""),"")</f>
        <v/>
      </c>
      <c r="W14" s="18"/>
      <c r="X14" s="19">
        <f>IFERROR(__xludf.DUMMYFUNCTION("""COMPUTED_VALUE"""),0.0)</f>
        <v>0</v>
      </c>
      <c r="Y14" s="20">
        <f>IFERROR(__xludf.DUMMYFUNCTION("""COMPUTED_VALUE"""),0.0)</f>
        <v>0</v>
      </c>
      <c r="Z14" s="27" t="str">
        <f>IFERROR(__xludf.DUMMYFUNCTION("""COMPUTED_VALUE"""),"")</f>
        <v/>
      </c>
      <c r="AA14" s="18"/>
      <c r="AB14" s="19">
        <f>IFERROR(__xludf.DUMMYFUNCTION("""COMPUTED_VALUE"""),0.0)</f>
        <v>0</v>
      </c>
      <c r="AC14" s="20">
        <f>IFERROR(__xludf.DUMMYFUNCTION("""COMPUTED_VALUE"""),0.0)</f>
        <v>0</v>
      </c>
      <c r="AD14" s="27" t="str">
        <f>IFERROR(__xludf.DUMMYFUNCTION("""COMPUTED_VALUE"""),"")</f>
        <v/>
      </c>
      <c r="AE14" s="18"/>
      <c r="AF14" s="19">
        <f>IFERROR(__xludf.DUMMYFUNCTION("""COMPUTED_VALUE"""),0.0)</f>
        <v>0</v>
      </c>
      <c r="AG14" s="20">
        <f>IFERROR(__xludf.DUMMYFUNCTION("""COMPUTED_VALUE"""),0.0)</f>
        <v>0</v>
      </c>
      <c r="AH14" s="28" t="str">
        <f>IFERROR(__xludf.DUMMYFUNCTION("""COMPUTED_VALUE"""),"")</f>
        <v/>
      </c>
      <c r="AI14" s="29">
        <f>IFERROR(__xludf.DUMMYFUNCTION("""COMPUTED_VALUE"""),0.0)</f>
        <v>0</v>
      </c>
      <c r="AJ14" s="29">
        <f>IFERROR(__xludf.DUMMYFUNCTION("""COMPUTED_VALUE"""),0.0)</f>
        <v>0</v>
      </c>
      <c r="AK14" s="4"/>
      <c r="AL14" s="30">
        <f>IFERROR(__xludf.DUMMYFUNCTION("""COMPUTED_VALUE"""),0.0)</f>
        <v>0</v>
      </c>
      <c r="AM14" s="29">
        <f t="shared" si="1"/>
        <v>0</v>
      </c>
      <c r="AN14" s="31" t="str">
        <f t="shared" si="2"/>
        <v>#DIV/0!</v>
      </c>
      <c r="AO14" s="12">
        <f t="shared" si="3"/>
        <v>0</v>
      </c>
      <c r="AP14" s="12">
        <f t="shared" si="4"/>
        <v>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Instagram Outros")</f>
        <v>Form G4 Instagram Outros</v>
      </c>
      <c r="B15" s="18"/>
      <c r="C15" s="19">
        <f>IFERROR(__xludf.DUMMYFUNCTION("""COMPUTED_VALUE"""),0.0)</f>
        <v>0</v>
      </c>
      <c r="D15" s="20">
        <f>IFERROR(__xludf.DUMMYFUNCTION("""COMPUTED_VALUE"""),0.0)</f>
        <v>0</v>
      </c>
      <c r="E15" s="21" t="str">
        <f>IFERROR(__xludf.DUMMYFUNCTION("""COMPUTED_VALUE"""),"")</f>
        <v/>
      </c>
      <c r="F15" s="22"/>
      <c r="G15" s="22" t="str">
        <f>IFERROR(__xludf.DUMMYFUNCTION("""COMPUTED_VALUE"""),"")</f>
        <v/>
      </c>
      <c r="H15" s="23" t="str">
        <f>IFERROR(__xludf.DUMMYFUNCTION("""COMPUTED_VALUE"""),"")</f>
        <v/>
      </c>
      <c r="I15" s="18"/>
      <c r="J15" s="19">
        <f>IFERROR(__xludf.DUMMYFUNCTION("""COMPUTED_VALUE"""),0.0)</f>
        <v>0</v>
      </c>
      <c r="K15" s="20">
        <f>IFERROR(__xludf.DUMMYFUNCTION("""COMPUTED_VALUE"""),0.0)</f>
        <v>0</v>
      </c>
      <c r="L15" s="21" t="str">
        <f>IFERROR(__xludf.DUMMYFUNCTION("""COMPUTED_VALUE"""),"")</f>
        <v/>
      </c>
      <c r="M15" s="24"/>
      <c r="N15" s="22" t="str">
        <f>IFERROR(__xludf.DUMMYFUNCTION("""COMPUTED_VALUE"""),"")</f>
        <v/>
      </c>
      <c r="O15" s="25" t="str">
        <f>IFERROR(__xludf.DUMMYFUNCTION("""COMPUTED_VALUE"""),"")</f>
        <v/>
      </c>
      <c r="P15" s="18"/>
      <c r="Q15" s="19">
        <f>IFERROR(__xludf.DUMMYFUNCTION("""COMPUTED_VALUE"""),1.0)</f>
        <v>1</v>
      </c>
      <c r="R15" s="20">
        <f>IFERROR(__xludf.DUMMYFUNCTION("""COMPUTED_VALUE"""),1.0)</f>
        <v>1</v>
      </c>
      <c r="S15" s="26" t="str">
        <f>IFERROR(__xludf.DUMMYFUNCTION("""COMPUTED_VALUE"""),"")</f>
        <v/>
      </c>
      <c r="T15" s="22"/>
      <c r="U15" s="22">
        <f>IFERROR(__xludf.DUMMYFUNCTION("""COMPUTED_VALUE"""),0.0)</f>
        <v>0</v>
      </c>
      <c r="V15" s="23" t="str">
        <f>IFERROR(__xludf.DUMMYFUNCTION("""COMPUTED_VALUE"""),"")</f>
        <v/>
      </c>
      <c r="W15" s="18"/>
      <c r="X15" s="19">
        <f>IFERROR(__xludf.DUMMYFUNCTION("""COMPUTED_VALUE"""),0.0)</f>
        <v>0</v>
      </c>
      <c r="Y15" s="20">
        <f>IFERROR(__xludf.DUMMYFUNCTION("""COMPUTED_VALUE"""),0.0)</f>
        <v>0</v>
      </c>
      <c r="Z15" s="27" t="str">
        <f>IFERROR(__xludf.DUMMYFUNCTION("""COMPUTED_VALUE"""),"")</f>
        <v/>
      </c>
      <c r="AA15" s="18"/>
      <c r="AB15" s="19">
        <f>IFERROR(__xludf.DUMMYFUNCTION("""COMPUTED_VALUE"""),0.0)</f>
        <v>0</v>
      </c>
      <c r="AC15" s="20">
        <f>IFERROR(__xludf.DUMMYFUNCTION("""COMPUTED_VALUE"""),0.0)</f>
        <v>0</v>
      </c>
      <c r="AD15" s="27" t="str">
        <f>IFERROR(__xludf.DUMMYFUNCTION("""COMPUTED_VALUE"""),"")</f>
        <v/>
      </c>
      <c r="AE15" s="18"/>
      <c r="AF15" s="19">
        <f>IFERROR(__xludf.DUMMYFUNCTION("""COMPUTED_VALUE"""),0.0)</f>
        <v>0</v>
      </c>
      <c r="AG15" s="20">
        <f>IFERROR(__xludf.DUMMYFUNCTION("""COMPUTED_VALUE"""),0.0)</f>
        <v>0</v>
      </c>
      <c r="AH15" s="28" t="str">
        <f>IFERROR(__xludf.DUMMYFUNCTION("""COMPUTED_VALUE"""),"")</f>
        <v/>
      </c>
      <c r="AI15" s="29">
        <f>IFERROR(__xludf.DUMMYFUNCTION("""COMPUTED_VALUE"""),0.0)</f>
        <v>0</v>
      </c>
      <c r="AJ15" s="29">
        <f>IFERROR(__xludf.DUMMYFUNCTION("""COMPUTED_VALUE"""),0.0)</f>
        <v>0</v>
      </c>
      <c r="AK15" s="4"/>
      <c r="AL15" s="30">
        <f>IFERROR(__xludf.DUMMYFUNCTION("""COMPUTED_VALUE"""),0.0)</f>
        <v>0</v>
      </c>
      <c r="AM15" s="29">
        <f t="shared" si="1"/>
        <v>0</v>
      </c>
      <c r="AN15" s="31" t="str">
        <f t="shared" si="2"/>
        <v>#DIV/0!</v>
      </c>
      <c r="AO15" s="12">
        <f t="shared" si="3"/>
        <v>0</v>
      </c>
      <c r="AP15" s="12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/>
      <c r="B16" s="18"/>
      <c r="C16" s="19"/>
      <c r="D16" s="20"/>
      <c r="E16" s="21"/>
      <c r="F16" s="22"/>
      <c r="G16" s="22"/>
      <c r="H16" s="23"/>
      <c r="I16" s="18"/>
      <c r="J16" s="19"/>
      <c r="K16" s="20"/>
      <c r="L16" s="21"/>
      <c r="M16" s="24"/>
      <c r="N16" s="22"/>
      <c r="O16" s="25"/>
      <c r="P16" s="18"/>
      <c r="Q16" s="19"/>
      <c r="R16" s="20"/>
      <c r="S16" s="26"/>
      <c r="T16" s="22"/>
      <c r="U16" s="22"/>
      <c r="V16" s="23"/>
      <c r="W16" s="18"/>
      <c r="X16" s="19"/>
      <c r="Y16" s="20"/>
      <c r="Z16" s="27"/>
      <c r="AA16" s="18"/>
      <c r="AB16" s="19"/>
      <c r="AC16" s="20"/>
      <c r="AD16" s="27"/>
      <c r="AE16" s="18"/>
      <c r="AF16" s="19"/>
      <c r="AG16" s="20"/>
      <c r="AH16" s="28"/>
      <c r="AI16" s="29"/>
      <c r="AJ16" s="29"/>
      <c r="AK16" s="4"/>
      <c r="AL16" s="30"/>
      <c r="AM16" s="29">
        <f t="shared" si="1"/>
        <v>0</v>
      </c>
      <c r="AN16" s="31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/>
      <c r="B17" s="18"/>
      <c r="C17" s="19"/>
      <c r="D17" s="20"/>
      <c r="E17" s="21"/>
      <c r="F17" s="22"/>
      <c r="G17" s="22"/>
      <c r="H17" s="23"/>
      <c r="I17" s="18"/>
      <c r="J17" s="19"/>
      <c r="K17" s="20"/>
      <c r="L17" s="21"/>
      <c r="M17" s="24"/>
      <c r="N17" s="22"/>
      <c r="O17" s="25"/>
      <c r="P17" s="18"/>
      <c r="Q17" s="19"/>
      <c r="R17" s="20"/>
      <c r="S17" s="26"/>
      <c r="T17" s="22"/>
      <c r="U17" s="22"/>
      <c r="V17" s="23"/>
      <c r="W17" s="18"/>
      <c r="X17" s="19"/>
      <c r="Y17" s="20"/>
      <c r="Z17" s="27"/>
      <c r="AA17" s="18"/>
      <c r="AB17" s="19"/>
      <c r="AC17" s="20"/>
      <c r="AD17" s="27"/>
      <c r="AE17" s="18"/>
      <c r="AF17" s="19"/>
      <c r="AG17" s="20"/>
      <c r="AH17" s="28"/>
      <c r="AI17" s="29"/>
      <c r="AJ17" s="29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18"/>
      <c r="C18" s="19"/>
      <c r="D18" s="20"/>
      <c r="E18" s="21"/>
      <c r="F18" s="22"/>
      <c r="G18" s="22"/>
      <c r="H18" s="23"/>
      <c r="I18" s="18"/>
      <c r="J18" s="19"/>
      <c r="K18" s="20"/>
      <c r="L18" s="21"/>
      <c r="M18" s="24"/>
      <c r="N18" s="22"/>
      <c r="O18" s="25"/>
      <c r="P18" s="18"/>
      <c r="Q18" s="19"/>
      <c r="R18" s="20"/>
      <c r="S18" s="26"/>
      <c r="T18" s="22"/>
      <c r="U18" s="22"/>
      <c r="V18" s="23"/>
      <c r="W18" s="18"/>
      <c r="X18" s="19"/>
      <c r="Y18" s="20"/>
      <c r="Z18" s="27"/>
      <c r="AA18" s="18"/>
      <c r="AB18" s="19"/>
      <c r="AC18" s="20"/>
      <c r="AD18" s="27"/>
      <c r="AE18" s="18"/>
      <c r="AF18" s="19"/>
      <c r="AG18" s="20"/>
      <c r="AH18" s="28"/>
      <c r="AI18" s="29"/>
      <c r="AJ18" s="29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8"/>
      <c r="C19" s="19"/>
      <c r="D19" s="20"/>
      <c r="E19" s="21"/>
      <c r="F19" s="22"/>
      <c r="G19" s="22"/>
      <c r="H19" s="23"/>
      <c r="I19" s="18"/>
      <c r="J19" s="19"/>
      <c r="K19" s="20"/>
      <c r="L19" s="21"/>
      <c r="M19" s="24"/>
      <c r="N19" s="22"/>
      <c r="O19" s="25"/>
      <c r="P19" s="18"/>
      <c r="Q19" s="19"/>
      <c r="R19" s="20"/>
      <c r="S19" s="26"/>
      <c r="T19" s="22"/>
      <c r="U19" s="22"/>
      <c r="V19" s="23"/>
      <c r="W19" s="18"/>
      <c r="X19" s="19"/>
      <c r="Y19" s="20"/>
      <c r="Z19" s="27"/>
      <c r="AA19" s="18"/>
      <c r="AB19" s="19"/>
      <c r="AC19" s="20"/>
      <c r="AD19" s="27"/>
      <c r="AE19" s="18"/>
      <c r="AF19" s="19"/>
      <c r="AG19" s="20"/>
      <c r="AH19" s="28"/>
      <c r="AI19" s="29"/>
      <c r="AJ19" s="29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8"/>
      <c r="C20" s="19"/>
      <c r="D20" s="20"/>
      <c r="E20" s="21"/>
      <c r="F20" s="22"/>
      <c r="G20" s="22"/>
      <c r="H20" s="23"/>
      <c r="I20" s="18"/>
      <c r="J20" s="19"/>
      <c r="K20" s="20"/>
      <c r="L20" s="21"/>
      <c r="M20" s="24"/>
      <c r="N20" s="22"/>
      <c r="O20" s="25"/>
      <c r="P20" s="18"/>
      <c r="Q20" s="19"/>
      <c r="R20" s="20"/>
      <c r="S20" s="26"/>
      <c r="T20" s="22"/>
      <c r="U20" s="22"/>
      <c r="V20" s="23"/>
      <c r="W20" s="18"/>
      <c r="X20" s="19"/>
      <c r="Y20" s="20"/>
      <c r="Z20" s="27"/>
      <c r="AA20" s="18"/>
      <c r="AB20" s="19"/>
      <c r="AC20" s="20"/>
      <c r="AD20" s="27"/>
      <c r="AE20" s="18"/>
      <c r="AF20" s="19"/>
      <c r="AG20" s="20"/>
      <c r="AH20" s="28"/>
      <c r="AI20" s="29"/>
      <c r="AJ20" s="29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8"/>
      <c r="C21" s="19"/>
      <c r="D21" s="20"/>
      <c r="E21" s="21"/>
      <c r="F21" s="22"/>
      <c r="G21" s="22"/>
      <c r="H21" s="23"/>
      <c r="I21" s="18"/>
      <c r="J21" s="19"/>
      <c r="K21" s="20"/>
      <c r="L21" s="21"/>
      <c r="M21" s="24"/>
      <c r="N21" s="22"/>
      <c r="O21" s="25"/>
      <c r="P21" s="18"/>
      <c r="Q21" s="19"/>
      <c r="R21" s="20"/>
      <c r="S21" s="26"/>
      <c r="T21" s="22"/>
      <c r="U21" s="22"/>
      <c r="V21" s="23"/>
      <c r="W21" s="18"/>
      <c r="X21" s="19"/>
      <c r="Y21" s="20"/>
      <c r="Z21" s="27"/>
      <c r="AA21" s="18"/>
      <c r="AB21" s="19"/>
      <c r="AC21" s="20"/>
      <c r="AD21" s="27"/>
      <c r="AE21" s="18"/>
      <c r="AF21" s="19"/>
      <c r="AG21" s="20"/>
      <c r="AH21" s="28"/>
      <c r="AI21" s="29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8"/>
      <c r="C22" s="19"/>
      <c r="D22" s="20"/>
      <c r="E22" s="21"/>
      <c r="F22" s="22"/>
      <c r="G22" s="22"/>
      <c r="H22" s="23"/>
      <c r="I22" s="18"/>
      <c r="J22" s="19"/>
      <c r="K22" s="20"/>
      <c r="L22" s="21"/>
      <c r="M22" s="24"/>
      <c r="N22" s="22"/>
      <c r="O22" s="25"/>
      <c r="P22" s="18"/>
      <c r="Q22" s="19"/>
      <c r="R22" s="20"/>
      <c r="S22" s="26"/>
      <c r="T22" s="22"/>
      <c r="U22" s="22"/>
      <c r="V22" s="23"/>
      <c r="W22" s="18"/>
      <c r="X22" s="19"/>
      <c r="Y22" s="20"/>
      <c r="Z22" s="27"/>
      <c r="AA22" s="18"/>
      <c r="AB22" s="19"/>
      <c r="AC22" s="20"/>
      <c r="AD22" s="27"/>
      <c r="AE22" s="18"/>
      <c r="AF22" s="19"/>
      <c r="AG22" s="20"/>
      <c r="AH22" s="28"/>
      <c r="AI22" s="29"/>
      <c r="AJ22" s="29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8"/>
      <c r="C23" s="19"/>
      <c r="D23" s="20"/>
      <c r="E23" s="21"/>
      <c r="F23" s="22"/>
      <c r="G23" s="22"/>
      <c r="H23" s="23"/>
      <c r="I23" s="18"/>
      <c r="J23" s="19"/>
      <c r="K23" s="20"/>
      <c r="L23" s="21"/>
      <c r="M23" s="24"/>
      <c r="N23" s="22"/>
      <c r="O23" s="25"/>
      <c r="P23" s="18"/>
      <c r="Q23" s="19"/>
      <c r="R23" s="20"/>
      <c r="S23" s="26"/>
      <c r="T23" s="22"/>
      <c r="U23" s="22"/>
      <c r="V23" s="23"/>
      <c r="W23" s="18"/>
      <c r="X23" s="19"/>
      <c r="Y23" s="20"/>
      <c r="Z23" s="27"/>
      <c r="AA23" s="18"/>
      <c r="AB23" s="19"/>
      <c r="AC23" s="20"/>
      <c r="AD23" s="27"/>
      <c r="AE23" s="18"/>
      <c r="AF23" s="19"/>
      <c r="AG23" s="20"/>
      <c r="AH23" s="28"/>
      <c r="AI23" s="29"/>
      <c r="AJ23" s="2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8"/>
      <c r="C24" s="19"/>
      <c r="D24" s="20"/>
      <c r="E24" s="21"/>
      <c r="F24" s="22"/>
      <c r="G24" s="22"/>
      <c r="H24" s="23"/>
      <c r="I24" s="18"/>
      <c r="J24" s="19"/>
      <c r="K24" s="20"/>
      <c r="L24" s="21"/>
      <c r="M24" s="24"/>
      <c r="N24" s="22"/>
      <c r="O24" s="25"/>
      <c r="P24" s="18"/>
      <c r="Q24" s="19"/>
      <c r="R24" s="20"/>
      <c r="S24" s="26"/>
      <c r="T24" s="22"/>
      <c r="U24" s="22"/>
      <c r="V24" s="23"/>
      <c r="W24" s="18"/>
      <c r="X24" s="19"/>
      <c r="Y24" s="20"/>
      <c r="Z24" s="27"/>
      <c r="AA24" s="18"/>
      <c r="AB24" s="19"/>
      <c r="AC24" s="20"/>
      <c r="AD24" s="27"/>
      <c r="AE24" s="18"/>
      <c r="AF24" s="19"/>
      <c r="AG24" s="20"/>
      <c r="AH24" s="28"/>
      <c r="AI24" s="29"/>
      <c r="AJ24" s="2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8"/>
      <c r="C25" s="19"/>
      <c r="D25" s="20"/>
      <c r="E25" s="21"/>
      <c r="F25" s="22"/>
      <c r="G25" s="22"/>
      <c r="H25" s="23"/>
      <c r="I25" s="18"/>
      <c r="J25" s="19"/>
      <c r="K25" s="20"/>
      <c r="L25" s="21"/>
      <c r="M25" s="24"/>
      <c r="N25" s="22"/>
      <c r="O25" s="25"/>
      <c r="P25" s="18"/>
      <c r="Q25" s="19"/>
      <c r="R25" s="20"/>
      <c r="S25" s="26"/>
      <c r="T25" s="22"/>
      <c r="U25" s="22"/>
      <c r="V25" s="23"/>
      <c r="W25" s="18"/>
      <c r="X25" s="19"/>
      <c r="Y25" s="20"/>
      <c r="Z25" s="27"/>
      <c r="AA25" s="18"/>
      <c r="AB25" s="19"/>
      <c r="AC25" s="20"/>
      <c r="AD25" s="27"/>
      <c r="AE25" s="18"/>
      <c r="AF25" s="19"/>
      <c r="AG25" s="20"/>
      <c r="AH25" s="28"/>
      <c r="AI25" s="29"/>
      <c r="AJ25" s="2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IFERROR(__xludf.DUMMYFUNCTION("""COMPUTED_VALUE"""),329.58064516129014)</f>
        <v>329.5806452</v>
      </c>
      <c r="C2" s="11">
        <f>IFERROR(__xludf.DUMMYFUNCTION("""COMPUTED_VALUE"""),330.0)</f>
        <v>330</v>
      </c>
      <c r="D2" s="11">
        <f>IFERROR(__xludf.DUMMYFUNCTION("""COMPUTED_VALUE"""),0.41935483870986445)</f>
        <v>0.4193548387</v>
      </c>
      <c r="E2" s="10">
        <f>IFERROR(__xludf.DUMMYFUNCTION("""COMPUTED_VALUE"""),0.0012723891553299213)</f>
        <v>0.001272389155</v>
      </c>
      <c r="F2" s="10">
        <f>IFERROR(__xludf.DUMMYFUNCTION("""COMPUTED_VALUE"""),0.814661134163209)</f>
        <v>0.8146611342</v>
      </c>
      <c r="G2" s="10">
        <f>IFERROR(__xludf.DUMMYFUNCTION("""COMPUTED_VALUE"""),0.7484848484848485)</f>
        <v>0.7484848485</v>
      </c>
      <c r="H2" s="35">
        <f>IFERROR(__xludf.DUMMYFUNCTION("""COMPUTED_VALUE"""),-6.617628567836043)</f>
        <v>-6.617628568</v>
      </c>
      <c r="I2" s="11">
        <f>IFERROR(__xludf.DUMMYFUNCTION("""COMPUTED_VALUE"""),268.49654218533874)</f>
        <v>268.4965422</v>
      </c>
      <c r="J2" s="11">
        <f>IFERROR(__xludf.DUMMYFUNCTION("""COMPUTED_VALUE"""),247.0)</f>
        <v>247</v>
      </c>
      <c r="K2" s="11">
        <f>IFERROR(__xludf.DUMMYFUNCTION("""COMPUTED_VALUE"""),-21.49654218533874)</f>
        <v>-21.49654219</v>
      </c>
      <c r="L2" s="10">
        <f>IFERROR(__xludf.DUMMYFUNCTION("""COMPUTED_VALUE"""),-0.08006264069687732)</f>
        <v>-0.0800626407</v>
      </c>
      <c r="M2" s="10">
        <f>IFERROR(__xludf.DUMMYFUNCTION("""COMPUTED_VALUE"""),0.3047987616099072)</f>
        <v>0.3047987616</v>
      </c>
      <c r="N2" s="10">
        <f>IFERROR(__xludf.DUMMYFUNCTION("""COMPUTED_VALUE"""),0.27530364372469635)</f>
        <v>0.2753036437</v>
      </c>
      <c r="O2" s="35">
        <f>IFERROR(__xludf.DUMMYFUNCTION("""COMPUTED_VALUE"""),-2.9495117885210864)</f>
        <v>-2.949511789</v>
      </c>
      <c r="P2" s="11">
        <f>IFERROR(__xludf.DUMMYFUNCTION("""COMPUTED_VALUE"""),81.83741355463346)</f>
        <v>81.83741355</v>
      </c>
      <c r="Q2" s="11">
        <f>IFERROR(__xludf.DUMMYFUNCTION("""COMPUTED_VALUE"""),68.0)</f>
        <v>68</v>
      </c>
      <c r="R2" s="11">
        <f>IFERROR(__xludf.DUMMYFUNCTION("""COMPUTED_VALUE"""),-13.837413554633457)</f>
        <v>-13.83741355</v>
      </c>
      <c r="S2" s="10">
        <f>IFERROR(__xludf.DUMMYFUNCTION("""COMPUTED_VALUE"""),-0.16908419943398875)</f>
        <v>-0.1690841994</v>
      </c>
      <c r="T2" s="11">
        <f>IFERROR(__xludf.DUMMYFUNCTION("""COMPUTED_VALUE"""),302865.5147197787)</f>
        <v>302865.5147</v>
      </c>
      <c r="U2" s="36">
        <f>IFERROR(__xludf.DUMMYFUNCTION("""COMPUTED_VALUE"""),1128.0052705882358)</f>
        <v>1128.005271</v>
      </c>
      <c r="V2" s="36">
        <f>IFERROR(__xludf.DUMMYFUNCTION("""COMPUTED_VALUE"""),-24248.212884484452)</f>
        <v>-24248.21288</v>
      </c>
      <c r="W2" s="10">
        <f>IFERROR(__xludf.DUMMYFUNCTION("""COMPUTED_VALUE"""),-0.08006264069687732)</f>
        <v>-0.0800626407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IFERROR(__xludf.DUMMYFUNCTION("""COMPUTED_VALUE"""),71.29032258064512)</f>
        <v>71.29032258</v>
      </c>
      <c r="C3" s="11">
        <f>IFERROR(__xludf.DUMMYFUNCTION("""COMPUTED_VALUE"""),74.0)</f>
        <v>74</v>
      </c>
      <c r="D3" s="11">
        <f>IFERROR(__xludf.DUMMYFUNCTION("""COMPUTED_VALUE"""),2.7096774193548754)</f>
        <v>2.709677419</v>
      </c>
      <c r="E3" s="10">
        <f>IFERROR(__xludf.DUMMYFUNCTION("""COMPUTED_VALUE"""),0.03800904977375619)</f>
        <v>0.03800904977</v>
      </c>
      <c r="F3" s="10">
        <f>IFERROR(__xludf.DUMMYFUNCTION("""COMPUTED_VALUE"""),0.8)</f>
        <v>0.8</v>
      </c>
      <c r="G3" s="10">
        <f>IFERROR(__xludf.DUMMYFUNCTION("""COMPUTED_VALUE"""),0.8243243243243243)</f>
        <v>0.8243243243</v>
      </c>
      <c r="H3" s="35">
        <f>IFERROR(__xludf.DUMMYFUNCTION("""COMPUTED_VALUE"""),2.43243243243243)</f>
        <v>2.432432432</v>
      </c>
      <c r="I3" s="11">
        <f>IFERROR(__xludf.DUMMYFUNCTION("""COMPUTED_VALUE"""),57.0322580645161)</f>
        <v>57.03225806</v>
      </c>
      <c r="J3" s="11">
        <f>IFERROR(__xludf.DUMMYFUNCTION("""COMPUTED_VALUE"""),61.0)</f>
        <v>61</v>
      </c>
      <c r="K3" s="11">
        <f>IFERROR(__xludf.DUMMYFUNCTION("""COMPUTED_VALUE"""),3.9677419354839003)</f>
        <v>3.967741935</v>
      </c>
      <c r="L3" s="10">
        <f>IFERROR(__xludf.DUMMYFUNCTION("""COMPUTED_VALUE"""),0.06957013574660688)</f>
        <v>0.06957013575</v>
      </c>
      <c r="M3" s="10">
        <f>IFERROR(__xludf.DUMMYFUNCTION("""COMPUTED_VALUE"""),0.30859728506787343)</f>
        <v>0.3085972851</v>
      </c>
      <c r="N3" s="10">
        <f>IFERROR(__xludf.DUMMYFUNCTION("""COMPUTED_VALUE"""),0.3114754098360656)</f>
        <v>0.3114754098</v>
      </c>
      <c r="O3" s="35">
        <f>IFERROR(__xludf.DUMMYFUNCTION("""COMPUTED_VALUE"""),0.28781247681921585)</f>
        <v>0.2878124768</v>
      </c>
      <c r="P3" s="11">
        <f>IFERROR(__xludf.DUMMYFUNCTION("""COMPUTED_VALUE"""),17.599999999999998)</f>
        <v>17.6</v>
      </c>
      <c r="Q3" s="11">
        <f>IFERROR(__xludf.DUMMYFUNCTION("""COMPUTED_VALUE"""),19.0)</f>
        <v>19</v>
      </c>
      <c r="R3" s="11">
        <f>IFERROR(__xludf.DUMMYFUNCTION("""COMPUTED_VALUE"""),1.4000000000000021)</f>
        <v>1.4</v>
      </c>
      <c r="S3" s="10">
        <f>IFERROR(__xludf.DUMMYFUNCTION("""COMPUTED_VALUE"""),0.07954545454545468)</f>
        <v>0.07954545455</v>
      </c>
      <c r="T3" s="11">
        <f>IFERROR(__xludf.DUMMYFUNCTION("""COMPUTED_VALUE"""),62004.0658944)</f>
        <v>62004.06589</v>
      </c>
      <c r="U3" s="36">
        <f>IFERROR(__xludf.DUMMYFUNCTION("""COMPUTED_VALUE"""),1087.1753635330322)</f>
        <v>1087.175364</v>
      </c>
      <c r="V3" s="36">
        <f>IFERROR(__xludf.DUMMYFUNCTION("""COMPUTED_VALUE"""),4313.6312811149655)</f>
        <v>4313.631281</v>
      </c>
      <c r="W3" s="10">
        <f>IFERROR(__xludf.DUMMYFUNCTION("""COMPUTED_VALUE"""),0.06957013574660686)</f>
        <v>0.06957013575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IFERROR(__xludf.DUMMYFUNCTION("""COMPUTED_VALUE"""),1250.3225806451608)</f>
        <v>1250.322581</v>
      </c>
      <c r="C4" s="11">
        <f>IFERROR(__xludf.DUMMYFUNCTION("""COMPUTED_VALUE"""),947.0)</f>
        <v>947</v>
      </c>
      <c r="D4" s="11">
        <f>IFERROR(__xludf.DUMMYFUNCTION("""COMPUTED_VALUE"""),-303.32258064516077)</f>
        <v>-303.3225806</v>
      </c>
      <c r="E4" s="10">
        <f>IFERROR(__xludf.DUMMYFUNCTION("""COMPUTED_VALUE"""),-0.2425954592363258)</f>
        <v>-0.2425954592</v>
      </c>
      <c r="F4" s="10">
        <f>IFERROR(__xludf.DUMMYFUNCTION("""COMPUTED_VALUE"""),0.7882218697919465)</f>
        <v>0.7882218698</v>
      </c>
      <c r="G4" s="10">
        <f>IFERROR(__xludf.DUMMYFUNCTION("""COMPUTED_VALUE"""),0.8796198521647307)</f>
        <v>0.8796198522</v>
      </c>
      <c r="H4" s="35">
        <f>IFERROR(__xludf.DUMMYFUNCTION("""COMPUTED_VALUE"""),9.139798237278418)</f>
        <v>9.139798237</v>
      </c>
      <c r="I4" s="11">
        <f>IFERROR(__xludf.DUMMYFUNCTION("""COMPUTED_VALUE"""),985.5316023592205)</f>
        <v>985.5316024</v>
      </c>
      <c r="J4" s="11">
        <f>IFERROR(__xludf.DUMMYFUNCTION("""COMPUTED_VALUE"""),833.0)</f>
        <v>833</v>
      </c>
      <c r="K4" s="11">
        <f>IFERROR(__xludf.DUMMYFUNCTION("""COMPUTED_VALUE"""),-152.53160235922053)</f>
        <v>-152.5316024</v>
      </c>
      <c r="L4" s="10">
        <f>IFERROR(__xludf.DUMMYFUNCTION("""COMPUTED_VALUE"""),-0.15477088912631706)</f>
        <v>-0.1547708891</v>
      </c>
      <c r="M4" s="10">
        <f>IFERROR(__xludf.DUMMYFUNCTION("""COMPUTED_VALUE"""),0.366544922676706)</f>
        <v>0.3665449227</v>
      </c>
      <c r="N4" s="10" t="str">
        <f>IFERROR(__xludf.DUMMYFUNCTION("""COMPUTED_VALUE"""),"#REF!")</f>
        <v>#REF!</v>
      </c>
      <c r="O4" s="35" t="str">
        <f>IFERROR(__xludf.DUMMYFUNCTION("""COMPUTED_VALUE"""),"#REF!")</f>
        <v>#REF!</v>
      </c>
      <c r="P4" s="11">
        <f>IFERROR(__xludf.DUMMYFUNCTION("""COMPUTED_VALUE"""),361.2416049822107)</f>
        <v>361.241605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IFERROR(__xludf.DUMMYFUNCTION("""COMPUTED_VALUE"""),1506746.286993485)</f>
        <v>1506746.287</v>
      </c>
      <c r="U4" s="36">
        <f>IFERROR(__xludf.DUMMYFUNCTION("""COMPUTED_VALUE"""),1528.866535975662)</f>
        <v>1528.866536</v>
      </c>
      <c r="V4" s="36">
        <f>IFERROR(__xludf.DUMMYFUNCTION("""COMPUTED_VALUE"""),-403615.2997057589)</f>
        <v>-403615.2997</v>
      </c>
      <c r="W4" s="10">
        <f>IFERROR(__xludf.DUMMYFUNCTION("""COMPUTED_VALUE"""),-0.267872105071598)</f>
        <v>-0.2678721051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IFERROR(__xludf.DUMMYFUNCTION("""COMPUTED_VALUE"""),767.7419354838706)</f>
        <v>767.7419355</v>
      </c>
      <c r="C5" s="11">
        <f>IFERROR(__xludf.DUMMYFUNCTION("""COMPUTED_VALUE"""),708.0)</f>
        <v>708</v>
      </c>
      <c r="D5" s="11">
        <f>IFERROR(__xludf.DUMMYFUNCTION("""COMPUTED_VALUE"""),-59.741935483870634)</f>
        <v>-59.74193548</v>
      </c>
      <c r="E5" s="10">
        <f>IFERROR(__xludf.DUMMYFUNCTION("""COMPUTED_VALUE"""),-0.07781512605041976)</f>
        <v>-0.07781512605</v>
      </c>
      <c r="F5" s="10">
        <f>IFERROR(__xludf.DUMMYFUNCTION("""COMPUTED_VALUE"""),0.7999999999999999)</f>
        <v>0.8</v>
      </c>
      <c r="G5" s="10">
        <f>IFERROR(__xludf.DUMMYFUNCTION("""COMPUTED_VALUE"""),0.7669491525423728)</f>
        <v>0.7669491525</v>
      </c>
      <c r="H5" s="35">
        <f>IFERROR(__xludf.DUMMYFUNCTION("""COMPUTED_VALUE"""),-3.3050847457627097)</f>
        <v>-3.305084746</v>
      </c>
      <c r="I5" s="11">
        <f>IFERROR(__xludf.DUMMYFUNCTION("""COMPUTED_VALUE"""),614.1935483870965)</f>
        <v>614.1935484</v>
      </c>
      <c r="J5" s="11">
        <f>IFERROR(__xludf.DUMMYFUNCTION("""COMPUTED_VALUE"""),543.0)</f>
        <v>543</v>
      </c>
      <c r="K5" s="11">
        <f>IFERROR(__xludf.DUMMYFUNCTION("""COMPUTED_VALUE"""),-71.19354838709648)</f>
        <v>-71.19354839</v>
      </c>
      <c r="L5" s="10">
        <f>IFERROR(__xludf.DUMMYFUNCTION("""COMPUTED_VALUE"""),-0.11591386554621808)</f>
        <v>-0.1159138655</v>
      </c>
      <c r="M5" s="10">
        <f>IFERROR(__xludf.DUMMYFUNCTION("""COMPUTED_VALUE"""),0.3630014081802471)</f>
        <v>0.3630014082</v>
      </c>
      <c r="N5" s="10">
        <f>IFERROR(__xludf.DUMMYFUNCTION("""COMPUTED_VALUE"""),0.3425414364640884)</f>
        <v>0.3425414365</v>
      </c>
      <c r="O5" s="35">
        <f>IFERROR(__xludf.DUMMYFUNCTION("""COMPUTED_VALUE"""),-2.0459971716158707)</f>
        <v>-2.045997172</v>
      </c>
      <c r="P5" s="11">
        <f>IFERROR(__xludf.DUMMYFUNCTION("""COMPUTED_VALUE"""),222.95312295973878)</f>
        <v>222.953123</v>
      </c>
      <c r="Q5" s="11">
        <f>IFERROR(__xludf.DUMMYFUNCTION("""COMPUTED_VALUE"""),186.0)</f>
        <v>186</v>
      </c>
      <c r="R5" s="11">
        <f>IFERROR(__xludf.DUMMYFUNCTION("""COMPUTED_VALUE"""),-36.95312295973878)</f>
        <v>-36.95312296</v>
      </c>
      <c r="S5" s="10">
        <f>IFERROR(__xludf.DUMMYFUNCTION("""COMPUTED_VALUE"""),-0.1657439127525109)</f>
        <v>-0.1657439128</v>
      </c>
      <c r="T5" s="11">
        <f>IFERROR(__xludf.DUMMYFUNCTION("""COMPUTED_VALUE"""),867075.2347926005)</f>
        <v>867075.2348</v>
      </c>
      <c r="U5" s="36">
        <f>IFERROR(__xludf.DUMMYFUNCTION("""COMPUTED_VALUE"""),1411.7296364795498)</f>
        <v>1411.729636</v>
      </c>
      <c r="V5" s="36">
        <f>IFERROR(__xludf.DUMMYFUNCTION("""COMPUTED_VALUE"""),-100506.04218420495)</f>
        <v>-100506.0422</v>
      </c>
      <c r="W5" s="10">
        <f>IFERROR(__xludf.DUMMYFUNCTION("""COMPUTED_VALUE"""),-0.11591386554621806)</f>
        <v>-0.1159138655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IFERROR(__xludf.DUMMYFUNCTION("""COMPUTED_VALUE"""),159.0)</f>
        <v>159</v>
      </c>
      <c r="D6" s="9"/>
      <c r="E6" s="9"/>
      <c r="F6" s="9"/>
      <c r="G6" s="10">
        <f>IFERROR(__xludf.DUMMYFUNCTION("""COMPUTED_VALUE"""),0.8679245283018868)</f>
        <v>0.8679245283</v>
      </c>
      <c r="H6" s="9"/>
      <c r="I6" s="9"/>
      <c r="J6" s="11">
        <f>IFERROR(__xludf.DUMMYFUNCTION("""COMPUTED_VALUE"""),138.0)</f>
        <v>138</v>
      </c>
      <c r="K6" s="9"/>
      <c r="L6" s="9"/>
      <c r="M6" s="10">
        <f>IFERROR(__xludf.DUMMYFUNCTION("""COMPUTED_VALUE"""),0.3630014081802471)</f>
        <v>0.3630014082</v>
      </c>
      <c r="N6" s="10">
        <f>IFERROR(__xludf.DUMMYFUNCTION("""COMPUTED_VALUE"""),0.4057971014492754)</f>
        <v>0.4057971014</v>
      </c>
      <c r="O6" s="35">
        <f>IFERROR(__xludf.DUMMYFUNCTION("""COMPUTED_VALUE"""),4.279569326902827)</f>
        <v>4.279569327</v>
      </c>
      <c r="P6" s="9"/>
      <c r="Q6" s="11">
        <f>IFERROR(__xludf.DUMMYFUNCTION("""COMPUTED_VALUE"""),56.0)</f>
        <v>56</v>
      </c>
      <c r="R6" s="9"/>
      <c r="S6" s="9"/>
      <c r="T6" s="9"/>
      <c r="U6" s="36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1">
        <f>IFERROR(__xludf.DUMMYFUNCTION("""COMPUTED_VALUE"""),133.0)</f>
        <v>133</v>
      </c>
      <c r="D7" s="9"/>
      <c r="E7" s="9"/>
      <c r="F7" s="9"/>
      <c r="G7" s="10">
        <f>IFERROR(__xludf.DUMMYFUNCTION("""COMPUTED_VALUE"""),0.849624060150376)</f>
        <v>0.8496240602</v>
      </c>
      <c r="H7" s="9"/>
      <c r="I7" s="9"/>
      <c r="J7" s="11">
        <f>IFERROR(__xludf.DUMMYFUNCTION("""COMPUTED_VALUE"""),113.0)</f>
        <v>113</v>
      </c>
      <c r="K7" s="9"/>
      <c r="L7" s="9"/>
      <c r="M7" s="9"/>
      <c r="N7" s="10">
        <f>IFERROR(__xludf.DUMMYFUNCTION("""COMPUTED_VALUE"""),0.40707964601769914)</f>
        <v>0.407079646</v>
      </c>
      <c r="O7" s="9"/>
      <c r="P7" s="9"/>
      <c r="Q7" s="11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1">
        <f>IFERROR(__xludf.DUMMYFUNCTION("""COMPUTED_VALUE"""),143.0)</f>
        <v>143</v>
      </c>
      <c r="D8" s="9"/>
      <c r="E8" s="9"/>
      <c r="F8" s="9"/>
      <c r="G8" s="10">
        <f>IFERROR(__xludf.DUMMYFUNCTION("""COMPUTED_VALUE"""),0.8321678321678322)</f>
        <v>0.8321678322</v>
      </c>
      <c r="H8" s="9"/>
      <c r="I8" s="9"/>
      <c r="J8" s="11">
        <f>IFERROR(__xludf.DUMMYFUNCTION("""COMPUTED_VALUE"""),119.0)</f>
        <v>119</v>
      </c>
      <c r="K8" s="9"/>
      <c r="L8" s="9"/>
      <c r="M8" s="10">
        <f>IFERROR(__xludf.DUMMYFUNCTION("""COMPUTED_VALUE"""),0.3630014081802471)</f>
        <v>0.3630014082</v>
      </c>
      <c r="N8" s="10">
        <f>IFERROR(__xludf.DUMMYFUNCTION("""COMPUTED_VALUE"""),0.3865546218487395)</f>
        <v>0.3865546218</v>
      </c>
      <c r="O8" s="35">
        <f>IFERROR(__xludf.DUMMYFUNCTION("""COMPUTED_VALUE"""),2.355321366849239)</f>
        <v>2.355321367</v>
      </c>
      <c r="P8" s="9"/>
      <c r="Q8" s="11">
        <f>IFERROR(__xludf.DUMMYFUNCTION("""COMPUTED_VALUE"""),46.0)</f>
        <v>46</v>
      </c>
      <c r="R8" s="9"/>
      <c r="S8" s="9"/>
      <c r="T8" s="9"/>
      <c r="U8" s="36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1">
        <f>IFERROR(__xludf.DUMMYFUNCTION("""COMPUTED_VALUE"""),152.0)</f>
        <v>152</v>
      </c>
      <c r="D9" s="9"/>
      <c r="E9" s="9"/>
      <c r="F9" s="9"/>
      <c r="G9" s="10">
        <f>IFERROR(__xludf.DUMMYFUNCTION("""COMPUTED_VALUE"""),0.7894736842105263)</f>
        <v>0.7894736842</v>
      </c>
      <c r="H9" s="9"/>
      <c r="I9" s="9"/>
      <c r="J9" s="11">
        <f>IFERROR(__xludf.DUMMYFUNCTION("""COMPUTED_VALUE"""),120.0)</f>
        <v>120</v>
      </c>
      <c r="K9" s="9"/>
      <c r="L9" s="9"/>
      <c r="M9" s="10">
        <f>IFERROR(__xludf.DUMMYFUNCTION("""COMPUTED_VALUE"""),0.3630014081802471)</f>
        <v>0.3630014082</v>
      </c>
      <c r="N9" s="10">
        <f>IFERROR(__xludf.DUMMYFUNCTION("""COMPUTED_VALUE"""),0.375)</f>
        <v>0.375</v>
      </c>
      <c r="O9" s="35">
        <f>IFERROR(__xludf.DUMMYFUNCTION("""COMPUTED_VALUE"""),1.199859181975288)</f>
        <v>1.199859182</v>
      </c>
      <c r="P9" s="9"/>
      <c r="Q9" s="11">
        <f>IFERROR(__xludf.DUMMYFUNCTION("""COMPUTED_VALUE"""),45.0)</f>
        <v>45</v>
      </c>
      <c r="R9" s="9"/>
      <c r="S9" s="9"/>
      <c r="T9" s="9"/>
      <c r="U9" s="36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1">
        <f>IFERROR(__xludf.DUMMYFUNCTION("""COMPUTED_VALUE"""),134.0)</f>
        <v>134</v>
      </c>
      <c r="D10" s="9"/>
      <c r="E10" s="9"/>
      <c r="F10" s="9"/>
      <c r="G10" s="10">
        <f>IFERROR(__xludf.DUMMYFUNCTION("""COMPUTED_VALUE"""),0.8507462686567164)</f>
        <v>0.8507462687</v>
      </c>
      <c r="H10" s="9"/>
      <c r="I10" s="9"/>
      <c r="J10" s="11">
        <f>IFERROR(__xludf.DUMMYFUNCTION("""COMPUTED_VALUE"""),114.0)</f>
        <v>114</v>
      </c>
      <c r="K10" s="9"/>
      <c r="L10" s="9"/>
      <c r="M10" s="10">
        <f>IFERROR(__xludf.DUMMYFUNCTION("""COMPUTED_VALUE"""),0.3630014081802471)</f>
        <v>0.3630014082</v>
      </c>
      <c r="N10" s="10">
        <f>IFERROR(__xludf.DUMMYFUNCTION("""COMPUTED_VALUE"""),0.38596491228070173)</f>
        <v>0.3859649123</v>
      </c>
      <c r="O10" s="35">
        <f>IFERROR(__xludf.DUMMYFUNCTION("""COMPUTED_VALUE"""),2.296350410045461)</f>
        <v>2.29635041</v>
      </c>
      <c r="P10" s="9"/>
      <c r="Q10" s="11">
        <f>IFERROR(__xludf.DUMMYFUNCTION("""COMPUTED_VALUE"""),44.0)</f>
        <v>44</v>
      </c>
      <c r="R10" s="9"/>
      <c r="S10" s="9"/>
      <c r="T10" s="9"/>
      <c r="U10" s="36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1">
        <f>IFERROR(__xludf.DUMMYFUNCTION("""COMPUTED_VALUE"""),145.0)</f>
        <v>145</v>
      </c>
      <c r="D11" s="9"/>
      <c r="E11" s="9"/>
      <c r="F11" s="9"/>
      <c r="G11" s="10">
        <f>IFERROR(__xludf.DUMMYFUNCTION("""COMPUTED_VALUE"""),0.8068965517241379)</f>
        <v>0.8068965517</v>
      </c>
      <c r="H11" s="9"/>
      <c r="I11" s="9"/>
      <c r="J11" s="11">
        <f>IFERROR(__xludf.DUMMYFUNCTION("""COMPUTED_VALUE"""),117.0)</f>
        <v>117</v>
      </c>
      <c r="K11" s="9"/>
      <c r="L11" s="9"/>
      <c r="M11" s="10">
        <f>IFERROR(__xludf.DUMMYFUNCTION("""COMPUTED_VALUE"""),0.3630014081802471)</f>
        <v>0.3630014082</v>
      </c>
      <c r="N11" s="10">
        <f>IFERROR(__xludf.DUMMYFUNCTION("""COMPUTED_VALUE"""),0.3504273504273504)</f>
        <v>0.3504273504</v>
      </c>
      <c r="O11" s="35">
        <f>IFERROR(__xludf.DUMMYFUNCTION("""COMPUTED_VALUE"""),-1.2574057752896717)</f>
        <v>-1.257405775</v>
      </c>
      <c r="P11" s="9"/>
      <c r="Q11" s="11">
        <f>IFERROR(__xludf.DUMMYFUNCTION("""COMPUTED_VALUE"""),41.0)</f>
        <v>41</v>
      </c>
      <c r="R11" s="9"/>
      <c r="S11" s="9"/>
      <c r="T11" s="9"/>
      <c r="U11" s="36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IFERROR(__xludf.DUMMYFUNCTION("""COMPUTED_VALUE"""),124.0)</f>
        <v>124</v>
      </c>
      <c r="D12" s="9"/>
      <c r="E12" s="9"/>
      <c r="F12" s="9"/>
      <c r="G12" s="10">
        <f>IFERROR(__xludf.DUMMYFUNCTION("""COMPUTED_VALUE"""),0.9112903225806451)</f>
        <v>0.9112903226</v>
      </c>
      <c r="H12" s="9"/>
      <c r="I12" s="9"/>
      <c r="J12" s="11">
        <f>IFERROR(__xludf.DUMMYFUNCTION("""COMPUTED_VALUE"""),113.0)</f>
        <v>113</v>
      </c>
      <c r="K12" s="9"/>
      <c r="L12" s="9"/>
      <c r="M12" s="10">
        <f>IFERROR(__xludf.DUMMYFUNCTION("""COMPUTED_VALUE"""),0.3630014081802471)</f>
        <v>0.3630014082</v>
      </c>
      <c r="N12" s="10">
        <f>IFERROR(__xludf.DUMMYFUNCTION("""COMPUTED_VALUE"""),0.34513274336283184)</f>
        <v>0.3451327434</v>
      </c>
      <c r="O12" s="35">
        <f>IFERROR(__xludf.DUMMYFUNCTION("""COMPUTED_VALUE"""),-1.786866481741528)</f>
        <v>-1.786866482</v>
      </c>
      <c r="P12" s="9"/>
      <c r="Q12" s="11">
        <f>IFERROR(__xludf.DUMMYFUNCTION("""COMPUTED_VALUE"""),39.0)</f>
        <v>39</v>
      </c>
      <c r="R12" s="9"/>
      <c r="S12" s="9"/>
      <c r="T12" s="9"/>
      <c r="U12" s="36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1">
        <f>IFERROR(__xludf.DUMMYFUNCTION("""COMPUTED_VALUE"""),91.0)</f>
        <v>91</v>
      </c>
      <c r="D13" s="9"/>
      <c r="E13" s="9"/>
      <c r="F13" s="9"/>
      <c r="G13" s="10">
        <f>IFERROR(__xludf.DUMMYFUNCTION("""COMPUTED_VALUE"""),0.8901098901098901)</f>
        <v>0.8901098901</v>
      </c>
      <c r="H13" s="9"/>
      <c r="I13" s="9"/>
      <c r="J13" s="11">
        <f>IFERROR(__xludf.DUMMYFUNCTION("""COMPUTED_VALUE"""),81.0)</f>
        <v>81</v>
      </c>
      <c r="K13" s="9"/>
      <c r="L13" s="9"/>
      <c r="M13" s="10">
        <f>IFERROR(__xludf.DUMMYFUNCTION("""COMPUTED_VALUE"""),0.3630014081802471)</f>
        <v>0.3630014082</v>
      </c>
      <c r="N13" s="10">
        <f>IFERROR(__xludf.DUMMYFUNCTION("""COMPUTED_VALUE"""),0.37037037037037035)</f>
        <v>0.3703703704</v>
      </c>
      <c r="O13" s="35">
        <f>IFERROR(__xludf.DUMMYFUNCTION("""COMPUTED_VALUE"""),0.7368962190123229)</f>
        <v>0.736896219</v>
      </c>
      <c r="P13" s="9"/>
      <c r="Q13" s="11">
        <f>IFERROR(__xludf.DUMMYFUNCTION("""COMPUTED_VALUE"""),30.0)</f>
        <v>30</v>
      </c>
      <c r="R13" s="9"/>
      <c r="S13" s="9"/>
      <c r="T13" s="9"/>
      <c r="U13" s="36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1">
        <f>IFERROR(__xludf.DUMMYFUNCTION("""COMPUTED_VALUE"""),127.0)</f>
        <v>127</v>
      </c>
      <c r="D14" s="9"/>
      <c r="E14" s="9"/>
      <c r="F14" s="9"/>
      <c r="G14" s="10">
        <f>IFERROR(__xludf.DUMMYFUNCTION("""COMPUTED_VALUE"""),0.6850393700787402)</f>
        <v>0.6850393701</v>
      </c>
      <c r="H14" s="9"/>
      <c r="I14" s="9"/>
      <c r="J14" s="11">
        <f>IFERROR(__xludf.DUMMYFUNCTION("""COMPUTED_VALUE"""),87.0)</f>
        <v>87</v>
      </c>
      <c r="K14" s="9"/>
      <c r="L14" s="9"/>
      <c r="M14" s="10">
        <f>IFERROR(__xludf.DUMMYFUNCTION("""COMPUTED_VALUE"""),0.3630014081802471)</f>
        <v>0.3630014082</v>
      </c>
      <c r="N14" s="10">
        <f>IFERROR(__xludf.DUMMYFUNCTION("""COMPUTED_VALUE"""),0.3218390804597701)</f>
        <v>0.3218390805</v>
      </c>
      <c r="O14" s="35">
        <f>IFERROR(__xludf.DUMMYFUNCTION("""COMPUTED_VALUE"""),-4.1162327720477005)</f>
        <v>-4.116232772</v>
      </c>
      <c r="P14" s="9"/>
      <c r="Q14" s="11">
        <f>IFERROR(__xludf.DUMMYFUNCTION("""COMPUTED_VALUE"""),28.0)</f>
        <v>28</v>
      </c>
      <c r="R14" s="9"/>
      <c r="S14" s="9"/>
      <c r="T14" s="9"/>
      <c r="U14" s="36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1">
        <f>IFERROR(__xludf.DUMMYFUNCTION("""COMPUTED_VALUE"""),141.0)</f>
        <v>141</v>
      </c>
      <c r="D15" s="9"/>
      <c r="E15" s="9"/>
      <c r="F15" s="9"/>
      <c r="G15" s="10">
        <f>IFERROR(__xludf.DUMMYFUNCTION("""COMPUTED_VALUE"""),0.8297872340425532)</f>
        <v>0.829787234</v>
      </c>
      <c r="H15" s="9"/>
      <c r="I15" s="9"/>
      <c r="J15" s="11">
        <f>IFERROR(__xludf.DUMMYFUNCTION("""COMPUTED_VALUE"""),117.0)</f>
        <v>117</v>
      </c>
      <c r="K15" s="9"/>
      <c r="L15" s="9"/>
      <c r="M15" s="10">
        <f>IFERROR(__xludf.DUMMYFUNCTION("""COMPUTED_VALUE"""),0.3630014081802471)</f>
        <v>0.3630014082</v>
      </c>
      <c r="N15" s="10">
        <f>IFERROR(__xludf.DUMMYFUNCTION("""COMPUTED_VALUE"""),0.2222222222222222)</f>
        <v>0.2222222222</v>
      </c>
      <c r="O15" s="35">
        <f>IFERROR(__xludf.DUMMYFUNCTION("""COMPUTED_VALUE"""),-14.07791859580249)</f>
        <v>-14.0779186</v>
      </c>
      <c r="P15" s="9"/>
      <c r="Q15" s="11">
        <f>IFERROR(__xludf.DUMMYFUNCTION("""COMPUTED_VALUE"""),26.0)</f>
        <v>26</v>
      </c>
      <c r="R15" s="9"/>
      <c r="S15" s="9"/>
      <c r="T15" s="9"/>
      <c r="U15" s="36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1">
        <f>IFERROR(__xludf.DUMMYFUNCTION("""COMPUTED_VALUE"""),65.0)</f>
        <v>65</v>
      </c>
      <c r="D16" s="9"/>
      <c r="E16" s="9"/>
      <c r="F16" s="9"/>
      <c r="G16" s="10">
        <f>IFERROR(__xludf.DUMMYFUNCTION("""COMPUTED_VALUE"""),0.8461538461538461)</f>
        <v>0.8461538462</v>
      </c>
      <c r="H16" s="9"/>
      <c r="I16" s="9"/>
      <c r="J16" s="11">
        <f>IFERROR(__xludf.DUMMYFUNCTION("""COMPUTED_VALUE"""),55.0)</f>
        <v>55</v>
      </c>
      <c r="K16" s="9"/>
      <c r="L16" s="9"/>
      <c r="M16" s="10">
        <f>IFERROR(__xludf.DUMMYFUNCTION("""COMPUTED_VALUE"""),0.3630014081802471)</f>
        <v>0.3630014082</v>
      </c>
      <c r="N16" s="10">
        <f>IFERROR(__xludf.DUMMYFUNCTION("""COMPUTED_VALUE"""),0.23636363636363636)</f>
        <v>0.2363636364</v>
      </c>
      <c r="O16" s="35">
        <f>IFERROR(__xludf.DUMMYFUNCTION("""COMPUTED_VALUE"""),-12.663777181661077)</f>
        <v>-12.66377718</v>
      </c>
      <c r="P16" s="9"/>
      <c r="Q16" s="11">
        <f>IFERROR(__xludf.DUMMYFUNCTION("""COMPUTED_VALUE"""),13.0)</f>
        <v>13</v>
      </c>
      <c r="R16" s="9"/>
      <c r="S16" s="9"/>
      <c r="T16" s="9"/>
      <c r="U16" s="36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1">
        <f>IFERROR(__xludf.DUMMYFUNCTION("""COMPUTED_VALUE"""),8.0)</f>
        <v>8</v>
      </c>
      <c r="D17" s="9"/>
      <c r="E17" s="9"/>
      <c r="F17" s="9"/>
      <c r="G17" s="10">
        <f>IFERROR(__xludf.DUMMYFUNCTION("""COMPUTED_VALUE"""),1.125)</f>
        <v>1.125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IFERROR(__xludf.DUMMYFUNCTION("""COMPUTED_VALUE"""),0.3630014081802471)</f>
        <v>0.3630014082</v>
      </c>
      <c r="N17" s="10">
        <f>IFERROR(__xludf.DUMMYFUNCTION("""COMPUTED_VALUE"""),0.8888888888888888)</f>
        <v>0.8888888889</v>
      </c>
      <c r="O17" s="35">
        <f>IFERROR(__xludf.DUMMYFUNCTION("""COMPUTED_VALUE"""),52.58874807086418)</f>
        <v>52.58874807</v>
      </c>
      <c r="P17" s="9"/>
      <c r="Q17" s="11">
        <f>IFERROR(__xludf.DUMMYFUNCTION("""COMPUTED_VALUE"""),8.0)</f>
        <v>8</v>
      </c>
      <c r="R17" s="9"/>
      <c r="S17" s="9"/>
      <c r="T17" s="9"/>
      <c r="U17" s="36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IFERROR(__xludf.DUMMYFUNCTION("""COMPUTED_VALUE"""),0.3630014081802471)</f>
        <v>0.3630014082</v>
      </c>
      <c r="N18" s="10">
        <f>IFERROR(__xludf.DUMMYFUNCTION("""COMPUTED_VALUE"""),0.7777777777777778)</f>
        <v>0.7777777778</v>
      </c>
      <c r="O18" s="35">
        <f>IFERROR(__xludf.DUMMYFUNCTION("""COMPUTED_VALUE"""),41.47763695975307)</f>
        <v>41.47763696</v>
      </c>
      <c r="P18" s="9"/>
      <c r="Q18" s="11">
        <f>IFERROR(__xludf.DUMMYFUNCTION("""COMPUTED_VALUE"""),7.0)</f>
        <v>7</v>
      </c>
      <c r="R18" s="9"/>
      <c r="S18" s="9"/>
      <c r="T18" s="9"/>
      <c r="U18" s="36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1">
        <f>IFERROR(__xludf.DUMMYFUNCTION("""COMPUTED_VALUE"""),11.0)</f>
        <v>11</v>
      </c>
      <c r="D19" s="9"/>
      <c r="E19" s="9"/>
      <c r="F19" s="9"/>
      <c r="G19" s="10">
        <f>IFERROR(__xludf.DUMMYFUNCTION("""COMPUTED_VALUE"""),1.0)</f>
        <v>1</v>
      </c>
      <c r="H19" s="9"/>
      <c r="I19" s="9"/>
      <c r="J19" s="11">
        <f>IFERROR(__xludf.DUMMYFUNCTION("""COMPUTED_VALUE"""),11.0)</f>
        <v>11</v>
      </c>
      <c r="K19" s="9"/>
      <c r="L19" s="9"/>
      <c r="M19" s="10">
        <f>IFERROR(__xludf.DUMMYFUNCTION("""COMPUTED_VALUE"""),0.3630014081802471)</f>
        <v>0.3630014082</v>
      </c>
      <c r="N19" s="10">
        <f>IFERROR(__xludf.DUMMYFUNCTION("""COMPUTED_VALUE"""),0.5454545454545454)</f>
        <v>0.5454545455</v>
      </c>
      <c r="O19" s="35">
        <f>IFERROR(__xludf.DUMMYFUNCTION("""COMPUTED_VALUE"""),18.245313727429828)</f>
        <v>18.24531373</v>
      </c>
      <c r="P19" s="9"/>
      <c r="Q19" s="11">
        <f>IFERROR(__xludf.DUMMYFUNCTION("""COMPUTED_VALUE"""),6.0)</f>
        <v>6</v>
      </c>
      <c r="R19" s="9"/>
      <c r="S19" s="9"/>
      <c r="T19" s="9"/>
      <c r="U19" s="36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IFERROR(__xludf.DUMMYFUNCTION("""COMPUTED_VALUE"""),0.3630014081802471)</f>
        <v>0.3630014082</v>
      </c>
      <c r="N20" s="10">
        <f>IFERROR(__xludf.DUMMYFUNCTION("""COMPUTED_VALUE"""),1.0)</f>
        <v>1</v>
      </c>
      <c r="O20" s="35">
        <f>IFERROR(__xludf.DUMMYFUNCTION("""COMPUTED_VALUE"""),63.69985918197529)</f>
        <v>63.69985918</v>
      </c>
      <c r="P20" s="9"/>
      <c r="Q20" s="11">
        <f>IFERROR(__xludf.DUMMYFUNCTION("""COMPUTED_VALUE"""),1.0)</f>
        <v>1</v>
      </c>
      <c r="R20" s="9"/>
      <c r="S20" s="9"/>
      <c r="T20" s="9"/>
      <c r="U20" s="36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IFERROR(__xludf.DUMMYFUNCTION("""COMPUTED_VALUE"""),0.3630014081802471)</f>
        <v>0.3630014082</v>
      </c>
      <c r="N21" s="10">
        <f>IFERROR(__xludf.DUMMYFUNCTION("""COMPUTED_VALUE"""),1.0)</f>
        <v>1</v>
      </c>
      <c r="O21" s="35">
        <f>IFERROR(__xludf.DUMMYFUNCTION("""COMPUTED_VALUE"""),63.69985918197529)</f>
        <v>63.69985918</v>
      </c>
      <c r="P21" s="9"/>
      <c r="Q21" s="11">
        <f>IFERROR(__xludf.DUMMYFUNCTION("""COMPUTED_VALUE"""),1.0)</f>
        <v>1</v>
      </c>
      <c r="R21" s="9"/>
      <c r="S21" s="9"/>
      <c r="T21" s="9"/>
      <c r="U21" s="36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IFERROR(__xludf.DUMMYFUNCTION("""COMPUTED_VALUE"""),0.3630014081802471)</f>
        <v>0.3630014082</v>
      </c>
      <c r="N22" s="10">
        <f>IFERROR(__xludf.DUMMYFUNCTION("""COMPUTED_VALUE"""),0.0)</f>
        <v>0</v>
      </c>
      <c r="O22" s="35">
        <f>IFERROR(__xludf.DUMMYFUNCTION("""COMPUTED_VALUE"""),-36.300140818024715)</f>
        <v>-36.30014082</v>
      </c>
      <c r="P22" s="9"/>
      <c r="Q22" s="11">
        <f>IFERROR(__xludf.DUMMYFUNCTION("""COMPUTED_VALUE"""),0.0)</f>
        <v>0</v>
      </c>
      <c r="R22" s="9"/>
      <c r="S22" s="9"/>
      <c r="T22" s="9"/>
      <c r="U22" s="36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1">
        <f>IFERROR(__xludf.DUMMYFUNCTION("""COMPUTED_VALUE"""),2.0)</f>
        <v>2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IFERROR(__xludf.DUMMYFUNCTION("""COMPUTED_VALUE"""),2.0)</f>
        <v>2</v>
      </c>
      <c r="K23" s="9"/>
      <c r="L23" s="9"/>
      <c r="M23" s="10">
        <f>IFERROR(__xludf.DUMMYFUNCTION("""COMPUTED_VALUE"""),0.3630014081802471)</f>
        <v>0.3630014082</v>
      </c>
      <c r="N23" s="10">
        <f>IFERROR(__xludf.DUMMYFUNCTION("""COMPUTED_VALUE"""),0.0)</f>
        <v>0</v>
      </c>
      <c r="O23" s="35">
        <f>IFERROR(__xludf.DUMMYFUNCTION("""COMPUTED_VALUE"""),-36.300140818024715)</f>
        <v>-36.30014082</v>
      </c>
      <c r="P23" s="9"/>
      <c r="Q23" s="11">
        <f>IFERROR(__xludf.DUMMYFUNCTION("""COMPUTED_VALUE"""),0.0)</f>
        <v>0</v>
      </c>
      <c r="R23" s="9"/>
      <c r="S23" s="9"/>
      <c r="T23" s="9"/>
      <c r="U23" s="36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1">
        <f>IFERROR(__xludf.DUMMYFUNCTION("""COMPUTED_VALUE"""),1.0)</f>
        <v>1</v>
      </c>
      <c r="D24" s="9"/>
      <c r="E24" s="9"/>
      <c r="F24" s="9"/>
      <c r="G24" s="10">
        <f>IFERROR(__xludf.DUMMYFUNCTION("""COMPUTED_VALUE"""),0.0)</f>
        <v>0</v>
      </c>
      <c r="H24" s="9"/>
      <c r="I24" s="9"/>
      <c r="J24" s="11">
        <f>IFERROR(__xludf.DUMMYFUNCTION("""COMPUTED_VALUE"""),0.0)</f>
        <v>0</v>
      </c>
      <c r="K24" s="9"/>
      <c r="L24" s="9"/>
      <c r="M24" s="10">
        <f>IFERROR(__xludf.DUMMYFUNCTION("""COMPUTED_VALUE"""),0.3630014081802471)</f>
        <v>0.3630014082</v>
      </c>
      <c r="N24" s="10">
        <f>IFERROR(__xludf.DUMMYFUNCTION("""COMPUTED_VALUE"""),0.0)</f>
        <v>0</v>
      </c>
      <c r="O24" s="35">
        <f>IFERROR(__xludf.DUMMYFUNCTION("""COMPUTED_VALUE"""),-36.300140818024715)</f>
        <v>-36.30014082</v>
      </c>
      <c r="P24" s="9"/>
      <c r="Q24" s="11">
        <f>IFERROR(__xludf.DUMMYFUNCTION("""COMPUTED_VALUE"""),0.0)</f>
        <v>0</v>
      </c>
      <c r="R24" s="9"/>
      <c r="S24" s="9"/>
      <c r="T24" s="9"/>
      <c r="U24" s="36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1">
        <f>IFERROR(__xludf.DUMMYFUNCTION("""COMPUTED_VALUE"""),230.32258064516117)</f>
        <v>230.3225806</v>
      </c>
      <c r="C25" s="11">
        <f>IFERROR(__xludf.DUMMYFUNCTION("""COMPUTED_VALUE"""),108.0)</f>
        <v>108</v>
      </c>
      <c r="D25" s="11">
        <f>IFERROR(__xludf.DUMMYFUNCTION("""COMPUTED_VALUE"""),-122.32258064516117)</f>
        <v>-122.3225806</v>
      </c>
      <c r="E25" s="10">
        <f>IFERROR(__xludf.DUMMYFUNCTION("""COMPUTED_VALUE"""),-0.5310924369747897)</f>
        <v>-0.531092437</v>
      </c>
      <c r="F25" s="10">
        <f>IFERROR(__xludf.DUMMYFUNCTION("""COMPUTED_VALUE"""),0.8100000000000002)</f>
        <v>0.81</v>
      </c>
      <c r="G25" s="10">
        <f>IFERROR(__xludf.DUMMYFUNCTION("""COMPUTED_VALUE"""),0.8703703703703703)</f>
        <v>0.8703703704</v>
      </c>
      <c r="H25" s="35">
        <f>IFERROR(__xludf.DUMMYFUNCTION("""COMPUTED_VALUE"""),6.0370370370370185)</f>
        <v>6.037037037</v>
      </c>
      <c r="I25" s="11">
        <f>IFERROR(__xludf.DUMMYFUNCTION("""COMPUTED_VALUE"""),186.5612903225806)</f>
        <v>186.5612903</v>
      </c>
      <c r="J25" s="11">
        <f>IFERROR(__xludf.DUMMYFUNCTION("""COMPUTED_VALUE"""),94.0)</f>
        <v>94</v>
      </c>
      <c r="K25" s="11">
        <f>IFERROR(__xludf.DUMMYFUNCTION("""COMPUTED_VALUE"""),-92.56129032258059)</f>
        <v>-92.56129032</v>
      </c>
      <c r="L25" s="10">
        <f>IFERROR(__xludf.DUMMYFUNCTION("""COMPUTED_VALUE"""),-0.49614413666701235)</f>
        <v>-0.4961441367</v>
      </c>
      <c r="M25" s="10">
        <f>IFERROR(__xludf.DUMMYFUNCTION("""COMPUTED_VALUE"""),0.31091176470588244)</f>
        <v>0.3109117647</v>
      </c>
      <c r="N25" s="10">
        <f>IFERROR(__xludf.DUMMYFUNCTION("""COMPUTED_VALUE"""),0.40425531914893614)</f>
        <v>0.4042553191</v>
      </c>
      <c r="O25" s="35">
        <f>IFERROR(__xludf.DUMMYFUNCTION("""COMPUTED_VALUE"""),9.33435544430537)</f>
        <v>9.334355444</v>
      </c>
      <c r="P25" s="11">
        <f>IFERROR(__xludf.DUMMYFUNCTION("""COMPUTED_VALUE"""),58.0041)</f>
        <v>58.0041</v>
      </c>
      <c r="Q25" s="11">
        <f>IFERROR(__xludf.DUMMYFUNCTION("""COMPUTED_VALUE"""),38.0)</f>
        <v>38</v>
      </c>
      <c r="R25" s="11">
        <f>IFERROR(__xludf.DUMMYFUNCTION("""COMPUTED_VALUE"""),-20.0041)</f>
        <v>-20.0041</v>
      </c>
      <c r="S25" s="10">
        <f>IFERROR(__xludf.DUMMYFUNCTION("""COMPUTED_VALUE"""),-0.344873896845223)</f>
        <v>-0.3448738968</v>
      </c>
      <c r="T25" s="11">
        <f>IFERROR(__xludf.DUMMYFUNCTION("""COMPUTED_VALUE"""),308830.70232000004)</f>
        <v>308830.7023</v>
      </c>
      <c r="U25" s="36">
        <f>IFERROR(__xludf.DUMMYFUNCTION("""COMPUTED_VALUE"""),1655.3846823529418)</f>
        <v>1655.384682</v>
      </c>
      <c r="V25" s="36">
        <f>IFERROR(__xludf.DUMMYFUNCTION("""COMPUTED_VALUE"""),-153224.5421788235)</f>
        <v>-153224.5422</v>
      </c>
      <c r="W25" s="10">
        <f>IFERROR(__xludf.DUMMYFUNCTION("""COMPUTED_VALUE"""),-0.4961441366670123)</f>
        <v>-0.4961441367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1">
        <f>IFERROR(__xludf.DUMMYFUNCTION("""COMPUTED_VALUE"""),38.0)</f>
        <v>38</v>
      </c>
      <c r="D26" s="9"/>
      <c r="E26" s="9"/>
      <c r="F26" s="9"/>
      <c r="G26" s="10">
        <f>IFERROR(__xludf.DUMMYFUNCTION("""COMPUTED_VALUE"""),0.9473684210526315)</f>
        <v>0.9473684211</v>
      </c>
      <c r="H26" s="9"/>
      <c r="I26" s="9"/>
      <c r="J26" s="11">
        <f>IFERROR(__xludf.DUMMYFUNCTION("""COMPUTED_VALUE"""),36.0)</f>
        <v>36</v>
      </c>
      <c r="K26" s="9"/>
      <c r="L26" s="9"/>
      <c r="M26" s="9"/>
      <c r="N26" s="10">
        <f>IFERROR(__xludf.DUMMYFUNCTION("""COMPUTED_VALUE"""),0.4722222222222222)</f>
        <v>0.4722222222</v>
      </c>
      <c r="O26" s="9"/>
      <c r="P26" s="9"/>
      <c r="Q26" s="11">
        <f>IFERROR(__xludf.DUMMYFUNCTION("""COMPUTED_VALUE"""),17.0)</f>
        <v>17</v>
      </c>
      <c r="R26" s="9"/>
      <c r="S26" s="9"/>
      <c r="T26" s="9"/>
      <c r="U26" s="36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1">
        <f>IFERROR(__xludf.DUMMYFUNCTION("""COMPUTED_VALUE"""),51.0)</f>
        <v>51</v>
      </c>
      <c r="D27" s="9"/>
      <c r="E27" s="9"/>
      <c r="F27" s="9"/>
      <c r="G27" s="10">
        <f>IFERROR(__xludf.DUMMYFUNCTION("""COMPUTED_VALUE"""),0.7450980392156863)</f>
        <v>0.7450980392</v>
      </c>
      <c r="H27" s="9"/>
      <c r="I27" s="9"/>
      <c r="J27" s="11">
        <f>IFERROR(__xludf.DUMMYFUNCTION("""COMPUTED_VALUE"""),38.0)</f>
        <v>38</v>
      </c>
      <c r="K27" s="9"/>
      <c r="L27" s="9"/>
      <c r="M27" s="9"/>
      <c r="N27" s="10">
        <f>IFERROR(__xludf.DUMMYFUNCTION("""COMPUTED_VALUE"""),0.4473684210526316)</f>
        <v>0.4473684211</v>
      </c>
      <c r="O27" s="9"/>
      <c r="P27" s="9"/>
      <c r="Q27" s="11">
        <f>IFERROR(__xludf.DUMMYFUNCTION("""COMPUTED_VALUE"""),17.0)</f>
        <v>17</v>
      </c>
      <c r="R27" s="9"/>
      <c r="S27" s="9"/>
      <c r="T27" s="9"/>
      <c r="U27" s="36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1">
        <f>IFERROR(__xludf.DUMMYFUNCTION("""COMPUTED_VALUE"""),53.0)</f>
        <v>53</v>
      </c>
      <c r="D28" s="9"/>
      <c r="E28" s="9"/>
      <c r="F28" s="9"/>
      <c r="G28" s="10">
        <f>IFERROR(__xludf.DUMMYFUNCTION("""COMPUTED_VALUE"""),0.8301886792452831)</f>
        <v>0.8301886792</v>
      </c>
      <c r="H28" s="9"/>
      <c r="I28" s="9"/>
      <c r="J28" s="11">
        <f>IFERROR(__xludf.DUMMYFUNCTION("""COMPUTED_VALUE"""),44.0)</f>
        <v>44</v>
      </c>
      <c r="K28" s="9"/>
      <c r="L28" s="9"/>
      <c r="M28" s="9"/>
      <c r="N28" s="10">
        <f>IFERROR(__xludf.DUMMYFUNCTION("""COMPUTED_VALUE"""),0.36363636363636365)</f>
        <v>0.3636363636</v>
      </c>
      <c r="O28" s="9"/>
      <c r="P28" s="9"/>
      <c r="Q28" s="11">
        <f>IFERROR(__xludf.DUMMYFUNCTION("""COMPUTED_VALUE"""),16.0)</f>
        <v>16</v>
      </c>
      <c r="R28" s="9"/>
      <c r="S28" s="9"/>
      <c r="T28" s="9"/>
      <c r="U28" s="36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1">
        <f>IFERROR(__xludf.DUMMYFUNCTION("""COMPUTED_VALUE"""),50.0)</f>
        <v>50</v>
      </c>
      <c r="D29" s="9"/>
      <c r="E29" s="9"/>
      <c r="F29" s="9"/>
      <c r="G29" s="10">
        <f>IFERROR(__xludf.DUMMYFUNCTION("""COMPUTED_VALUE"""),0.84)</f>
        <v>0.84</v>
      </c>
      <c r="H29" s="9"/>
      <c r="I29" s="9"/>
      <c r="J29" s="11">
        <f>IFERROR(__xludf.DUMMYFUNCTION("""COMPUTED_VALUE"""),42.0)</f>
        <v>42</v>
      </c>
      <c r="K29" s="9"/>
      <c r="L29" s="9"/>
      <c r="M29" s="9"/>
      <c r="N29" s="10">
        <f>IFERROR(__xludf.DUMMYFUNCTION("""COMPUTED_VALUE"""),0.3333333333333333)</f>
        <v>0.3333333333</v>
      </c>
      <c r="O29" s="9"/>
      <c r="P29" s="9"/>
      <c r="Q29" s="11">
        <f>IFERROR(__xludf.DUMMYFUNCTION("""COMPUTED_VALUE"""),14.0)</f>
        <v>14</v>
      </c>
      <c r="R29" s="9"/>
      <c r="S29" s="9"/>
      <c r="T29" s="9"/>
      <c r="U29" s="36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1">
        <f>IFERROR(__xludf.DUMMYFUNCTION("""COMPUTED_VALUE"""),40.0)</f>
        <v>40</v>
      </c>
      <c r="D30" s="9"/>
      <c r="E30" s="9"/>
      <c r="F30" s="9"/>
      <c r="G30" s="10">
        <f>IFERROR(__xludf.DUMMYFUNCTION("""COMPUTED_VALUE"""),0.8)</f>
        <v>0.8</v>
      </c>
      <c r="H30" s="9"/>
      <c r="I30" s="9"/>
      <c r="J30" s="11">
        <f>IFERROR(__xludf.DUMMYFUNCTION("""COMPUTED_VALUE"""),32.0)</f>
        <v>32</v>
      </c>
      <c r="K30" s="9"/>
      <c r="L30" s="9"/>
      <c r="M30" s="9"/>
      <c r="N30" s="10">
        <f>IFERROR(__xludf.DUMMYFUNCTION("""COMPUTED_VALUE"""),0.40625)</f>
        <v>0.40625</v>
      </c>
      <c r="O30" s="9"/>
      <c r="P30" s="9"/>
      <c r="Q30" s="11">
        <f>IFERROR(__xludf.DUMMYFUNCTION("""COMPUTED_VALUE"""),13.0)</f>
        <v>13</v>
      </c>
      <c r="R30" s="9"/>
      <c r="S30" s="9"/>
      <c r="T30" s="9"/>
      <c r="U30" s="36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1">
        <f>IFERROR(__xludf.DUMMYFUNCTION("""COMPUTED_VALUE"""),47.0)</f>
        <v>47</v>
      </c>
      <c r="D31" s="9"/>
      <c r="E31" s="9"/>
      <c r="F31" s="9"/>
      <c r="G31" s="10">
        <f>IFERROR(__xludf.DUMMYFUNCTION("""COMPUTED_VALUE"""),0.8936170212765957)</f>
        <v>0.8936170213</v>
      </c>
      <c r="H31" s="9"/>
      <c r="I31" s="9"/>
      <c r="J31" s="11">
        <f>IFERROR(__xludf.DUMMYFUNCTION("""COMPUTED_VALUE"""),42.0)</f>
        <v>42</v>
      </c>
      <c r="K31" s="9"/>
      <c r="L31" s="9"/>
      <c r="M31" s="9"/>
      <c r="N31" s="10">
        <f>IFERROR(__xludf.DUMMYFUNCTION("""COMPUTED_VALUE"""),0.2857142857142857)</f>
        <v>0.2857142857</v>
      </c>
      <c r="O31" s="9"/>
      <c r="P31" s="9"/>
      <c r="Q31" s="11">
        <f>IFERROR(__xludf.DUMMYFUNCTION("""COMPUTED_VALUE"""),12.0)</f>
        <v>12</v>
      </c>
      <c r="R31" s="9"/>
      <c r="S31" s="9"/>
      <c r="T31" s="9"/>
      <c r="U31" s="36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1">
        <f>IFERROR(__xludf.DUMMYFUNCTION("""COMPUTED_VALUE"""),42.0)</f>
        <v>42</v>
      </c>
      <c r="D32" s="9"/>
      <c r="E32" s="9"/>
      <c r="F32" s="9"/>
      <c r="G32" s="10">
        <f>IFERROR(__xludf.DUMMYFUNCTION("""COMPUTED_VALUE"""),0.7619047619047619)</f>
        <v>0.7619047619</v>
      </c>
      <c r="H32" s="9"/>
      <c r="I32" s="9"/>
      <c r="J32" s="11">
        <f>IFERROR(__xludf.DUMMYFUNCTION("""COMPUTED_VALUE"""),32.0)</f>
        <v>32</v>
      </c>
      <c r="K32" s="9"/>
      <c r="L32" s="9"/>
      <c r="M32" s="9"/>
      <c r="N32" s="10">
        <f>IFERROR(__xludf.DUMMYFUNCTION("""COMPUTED_VALUE"""),0.3125)</f>
        <v>0.3125</v>
      </c>
      <c r="O32" s="9"/>
      <c r="P32" s="9"/>
      <c r="Q32" s="11">
        <f>IFERROR(__xludf.DUMMYFUNCTION("""COMPUTED_VALUE"""),10.0)</f>
        <v>10</v>
      </c>
      <c r="R32" s="9"/>
      <c r="S32" s="9"/>
      <c r="T32" s="9"/>
      <c r="U32" s="36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1">
        <f>IFERROR(__xludf.DUMMYFUNCTION("""COMPUTED_VALUE"""),32.0)</f>
        <v>32</v>
      </c>
      <c r="D33" s="9"/>
      <c r="E33" s="9"/>
      <c r="F33" s="9"/>
      <c r="G33" s="10">
        <f>IFERROR(__xludf.DUMMYFUNCTION("""COMPUTED_VALUE"""),0.90625)</f>
        <v>0.90625</v>
      </c>
      <c r="H33" s="9"/>
      <c r="I33" s="9"/>
      <c r="J33" s="11">
        <f>IFERROR(__xludf.DUMMYFUNCTION("""COMPUTED_VALUE"""),29.0)</f>
        <v>29</v>
      </c>
      <c r="K33" s="9"/>
      <c r="L33" s="9"/>
      <c r="M33" s="9"/>
      <c r="N33" s="10">
        <f>IFERROR(__xludf.DUMMYFUNCTION("""COMPUTED_VALUE"""),0.27586206896551724)</f>
        <v>0.275862069</v>
      </c>
      <c r="O33" s="9"/>
      <c r="P33" s="9"/>
      <c r="Q33" s="11">
        <f>IFERROR(__xludf.DUMMYFUNCTION("""COMPUTED_VALUE"""),8.0)</f>
        <v>8</v>
      </c>
      <c r="R33" s="9"/>
      <c r="S33" s="9"/>
      <c r="T33" s="9"/>
      <c r="U33" s="36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1">
        <f>IFERROR(__xludf.DUMMYFUNCTION("""COMPUTED_VALUE"""),38.0)</f>
        <v>38</v>
      </c>
      <c r="D34" s="9"/>
      <c r="E34" s="9"/>
      <c r="F34" s="9"/>
      <c r="G34" s="10">
        <f>IFERROR(__xludf.DUMMYFUNCTION("""COMPUTED_VALUE"""),0.7631578947368421)</f>
        <v>0.7631578947</v>
      </c>
      <c r="H34" s="9"/>
      <c r="I34" s="9"/>
      <c r="J34" s="11">
        <f>IFERROR(__xludf.DUMMYFUNCTION("""COMPUTED_VALUE"""),29.0)</f>
        <v>29</v>
      </c>
      <c r="K34" s="9"/>
      <c r="L34" s="9"/>
      <c r="M34" s="9"/>
      <c r="N34" s="10">
        <f>IFERROR(__xludf.DUMMYFUNCTION("""COMPUTED_VALUE"""),0.2413793103448276)</f>
        <v>0.2413793103</v>
      </c>
      <c r="O34" s="9"/>
      <c r="P34" s="9"/>
      <c r="Q34" s="11">
        <f>IFERROR(__xludf.DUMMYFUNCTION("""COMPUTED_VALUE"""),7.0)</f>
        <v>7</v>
      </c>
      <c r="R34" s="9"/>
      <c r="S34" s="9"/>
      <c r="T34" s="9"/>
      <c r="U34" s="36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1">
        <f>IFERROR(__xludf.DUMMYFUNCTION("""COMPUTED_VALUE"""),11.0)</f>
        <v>11</v>
      </c>
      <c r="D35" s="9"/>
      <c r="E35" s="9"/>
      <c r="F35" s="9"/>
      <c r="G35" s="10">
        <f>IFERROR(__xludf.DUMMYFUNCTION("""COMPUTED_VALUE"""),1.0)</f>
        <v>1</v>
      </c>
      <c r="H35" s="9"/>
      <c r="I35" s="9"/>
      <c r="J35" s="11">
        <f>IFERROR(__xludf.DUMMYFUNCTION("""COMPUTED_VALUE"""),11.0)</f>
        <v>11</v>
      </c>
      <c r="K35" s="9"/>
      <c r="L35" s="9"/>
      <c r="M35" s="9"/>
      <c r="N35" s="10">
        <f>IFERROR(__xludf.DUMMYFUNCTION("""COMPUTED_VALUE"""),0.36363636363636365)</f>
        <v>0.3636363636</v>
      </c>
      <c r="O35" s="9"/>
      <c r="P35" s="9"/>
      <c r="Q35" s="11">
        <f>IFERROR(__xludf.DUMMYFUNCTION("""COMPUTED_VALUE"""),4.0)</f>
        <v>4</v>
      </c>
      <c r="R35" s="9"/>
      <c r="S35" s="9"/>
      <c r="T35" s="9"/>
      <c r="U35" s="36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IFERROR(__xludf.DUMMYFUNCTION("""COMPUTED_VALUE"""),31.0)</f>
        <v>31</v>
      </c>
      <c r="D36" s="9"/>
      <c r="E36" s="9"/>
      <c r="F36" s="9"/>
      <c r="G36" s="10">
        <f>IFERROR(__xludf.DUMMYFUNCTION("""COMPUTED_VALUE"""),0.6774193548387096)</f>
        <v>0.6774193548</v>
      </c>
      <c r="H36" s="9"/>
      <c r="I36" s="9"/>
      <c r="J36" s="11">
        <f>IFERROR(__xludf.DUMMYFUNCTION("""COMPUTED_VALUE"""),21.0)</f>
        <v>21</v>
      </c>
      <c r="K36" s="9"/>
      <c r="L36" s="9"/>
      <c r="M36" s="9"/>
      <c r="N36" s="10">
        <f>IFERROR(__xludf.DUMMYFUNCTION("""COMPUTED_VALUE"""),0.14285714285714285)</f>
        <v>0.1428571429</v>
      </c>
      <c r="O36" s="9"/>
      <c r="P36" s="9"/>
      <c r="Q36" s="11">
        <f>IFERROR(__xludf.DUMMYFUNCTION("""COMPUTED_VALUE"""),3.0)</f>
        <v>3</v>
      </c>
      <c r="R36" s="9"/>
      <c r="S36" s="9"/>
      <c r="T36" s="9"/>
      <c r="U36" s="36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1">
        <f>IFERROR(__xludf.DUMMYFUNCTION("""COMPUTED_VALUE"""),4.0)</f>
        <v>4</v>
      </c>
      <c r="D37" s="9"/>
      <c r="E37" s="9"/>
      <c r="F37" s="9"/>
      <c r="G37" s="10">
        <f>IFERROR(__xludf.DUMMYFUNCTION("""COMPUTED_VALUE"""),1.25)</f>
        <v>1.25</v>
      </c>
      <c r="H37" s="9"/>
      <c r="I37" s="9"/>
      <c r="J37" s="11">
        <f>IFERROR(__xludf.DUMMYFUNCTION("""COMPUTED_VALUE"""),5.0)</f>
        <v>5</v>
      </c>
      <c r="K37" s="9"/>
      <c r="L37" s="9"/>
      <c r="M37" s="9"/>
      <c r="N37" s="10">
        <f>IFERROR(__xludf.DUMMYFUNCTION("""COMPUTED_VALUE"""),0.4)</f>
        <v>0.4</v>
      </c>
      <c r="O37" s="9"/>
      <c r="P37" s="9"/>
      <c r="Q37" s="11">
        <f>IFERROR(__xludf.DUMMYFUNCTION("""COMPUTED_VALUE"""),2.0)</f>
        <v>2</v>
      </c>
      <c r="R37" s="9"/>
      <c r="S37" s="9"/>
      <c r="T37" s="9"/>
      <c r="U37" s="36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1">
        <f>IFERROR(__xludf.DUMMYFUNCTION("""COMPUTED_VALUE"""),219.35483870967732)</f>
        <v>219.3548387</v>
      </c>
      <c r="C38" s="11">
        <f>IFERROR(__xludf.DUMMYFUNCTION("""COMPUTED_VALUE"""),102.0)</f>
        <v>102</v>
      </c>
      <c r="D38" s="11">
        <f>IFERROR(__xludf.DUMMYFUNCTION("""COMPUTED_VALUE"""),-117.35483870967732)</f>
        <v>-117.3548387</v>
      </c>
      <c r="E38" s="10">
        <f>IFERROR(__xludf.DUMMYFUNCTION("""COMPUTED_VALUE"""),-0.5349999999999998)</f>
        <v>-0.535</v>
      </c>
      <c r="F38" s="10">
        <f>IFERROR(__xludf.DUMMYFUNCTION("""COMPUTED_VALUE"""),0.7454545454545455)</f>
        <v>0.7454545455</v>
      </c>
      <c r="G38" s="10">
        <f>IFERROR(__xludf.DUMMYFUNCTION("""COMPUTED_VALUE"""),0.8235294117647058)</f>
        <v>0.8235294118</v>
      </c>
      <c r="H38" s="35">
        <f>IFERROR(__xludf.DUMMYFUNCTION("""COMPUTED_VALUE"""),7.807486631016037)</f>
        <v>7.807486631</v>
      </c>
      <c r="I38" s="11">
        <f>IFERROR(__xludf.DUMMYFUNCTION("""COMPUTED_VALUE"""),163.51906158357764)</f>
        <v>163.5190616</v>
      </c>
      <c r="J38" s="11">
        <f>IFERROR(__xludf.DUMMYFUNCTION("""COMPUTED_VALUE"""),84.0)</f>
        <v>84</v>
      </c>
      <c r="K38" s="11">
        <f>IFERROR(__xludf.DUMMYFUNCTION("""COMPUTED_VALUE"""),-79.51906158357764)</f>
        <v>-79.51906158</v>
      </c>
      <c r="L38" s="10">
        <f>IFERROR(__xludf.DUMMYFUNCTION("""COMPUTED_VALUE"""),-0.48629842180774724)</f>
        <v>-0.4862984218</v>
      </c>
      <c r="M38" s="10">
        <f>IFERROR(__xludf.DUMMYFUNCTION("""COMPUTED_VALUE"""),0.45499282639885236)</f>
        <v>0.4549928264</v>
      </c>
      <c r="N38" s="10">
        <f>IFERROR(__xludf.DUMMYFUNCTION("""COMPUTED_VALUE"""),0.5357142857142857)</f>
        <v>0.5357142857</v>
      </c>
      <c r="O38" s="35">
        <f>IFERROR(__xludf.DUMMYFUNCTION("""COMPUTED_VALUE"""),8.072145931543334)</f>
        <v>8.072145932</v>
      </c>
      <c r="P38" s="11">
        <f>IFERROR(__xludf.DUMMYFUNCTION("""COMPUTED_VALUE"""),74.39999999999999)</f>
        <v>74.4</v>
      </c>
      <c r="Q38" s="11">
        <f>IFERROR(__xludf.DUMMYFUNCTION("""COMPUTED_VALUE"""),45.0)</f>
        <v>45</v>
      </c>
      <c r="R38" s="11">
        <f>IFERROR(__xludf.DUMMYFUNCTION("""COMPUTED_VALUE"""),-29.39999999999999)</f>
        <v>-29.4</v>
      </c>
      <c r="S38" s="10">
        <f>IFERROR(__xludf.DUMMYFUNCTION("""COMPUTED_VALUE"""),-0.39516129032258057)</f>
        <v>-0.3951612903</v>
      </c>
      <c r="T38" s="11">
        <f>IFERROR(__xludf.DUMMYFUNCTION("""COMPUTED_VALUE"""),297805.02952727274)</f>
        <v>297805.0295</v>
      </c>
      <c r="U38" s="36">
        <f>IFERROR(__xludf.DUMMYFUNCTION("""COMPUTED_VALUE"""),1821.225162639886)</f>
        <v>1821.225163</v>
      </c>
      <c r="V38" s="36">
        <f>IFERROR(__xludf.DUMMYFUNCTION("""COMPUTED_VALUE"""),-144822.1158655223)</f>
        <v>-144822.1159</v>
      </c>
      <c r="W38" s="10">
        <f>IFERROR(__xludf.DUMMYFUNCTION("""COMPUTED_VALUE"""),-0.48629842180774724)</f>
        <v>-0.4862984218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1" t="str">
        <f>IFERROR(__xludf.DUMMYFUNCTION("""COMPUTED_VALUE"""),"#REF!")</f>
        <v>#REF!</v>
      </c>
      <c r="D39" s="9"/>
      <c r="E39" s="9"/>
      <c r="F39" s="9"/>
      <c r="G39" s="10" t="str">
        <f>IFERROR(__xludf.DUMMYFUNCTION("""COMPUTED_VALUE"""),"#REF!")</f>
        <v>#REF!</v>
      </c>
      <c r="H39" s="9"/>
      <c r="I39" s="9"/>
      <c r="J39" s="11" t="str">
        <f>IFERROR(__xludf.DUMMYFUNCTION("""COMPUTED_VALUE"""),"#REF!")</f>
        <v>#REF!</v>
      </c>
      <c r="K39" s="9"/>
      <c r="L39" s="9"/>
      <c r="M39" s="9"/>
      <c r="N39" s="10" t="str">
        <f>IFERROR(__xludf.DUMMYFUNCTION("""COMPUTED_VALUE"""),"#REF!")</f>
        <v>#REF!</v>
      </c>
      <c r="O39" s="9"/>
      <c r="P39" s="9"/>
      <c r="Q39" s="11" t="str">
        <f>IFERROR(__xludf.DUMMYFUNCTION("""COMPUTED_VALUE"""),"#REF!")</f>
        <v>#REF!</v>
      </c>
      <c r="R39" s="9"/>
      <c r="S39" s="9"/>
      <c r="T39" s="9"/>
      <c r="U39" s="36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6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6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6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6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6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6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6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6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6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6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1">
        <f>IFERROR(__xludf.DUMMYFUNCTION("""COMPUTED_VALUE"""),32.903225806451594)</f>
        <v>32.90322581</v>
      </c>
      <c r="C53" s="11">
        <f>IFERROR(__xludf.DUMMYFUNCTION("""COMPUTED_VALUE"""),29.0)</f>
        <v>29</v>
      </c>
      <c r="D53" s="11">
        <f>IFERROR(__xludf.DUMMYFUNCTION("""COMPUTED_VALUE"""),-3.9032258064515943)</f>
        <v>-3.903225806</v>
      </c>
      <c r="E53" s="10">
        <f>IFERROR(__xludf.DUMMYFUNCTION("""COMPUTED_VALUE"""),-0.11862745098039167)</f>
        <v>-0.118627451</v>
      </c>
      <c r="F53" s="10">
        <f>IFERROR(__xludf.DUMMYFUNCTION("""COMPUTED_VALUE"""),0.6460674157303372)</f>
        <v>0.6460674157</v>
      </c>
      <c r="G53" s="10">
        <f>IFERROR(__xludf.DUMMYFUNCTION("""COMPUTED_VALUE"""),0.6206896551724138)</f>
        <v>0.6206896552</v>
      </c>
      <c r="H53" s="35">
        <f>IFERROR(__xludf.DUMMYFUNCTION("""COMPUTED_VALUE"""),-2.53777605579234)</f>
        <v>-2.537776056</v>
      </c>
      <c r="I53" s="11">
        <f>IFERROR(__xludf.DUMMYFUNCTION("""COMPUTED_VALUE"""),21.257702065965923)</f>
        <v>21.25770207</v>
      </c>
      <c r="J53" s="11">
        <f>IFERROR(__xludf.DUMMYFUNCTION("""COMPUTED_VALUE"""),18.0)</f>
        <v>18</v>
      </c>
      <c r="K53" s="11">
        <f>IFERROR(__xludf.DUMMYFUNCTION("""COMPUTED_VALUE"""),-3.2577020659659226)</f>
        <v>-3.257702066</v>
      </c>
      <c r="L53" s="10">
        <f>IFERROR(__xludf.DUMMYFUNCTION("""COMPUTED_VALUE"""),-0.15324808184143193)</f>
        <v>-0.1532480818</v>
      </c>
      <c r="M53" s="10">
        <f>IFERROR(__xludf.DUMMYFUNCTION("""COMPUTED_VALUE"""),0.2768117647058824)</f>
        <v>0.2768117647</v>
      </c>
      <c r="N53" s="10">
        <f>IFERROR(__xludf.DUMMYFUNCTION("""COMPUTED_VALUE"""),0.2777777777777778)</f>
        <v>0.2777777778</v>
      </c>
      <c r="O53" s="35">
        <f>IFERROR(__xludf.DUMMYFUNCTION("""COMPUTED_VALUE"""),0.09660130718953663)</f>
        <v>0.09660130719</v>
      </c>
      <c r="P53" s="11">
        <f>IFERROR(__xludf.DUMMYFUNCTION("""COMPUTED_VALUE"""),5.88438202247191)</f>
        <v>5.884382022</v>
      </c>
      <c r="Q53" s="11">
        <f>IFERROR(__xludf.DUMMYFUNCTION("""COMPUTED_VALUE"""),5.0)</f>
        <v>5</v>
      </c>
      <c r="R53" s="11">
        <f>IFERROR(__xludf.DUMMYFUNCTION("""COMPUTED_VALUE"""),-0.8843820224719101)</f>
        <v>-0.8843820225</v>
      </c>
      <c r="S53" s="10">
        <f>IFERROR(__xludf.DUMMYFUNCTION("""COMPUTED_VALUE"""),-0.15029310114376276)</f>
        <v>-0.1502931011</v>
      </c>
      <c r="T53" s="11">
        <f>IFERROR(__xludf.DUMMYFUNCTION("""COMPUTED_VALUE"""),33035.32035361157)</f>
        <v>33035.32035</v>
      </c>
      <c r="U53" s="36">
        <f>IFERROR(__xludf.DUMMYFUNCTION("""COMPUTED_VALUE"""),1554.0400486890767)</f>
        <v>1554.040049</v>
      </c>
      <c r="V53" s="36">
        <f>IFERROR(__xludf.DUMMYFUNCTION("""COMPUTED_VALUE"""),-5062.599477208188)</f>
        <v>-5062.599477</v>
      </c>
      <c r="W53" s="10">
        <f>IFERROR(__xludf.DUMMYFUNCTION("""COMPUTED_VALUE"""),-0.15324808184143193)</f>
        <v>-0.1532480818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1">
        <f>IFERROR(__xludf.DUMMYFUNCTION("""COMPUTED_VALUE"""),13.0)</f>
        <v>13</v>
      </c>
      <c r="D54" s="9"/>
      <c r="E54" s="9"/>
      <c r="F54" s="9"/>
      <c r="G54" s="10">
        <f>IFERROR(__xludf.DUMMYFUNCTION("""COMPUTED_VALUE"""),0.5384615384615384)</f>
        <v>0.5384615385</v>
      </c>
      <c r="H54" s="9"/>
      <c r="I54" s="9"/>
      <c r="J54" s="11">
        <f>IFERROR(__xludf.DUMMYFUNCTION("""COMPUTED_VALUE"""),7.0)</f>
        <v>7</v>
      </c>
      <c r="K54" s="9"/>
      <c r="L54" s="9"/>
      <c r="M54" s="9"/>
      <c r="N54" s="10">
        <f>IFERROR(__xludf.DUMMYFUNCTION("""COMPUTED_VALUE"""),0.42857142857142855)</f>
        <v>0.4285714286</v>
      </c>
      <c r="O54" s="9"/>
      <c r="P54" s="9"/>
      <c r="Q54" s="11">
        <f>IFERROR(__xludf.DUMMYFUNCTION("""COMPUTED_VALUE"""),3.0)</f>
        <v>3</v>
      </c>
      <c r="R54" s="9"/>
      <c r="S54" s="9"/>
      <c r="T54" s="9"/>
      <c r="U54" s="36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1">
        <f>IFERROR(__xludf.DUMMYFUNCTION("""COMPUTED_VALUE"""),8.0)</f>
        <v>8</v>
      </c>
      <c r="D55" s="9"/>
      <c r="E55" s="9"/>
      <c r="F55" s="9"/>
      <c r="G55" s="10">
        <f>IFERROR(__xludf.DUMMYFUNCTION("""COMPUTED_VALUE"""),0.5)</f>
        <v>0.5</v>
      </c>
      <c r="H55" s="9"/>
      <c r="I55" s="9"/>
      <c r="J55" s="11">
        <f>IFERROR(__xludf.DUMMYFUNCTION("""COMPUTED_VALUE"""),4.0)</f>
        <v>4</v>
      </c>
      <c r="K55" s="9"/>
      <c r="L55" s="9"/>
      <c r="M55" s="9"/>
      <c r="N55" s="10">
        <f>IFERROR(__xludf.DUMMYFUNCTION("""COMPUTED_VALUE"""),0.5)</f>
        <v>0.5</v>
      </c>
      <c r="O55" s="9"/>
      <c r="P55" s="9"/>
      <c r="Q55" s="11">
        <f>IFERROR(__xludf.DUMMYFUNCTION("""COMPUTED_VALUE"""),2.0)</f>
        <v>2</v>
      </c>
      <c r="R55" s="9"/>
      <c r="S55" s="9"/>
      <c r="T55" s="9"/>
      <c r="U55" s="36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1">
        <f>IFERROR(__xludf.DUMMYFUNCTION("""COMPUTED_VALUE"""),8.0)</f>
        <v>8</v>
      </c>
      <c r="D56" s="9"/>
      <c r="E56" s="9"/>
      <c r="F56" s="9"/>
      <c r="G56" s="10">
        <f>IFERROR(__xludf.DUMMYFUNCTION("""COMPUTED_VALUE"""),0.75)</f>
        <v>0.75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IFERROR(__xludf.DUMMYFUNCTION("""COMPUTED_VALUE"""),0.3333333333333333)</f>
        <v>0.3333333333</v>
      </c>
      <c r="O56" s="9"/>
      <c r="P56" s="9"/>
      <c r="Q56" s="11">
        <f>IFERROR(__xludf.DUMMYFUNCTION("""COMPUTED_VALUE"""),2.0)</f>
        <v>2</v>
      </c>
      <c r="R56" s="9"/>
      <c r="S56" s="9"/>
      <c r="T56" s="9"/>
      <c r="U56" s="36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1">
        <f>IFERROR(__xludf.DUMMYFUNCTION("""COMPUTED_VALUE"""),10.0)</f>
        <v>10</v>
      </c>
      <c r="D57" s="9"/>
      <c r="E57" s="9"/>
      <c r="F57" s="9"/>
      <c r="G57" s="10">
        <f>IFERROR(__xludf.DUMMYFUNCTION("""COMPUTED_VALUE"""),0.8)</f>
        <v>0.8</v>
      </c>
      <c r="H57" s="9"/>
      <c r="I57" s="9"/>
      <c r="J57" s="11">
        <f>IFERROR(__xludf.DUMMYFUNCTION("""COMPUTED_VALUE"""),8.0)</f>
        <v>8</v>
      </c>
      <c r="K57" s="9"/>
      <c r="L57" s="9"/>
      <c r="M57" s="9"/>
      <c r="N57" s="10">
        <f>IFERROR(__xludf.DUMMYFUNCTION("""COMPUTED_VALUE"""),0.25)</f>
        <v>0.25</v>
      </c>
      <c r="O57" s="9"/>
      <c r="P57" s="9"/>
      <c r="Q57" s="11">
        <f>IFERROR(__xludf.DUMMYFUNCTION("""COMPUTED_VALUE"""),2.0)</f>
        <v>2</v>
      </c>
      <c r="R57" s="9"/>
      <c r="S57" s="9"/>
      <c r="T57" s="9"/>
      <c r="U57" s="36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1">
        <f>IFERROR(__xludf.DUMMYFUNCTION("""COMPUTED_VALUE"""),8.0)</f>
        <v>8</v>
      </c>
      <c r="D58" s="9"/>
      <c r="E58" s="9"/>
      <c r="F58" s="9"/>
      <c r="G58" s="10">
        <f>IFERROR(__xludf.DUMMYFUNCTION("""COMPUTED_VALUE"""),1.0)</f>
        <v>1</v>
      </c>
      <c r="H58" s="9"/>
      <c r="I58" s="9"/>
      <c r="J58" s="11">
        <f>IFERROR(__xludf.DUMMYFUNCTION("""COMPUTED_VALUE"""),8.0)</f>
        <v>8</v>
      </c>
      <c r="K58" s="9"/>
      <c r="L58" s="9"/>
      <c r="M58" s="9"/>
      <c r="N58" s="10">
        <f>IFERROR(__xludf.DUMMYFUNCTION("""COMPUTED_VALUE"""),0.25)</f>
        <v>0.25</v>
      </c>
      <c r="O58" s="9"/>
      <c r="P58" s="9"/>
      <c r="Q58" s="11">
        <f>IFERROR(__xludf.DUMMYFUNCTION("""COMPUTED_VALUE"""),2.0)</f>
        <v>2</v>
      </c>
      <c r="R58" s="9"/>
      <c r="S58" s="9"/>
      <c r="T58" s="9"/>
      <c r="U58" s="36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1">
        <f>IFERROR(__xludf.DUMMYFUNCTION("""COMPUTED_VALUE"""),1.0)</f>
        <v>1</v>
      </c>
      <c r="D59" s="9"/>
      <c r="E59" s="9"/>
      <c r="F59" s="9"/>
      <c r="G59" s="10">
        <f>IFERROR(__xludf.DUMMYFUNCTION("""COMPUTED_VALUE"""),1.0)</f>
        <v>1</v>
      </c>
      <c r="H59" s="9"/>
      <c r="I59" s="9"/>
      <c r="J59" s="11">
        <f>IFERROR(__xludf.DUMMYFUNCTION("""COMPUTED_VALUE"""),1.0)</f>
        <v>1</v>
      </c>
      <c r="K59" s="9"/>
      <c r="L59" s="9"/>
      <c r="M59" s="9"/>
      <c r="N59" s="10">
        <f>IFERROR(__xludf.DUMMYFUNCTION("""COMPUTED_VALUE"""),1.0)</f>
        <v>1</v>
      </c>
      <c r="O59" s="9"/>
      <c r="P59" s="9"/>
      <c r="Q59" s="11">
        <f>IFERROR(__xludf.DUMMYFUNCTION("""COMPUTED_VALUE"""),1.0)</f>
        <v>1</v>
      </c>
      <c r="R59" s="9"/>
      <c r="S59" s="9"/>
      <c r="T59" s="9"/>
      <c r="U59" s="36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1">
        <f>IFERROR(__xludf.DUMMYFUNCTION("""COMPUTED_VALUE"""),5.0)</f>
        <v>5</v>
      </c>
      <c r="D60" s="9"/>
      <c r="E60" s="9"/>
      <c r="F60" s="9"/>
      <c r="G60" s="10">
        <f>IFERROR(__xludf.DUMMYFUNCTION("""COMPUTED_VALUE"""),0.6)</f>
        <v>0.6</v>
      </c>
      <c r="H60" s="9"/>
      <c r="I60" s="9"/>
      <c r="J60" s="11">
        <f>IFERROR(__xludf.DUMMYFUNCTION("""COMPUTED_VALUE"""),3.0)</f>
        <v>3</v>
      </c>
      <c r="K60" s="9"/>
      <c r="L60" s="9"/>
      <c r="M60" s="9"/>
      <c r="N60" s="10">
        <f>IFERROR(__xludf.DUMMYFUNCTION("""COMPUTED_VALUE"""),0.3333333333333333)</f>
        <v>0.3333333333</v>
      </c>
      <c r="O60" s="9"/>
      <c r="P60" s="9"/>
      <c r="Q60" s="11">
        <f>IFERROR(__xludf.DUMMYFUNCTION("""COMPUTED_VALUE"""),1.0)</f>
        <v>1</v>
      </c>
      <c r="R60" s="9"/>
      <c r="S60" s="9"/>
      <c r="T60" s="9"/>
      <c r="U60" s="36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1">
        <f>IFERROR(__xludf.DUMMYFUNCTION("""COMPUTED_VALUE"""),8.0)</f>
        <v>8</v>
      </c>
      <c r="D61" s="9"/>
      <c r="E61" s="9"/>
      <c r="F61" s="9"/>
      <c r="G61" s="10">
        <f>IFERROR(__xludf.DUMMYFUNCTION("""COMPUTED_VALUE"""),0.875)</f>
        <v>0.875</v>
      </c>
      <c r="H61" s="9"/>
      <c r="I61" s="9"/>
      <c r="J61" s="11">
        <f>IFERROR(__xludf.DUMMYFUNCTION("""COMPUTED_VALUE"""),7.0)</f>
        <v>7</v>
      </c>
      <c r="K61" s="9"/>
      <c r="L61" s="9"/>
      <c r="M61" s="9"/>
      <c r="N61" s="10">
        <f>IFERROR(__xludf.DUMMYFUNCTION("""COMPUTED_VALUE"""),0.14285714285714285)</f>
        <v>0.1428571429</v>
      </c>
      <c r="O61" s="9"/>
      <c r="P61" s="9"/>
      <c r="Q61" s="11">
        <f>IFERROR(__xludf.DUMMYFUNCTION("""COMPUTED_VALUE"""),1.0)</f>
        <v>1</v>
      </c>
      <c r="R61" s="9"/>
      <c r="S61" s="9"/>
      <c r="T61" s="9"/>
      <c r="U61" s="36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1">
        <f>IFERROR(__xludf.DUMMYFUNCTION("""COMPUTED_VALUE"""),8.0)</f>
        <v>8</v>
      </c>
      <c r="D62" s="9"/>
      <c r="E62" s="9"/>
      <c r="F62" s="9"/>
      <c r="G62" s="10">
        <f>IFERROR(__xludf.DUMMYFUNCTION("""COMPUTED_VALUE"""),1.0)</f>
        <v>1</v>
      </c>
      <c r="H62" s="9"/>
      <c r="I62" s="9"/>
      <c r="J62" s="11">
        <f>IFERROR(__xludf.DUMMYFUNCTION("""COMPUTED_VALUE"""),8.0)</f>
        <v>8</v>
      </c>
      <c r="K62" s="9"/>
      <c r="L62" s="9"/>
      <c r="M62" s="9"/>
      <c r="N62" s="10">
        <f>IFERROR(__xludf.DUMMYFUNCTION("""COMPUTED_VALUE"""),0.125)</f>
        <v>0.125</v>
      </c>
      <c r="O62" s="9"/>
      <c r="P62" s="9"/>
      <c r="Q62" s="11">
        <f>IFERROR(__xludf.DUMMYFUNCTION("""COMPUTED_VALUE"""),1.0)</f>
        <v>1</v>
      </c>
      <c r="R62" s="9"/>
      <c r="S62" s="9"/>
      <c r="T62" s="9"/>
      <c r="U62" s="36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1">
        <f>IFERROR(__xludf.DUMMYFUNCTION("""COMPUTED_VALUE"""),9.0)</f>
        <v>9</v>
      </c>
      <c r="D63" s="9"/>
      <c r="E63" s="9"/>
      <c r="F63" s="9"/>
      <c r="G63" s="10">
        <f>IFERROR(__xludf.DUMMYFUNCTION("""COMPUTED_VALUE"""),0.6666666666666666)</f>
        <v>0.6666666667</v>
      </c>
      <c r="H63" s="9"/>
      <c r="I63" s="9"/>
      <c r="J63" s="11">
        <f>IFERROR(__xludf.DUMMYFUNCTION("""COMPUTED_VALUE"""),6.0)</f>
        <v>6</v>
      </c>
      <c r="K63" s="9"/>
      <c r="L63" s="9"/>
      <c r="M63" s="9"/>
      <c r="N63" s="10">
        <f>IFERROR(__xludf.DUMMYFUNCTION("""COMPUTED_VALUE"""),0.0)</f>
        <v>0</v>
      </c>
      <c r="O63" s="9"/>
      <c r="P63" s="9"/>
      <c r="Q63" s="11">
        <f>IFERROR(__xludf.DUMMYFUNCTION("""COMPUTED_VALUE"""),0.0)</f>
        <v>0</v>
      </c>
      <c r="R63" s="9"/>
      <c r="S63" s="9"/>
      <c r="T63" s="9"/>
      <c r="U63" s="36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1">
        <f>IFERROR(__xludf.DUMMYFUNCTION("""COMPUTED_VALUE"""),1072.5354838709673)</f>
        <v>1072.535484</v>
      </c>
      <c r="C64" s="11">
        <f>IFERROR(__xludf.DUMMYFUNCTION("""COMPUTED_VALUE"""),916.0)</f>
        <v>916</v>
      </c>
      <c r="D64" s="11">
        <f>IFERROR(__xludf.DUMMYFUNCTION("""COMPUTED_VALUE"""),-156.53548387096725)</f>
        <v>-156.5354839</v>
      </c>
      <c r="E64" s="10">
        <f>IFERROR(__xludf.DUMMYFUNCTION("""COMPUTED_VALUE"""),-0.14594900236400893)</f>
        <v>-0.1459490024</v>
      </c>
      <c r="F64" s="10">
        <f>IFERROR(__xludf.DUMMYFUNCTION("""COMPUTED_VALUE"""),0.708632118125173)</f>
        <v>0.7086321181</v>
      </c>
      <c r="G64" s="10">
        <f>IFERROR(__xludf.DUMMYFUNCTION("""COMPUTED_VALUE"""),0.6921397379912664)</f>
        <v>0.692139738</v>
      </c>
      <c r="H64" s="35">
        <f>IFERROR(__xludf.DUMMYFUNCTION("""COMPUTED_VALUE"""),-1.6492380133906637)</f>
        <v>-1.649238013</v>
      </c>
      <c r="I64" s="11">
        <f>IFERROR(__xludf.DUMMYFUNCTION("""COMPUTED_VALUE"""),760.0330916998909)</f>
        <v>760.0330917</v>
      </c>
      <c r="J64" s="11">
        <f>IFERROR(__xludf.DUMMYFUNCTION("""COMPUTED_VALUE"""),634.0)</f>
        <v>634</v>
      </c>
      <c r="K64" s="11">
        <f>IFERROR(__xludf.DUMMYFUNCTION("""COMPUTED_VALUE"""),-126.03309169989086)</f>
        <v>-126.0330917</v>
      </c>
      <c r="L64" s="10">
        <f>IFERROR(__xludf.DUMMYFUNCTION("""COMPUTED_VALUE"""),-0.16582579505585093)</f>
        <v>-0.1658257951</v>
      </c>
      <c r="M64" s="10">
        <f>IFERROR(__xludf.DUMMYFUNCTION("""COMPUTED_VALUE"""),0.3616454985315925)</f>
        <v>0.3616454985</v>
      </c>
      <c r="N64" s="10" t="str">
        <f>IFERROR(__xludf.DUMMYFUNCTION("""COMPUTED_VALUE"""),"#REF!")</f>
        <v>#REF!</v>
      </c>
      <c r="O64" s="35" t="str">
        <f>IFERROR(__xludf.DUMMYFUNCTION("""COMPUTED_VALUE"""),"#REF!")</f>
        <v>#REF!</v>
      </c>
      <c r="P64" s="11">
        <f>IFERROR(__xludf.DUMMYFUNCTION("""COMPUTED_VALUE"""),274.8625463483146)</f>
        <v>274.8625463</v>
      </c>
      <c r="Q64" s="11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0" t="str">
        <f>IFERROR(__xludf.DUMMYFUNCTION("""COMPUTED_VALUE"""),"#REF!")</f>
        <v>#REF!</v>
      </c>
      <c r="T64" s="11">
        <f>IFERROR(__xludf.DUMMYFUNCTION("""COMPUTED_VALUE"""),1026917.9161246461)</f>
        <v>1026917.916</v>
      </c>
      <c r="U64" s="36">
        <f>IFERROR(__xludf.DUMMYFUNCTION("""COMPUTED_VALUE"""),1351.1489530381373)</f>
        <v>1351.148953</v>
      </c>
      <c r="V64" s="36">
        <f>IFERROR(__xludf.DUMMYFUNCTION("""COMPUTED_VALUE"""),-216133.72915546937)</f>
        <v>-216133.7292</v>
      </c>
      <c r="W64" s="10">
        <f>IFERROR(__xludf.DUMMYFUNCTION("""COMPUTED_VALUE"""),-0.21046835950735843)</f>
        <v>-0.2104683595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1">
        <f>IFERROR(__xludf.DUMMYFUNCTION("""COMPUTED_VALUE"""),261.85483870967727)</f>
        <v>261.8548387</v>
      </c>
      <c r="C65" s="11">
        <f>IFERROR(__xludf.DUMMYFUNCTION("""COMPUTED_VALUE"""),174.0)</f>
        <v>174</v>
      </c>
      <c r="D65" s="11">
        <f>IFERROR(__xludf.DUMMYFUNCTION("""COMPUTED_VALUE"""),-87.85483870967727)</f>
        <v>-87.85483871</v>
      </c>
      <c r="E65" s="10">
        <f>IFERROR(__xludf.DUMMYFUNCTION("""COMPUTED_VALUE"""),-0.33550970126270363)</f>
        <v>-0.3355097013</v>
      </c>
      <c r="F65" s="10">
        <f>IFERROR(__xludf.DUMMYFUNCTION("""COMPUTED_VALUE"""),0.8)</f>
        <v>0.8</v>
      </c>
      <c r="G65" s="10">
        <f>IFERROR(__xludf.DUMMYFUNCTION("""COMPUTED_VALUE"""),0.6436781609195402)</f>
        <v>0.6436781609</v>
      </c>
      <c r="H65" s="35">
        <f>IFERROR(__xludf.DUMMYFUNCTION("""COMPUTED_VALUE"""),-15.632183908045983)</f>
        <v>-15.63218391</v>
      </c>
      <c r="I65" s="11">
        <f>IFERROR(__xludf.DUMMYFUNCTION("""COMPUTED_VALUE"""),209.48387096774184)</f>
        <v>209.483871</v>
      </c>
      <c r="J65" s="11">
        <f>IFERROR(__xludf.DUMMYFUNCTION("""COMPUTED_VALUE"""),112.0)</f>
        <v>112</v>
      </c>
      <c r="K65" s="11">
        <f>IFERROR(__xludf.DUMMYFUNCTION("""COMPUTED_VALUE"""),-97.48387096774184)</f>
        <v>-97.48387097</v>
      </c>
      <c r="L65" s="10">
        <f>IFERROR(__xludf.DUMMYFUNCTION("""COMPUTED_VALUE"""),-0.4653526331998766)</f>
        <v>-0.4653526332</v>
      </c>
      <c r="M65" s="10">
        <f>IFERROR(__xludf.DUMMYFUNCTION("""COMPUTED_VALUE"""),0.3410000000000001)</f>
        <v>0.341</v>
      </c>
      <c r="N65" s="10">
        <f>IFERROR(__xludf.DUMMYFUNCTION("""COMPUTED_VALUE"""),0.3482142857142857)</f>
        <v>0.3482142857</v>
      </c>
      <c r="O65" s="35">
        <f>IFERROR(__xludf.DUMMYFUNCTION("""COMPUTED_VALUE"""),0.7214285714285618)</f>
        <v>0.7214285714</v>
      </c>
      <c r="P65" s="11">
        <f>IFERROR(__xludf.DUMMYFUNCTION("""COMPUTED_VALUE"""),71.43399999999998)</f>
        <v>71.434</v>
      </c>
      <c r="Q65" s="11">
        <f>IFERROR(__xludf.DUMMYFUNCTION("""COMPUTED_VALUE"""),39.0)</f>
        <v>39</v>
      </c>
      <c r="R65" s="11">
        <f>IFERROR(__xludf.DUMMYFUNCTION("""COMPUTED_VALUE"""),-32.43399999999998)</f>
        <v>-32.434</v>
      </c>
      <c r="S65" s="10">
        <f>IFERROR(__xludf.DUMMYFUNCTION("""COMPUTED_VALUE"""),-0.45404149284654355)</f>
        <v>-0.4540414928</v>
      </c>
      <c r="T65" s="11">
        <f>IFERROR(__xludf.DUMMYFUNCTION("""COMPUTED_VALUE"""),255761.77407999997)</f>
        <v>255761.7741</v>
      </c>
      <c r="U65" s="36">
        <f>IFERROR(__xludf.DUMMYFUNCTION("""COMPUTED_VALUE"""),1220.9139200000004)</f>
        <v>1220.91392</v>
      </c>
      <c r="V65" s="36">
        <f>IFERROR(__xludf.DUMMYFUNCTION("""COMPUTED_VALUE"""),-119019.41503999992)</f>
        <v>-119019.415</v>
      </c>
      <c r="W65" s="10">
        <f>IFERROR(__xludf.DUMMYFUNCTION("""COMPUTED_VALUE"""),-0.4653526331998765)</f>
        <v>-0.4653526332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1">
        <f>IFERROR(__xludf.DUMMYFUNCTION("""COMPUTED_VALUE"""),43.0)</f>
        <v>43</v>
      </c>
      <c r="D66" s="9"/>
      <c r="E66" s="9"/>
      <c r="F66" s="9"/>
      <c r="G66" s="10">
        <f>IFERROR(__xludf.DUMMYFUNCTION("""COMPUTED_VALUE"""),0.8372093023255814)</f>
        <v>0.8372093023</v>
      </c>
      <c r="H66" s="9"/>
      <c r="I66" s="9"/>
      <c r="J66" s="11">
        <f>IFERROR(__xludf.DUMMYFUNCTION("""COMPUTED_VALUE"""),36.0)</f>
        <v>36</v>
      </c>
      <c r="K66" s="9"/>
      <c r="L66" s="9"/>
      <c r="M66" s="9"/>
      <c r="N66" s="10">
        <f>IFERROR(__xludf.DUMMYFUNCTION("""COMPUTED_VALUE"""),0.5277777777777778)</f>
        <v>0.5277777778</v>
      </c>
      <c r="O66" s="9"/>
      <c r="P66" s="9"/>
      <c r="Q66" s="11">
        <f>IFERROR(__xludf.DUMMYFUNCTION("""COMPUTED_VALUE"""),19.0)</f>
        <v>19</v>
      </c>
      <c r="R66" s="9"/>
      <c r="S66" s="9"/>
      <c r="T66" s="9"/>
      <c r="U66" s="36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1">
        <f>IFERROR(__xludf.DUMMYFUNCTION("""COMPUTED_VALUE"""),47.0)</f>
        <v>47</v>
      </c>
      <c r="D67" s="9"/>
      <c r="E67" s="9"/>
      <c r="F67" s="9"/>
      <c r="G67" s="10">
        <f>IFERROR(__xludf.DUMMYFUNCTION("""COMPUTED_VALUE"""),0.7446808510638298)</f>
        <v>0.7446808511</v>
      </c>
      <c r="H67" s="9"/>
      <c r="I67" s="9"/>
      <c r="J67" s="11">
        <f>IFERROR(__xludf.DUMMYFUNCTION("""COMPUTED_VALUE"""),35.0)</f>
        <v>35</v>
      </c>
      <c r="K67" s="9"/>
      <c r="L67" s="9"/>
      <c r="M67" s="9"/>
      <c r="N67" s="10">
        <f>IFERROR(__xludf.DUMMYFUNCTION("""COMPUTED_VALUE"""),0.45714285714285713)</f>
        <v>0.4571428571</v>
      </c>
      <c r="O67" s="9"/>
      <c r="P67" s="9"/>
      <c r="Q67" s="11">
        <f>IFERROR(__xludf.DUMMYFUNCTION("""COMPUTED_VALUE"""),16.0)</f>
        <v>16</v>
      </c>
      <c r="R67" s="9"/>
      <c r="S67" s="9"/>
      <c r="T67" s="9"/>
      <c r="U67" s="36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1">
        <f>IFERROR(__xludf.DUMMYFUNCTION("""COMPUTED_VALUE"""),51.0)</f>
        <v>51</v>
      </c>
      <c r="D68" s="9"/>
      <c r="E68" s="9"/>
      <c r="F68" s="9"/>
      <c r="G68" s="10">
        <f>IFERROR(__xludf.DUMMYFUNCTION("""COMPUTED_VALUE"""),0.6666666666666666)</f>
        <v>0.6666666667</v>
      </c>
      <c r="H68" s="9"/>
      <c r="I68" s="9"/>
      <c r="J68" s="11">
        <f>IFERROR(__xludf.DUMMYFUNCTION("""COMPUTED_VALUE"""),34.0)</f>
        <v>34</v>
      </c>
      <c r="K68" s="9"/>
      <c r="L68" s="9"/>
      <c r="M68" s="9"/>
      <c r="N68" s="10">
        <f>IFERROR(__xludf.DUMMYFUNCTION("""COMPUTED_VALUE"""),0.4411764705882353)</f>
        <v>0.4411764706</v>
      </c>
      <c r="O68" s="9"/>
      <c r="P68" s="9"/>
      <c r="Q68" s="11">
        <f>IFERROR(__xludf.DUMMYFUNCTION("""COMPUTED_VALUE"""),15.0)</f>
        <v>15</v>
      </c>
      <c r="R68" s="9"/>
      <c r="S68" s="9"/>
      <c r="T68" s="9"/>
      <c r="U68" s="36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1">
        <f>IFERROR(__xludf.DUMMYFUNCTION("""COMPUTED_VALUE"""),44.0)</f>
        <v>44</v>
      </c>
      <c r="D69" s="9"/>
      <c r="E69" s="9"/>
      <c r="F69" s="9"/>
      <c r="G69" s="10">
        <f>IFERROR(__xludf.DUMMYFUNCTION("""COMPUTED_VALUE"""),0.6363636363636364)</f>
        <v>0.6363636364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IFERROR(__xludf.DUMMYFUNCTION("""COMPUTED_VALUE"""),0.5)</f>
        <v>0.5</v>
      </c>
      <c r="O69" s="9"/>
      <c r="P69" s="9"/>
      <c r="Q69" s="11">
        <f>IFERROR(__xludf.DUMMYFUNCTION("""COMPUTED_VALUE"""),14.0)</f>
        <v>14</v>
      </c>
      <c r="R69" s="9"/>
      <c r="S69" s="9"/>
      <c r="T69" s="9"/>
      <c r="U69" s="36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1">
        <f>IFERROR(__xludf.DUMMYFUNCTION("""COMPUTED_VALUE"""),51.0)</f>
        <v>51</v>
      </c>
      <c r="D70" s="9"/>
      <c r="E70" s="9"/>
      <c r="F70" s="9"/>
      <c r="G70" s="10">
        <f>IFERROR(__xludf.DUMMYFUNCTION("""COMPUTED_VALUE"""),0.803921568627451)</f>
        <v>0.8039215686</v>
      </c>
      <c r="H70" s="9"/>
      <c r="I70" s="9"/>
      <c r="J70" s="11">
        <f>IFERROR(__xludf.DUMMYFUNCTION("""COMPUTED_VALUE"""),41.0)</f>
        <v>41</v>
      </c>
      <c r="K70" s="9"/>
      <c r="L70" s="9"/>
      <c r="M70" s="9"/>
      <c r="N70" s="10">
        <f>IFERROR(__xludf.DUMMYFUNCTION("""COMPUTED_VALUE"""),0.34146341463414637)</f>
        <v>0.3414634146</v>
      </c>
      <c r="O70" s="9"/>
      <c r="P70" s="9"/>
      <c r="Q70" s="11">
        <f>IFERROR(__xludf.DUMMYFUNCTION("""COMPUTED_VALUE"""),14.0)</f>
        <v>14</v>
      </c>
      <c r="R70" s="9"/>
      <c r="S70" s="9"/>
      <c r="T70" s="9"/>
      <c r="U70" s="36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1">
        <f>IFERROR(__xludf.DUMMYFUNCTION("""COMPUTED_VALUE"""),46.0)</f>
        <v>46</v>
      </c>
      <c r="D71" s="9"/>
      <c r="E71" s="9"/>
      <c r="F71" s="9"/>
      <c r="G71" s="10">
        <f>IFERROR(__xludf.DUMMYFUNCTION("""COMPUTED_VALUE"""),0.6304347826086957)</f>
        <v>0.6304347826</v>
      </c>
      <c r="H71" s="9"/>
      <c r="I71" s="9"/>
      <c r="J71" s="11">
        <f>IFERROR(__xludf.DUMMYFUNCTION("""COMPUTED_VALUE"""),29.0)</f>
        <v>29</v>
      </c>
      <c r="K71" s="9"/>
      <c r="L71" s="9"/>
      <c r="M71" s="9"/>
      <c r="N71" s="10">
        <f>IFERROR(__xludf.DUMMYFUNCTION("""COMPUTED_VALUE"""),0.4482758620689655)</f>
        <v>0.4482758621</v>
      </c>
      <c r="O71" s="9"/>
      <c r="P71" s="9"/>
      <c r="Q71" s="11">
        <f>IFERROR(__xludf.DUMMYFUNCTION("""COMPUTED_VALUE"""),13.0)</f>
        <v>13</v>
      </c>
      <c r="R71" s="9"/>
      <c r="S71" s="9"/>
      <c r="T71" s="9"/>
      <c r="U71" s="36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1">
        <f>IFERROR(__xludf.DUMMYFUNCTION("""COMPUTED_VALUE"""),35.0)</f>
        <v>35</v>
      </c>
      <c r="D72" s="9"/>
      <c r="E72" s="9"/>
      <c r="F72" s="9"/>
      <c r="G72" s="10">
        <f>IFERROR(__xludf.DUMMYFUNCTION("""COMPUTED_VALUE"""),0.7714285714285715)</f>
        <v>0.7714285714</v>
      </c>
      <c r="H72" s="9"/>
      <c r="I72" s="9"/>
      <c r="J72" s="11">
        <f>IFERROR(__xludf.DUMMYFUNCTION("""COMPUTED_VALUE"""),27.0)</f>
        <v>27</v>
      </c>
      <c r="K72" s="9"/>
      <c r="L72" s="9"/>
      <c r="M72" s="9"/>
      <c r="N72" s="10">
        <f>IFERROR(__xludf.DUMMYFUNCTION("""COMPUTED_VALUE"""),0.4444444444444444)</f>
        <v>0.4444444444</v>
      </c>
      <c r="O72" s="9"/>
      <c r="P72" s="9"/>
      <c r="Q72" s="11">
        <f>IFERROR(__xludf.DUMMYFUNCTION("""COMPUTED_VALUE"""),12.0)</f>
        <v>12</v>
      </c>
      <c r="R72" s="9"/>
      <c r="S72" s="9"/>
      <c r="T72" s="9"/>
      <c r="U72" s="36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1">
        <f>IFERROR(__xludf.DUMMYFUNCTION("""COMPUTED_VALUE"""),45.0)</f>
        <v>45</v>
      </c>
      <c r="D73" s="9"/>
      <c r="E73" s="9"/>
      <c r="F73" s="9"/>
      <c r="G73" s="10">
        <f>IFERROR(__xludf.DUMMYFUNCTION("""COMPUTED_VALUE"""),0.6222222222222222)</f>
        <v>0.6222222222</v>
      </c>
      <c r="H73" s="9"/>
      <c r="I73" s="9"/>
      <c r="J73" s="11">
        <f>IFERROR(__xludf.DUMMYFUNCTION("""COMPUTED_VALUE"""),28.0)</f>
        <v>28</v>
      </c>
      <c r="K73" s="9"/>
      <c r="L73" s="9"/>
      <c r="M73" s="9"/>
      <c r="N73" s="10">
        <f>IFERROR(__xludf.DUMMYFUNCTION("""COMPUTED_VALUE"""),0.42857142857142855)</f>
        <v>0.4285714286</v>
      </c>
      <c r="O73" s="9"/>
      <c r="P73" s="9"/>
      <c r="Q73" s="11">
        <f>IFERROR(__xludf.DUMMYFUNCTION("""COMPUTED_VALUE"""),12.0)</f>
        <v>12</v>
      </c>
      <c r="R73" s="9"/>
      <c r="S73" s="9"/>
      <c r="T73" s="9"/>
      <c r="U73" s="36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1">
        <f>IFERROR(__xludf.DUMMYFUNCTION("""COMPUTED_VALUE"""),42.0)</f>
        <v>42</v>
      </c>
      <c r="D74" s="9"/>
      <c r="E74" s="9"/>
      <c r="F74" s="9"/>
      <c r="G74" s="10">
        <f>IFERROR(__xludf.DUMMYFUNCTION("""COMPUTED_VALUE"""),0.7619047619047619)</f>
        <v>0.7619047619</v>
      </c>
      <c r="H74" s="9"/>
      <c r="I74" s="9"/>
      <c r="J74" s="11">
        <f>IFERROR(__xludf.DUMMYFUNCTION("""COMPUTED_VALUE"""),32.0)</f>
        <v>32</v>
      </c>
      <c r="K74" s="9"/>
      <c r="L74" s="9"/>
      <c r="M74" s="9"/>
      <c r="N74" s="10">
        <f>IFERROR(__xludf.DUMMYFUNCTION("""COMPUTED_VALUE"""),0.375)</f>
        <v>0.375</v>
      </c>
      <c r="O74" s="9"/>
      <c r="P74" s="9"/>
      <c r="Q74" s="11">
        <f>IFERROR(__xludf.DUMMYFUNCTION("""COMPUTED_VALUE"""),12.0)</f>
        <v>12</v>
      </c>
      <c r="R74" s="9"/>
      <c r="S74" s="9"/>
      <c r="T74" s="9"/>
      <c r="U74" s="36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1">
        <f>IFERROR(__xludf.DUMMYFUNCTION("""COMPUTED_VALUE"""),6.0)</f>
        <v>6</v>
      </c>
      <c r="D75" s="9"/>
      <c r="E75" s="9"/>
      <c r="F75" s="9"/>
      <c r="G75" s="10">
        <f>IFERROR(__xludf.DUMMYFUNCTION("""COMPUTED_VALUE"""),0.8333333333333334)</f>
        <v>0.8333333333</v>
      </c>
      <c r="H75" s="9"/>
      <c r="I75" s="9"/>
      <c r="J75" s="11">
        <f>IFERROR(__xludf.DUMMYFUNCTION("""COMPUTED_VALUE"""),5.0)</f>
        <v>5</v>
      </c>
      <c r="K75" s="9"/>
      <c r="L75" s="9"/>
      <c r="M75" s="9"/>
      <c r="N75" s="10">
        <f>IFERROR(__xludf.DUMMYFUNCTION("""COMPUTED_VALUE"""),1.2)</f>
        <v>1.2</v>
      </c>
      <c r="O75" s="9"/>
      <c r="P75" s="9"/>
      <c r="Q75" s="11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1">
        <f>IFERROR(__xludf.DUMMYFUNCTION("""COMPUTED_VALUE"""),1.0)</f>
        <v>1</v>
      </c>
      <c r="D76" s="9"/>
      <c r="E76" s="9"/>
      <c r="F76" s="9"/>
      <c r="G76" s="10">
        <f>IFERROR(__xludf.DUMMYFUNCTION("""COMPUTED_VALUE"""),1.0)</f>
        <v>1</v>
      </c>
      <c r="H76" s="9"/>
      <c r="I76" s="9"/>
      <c r="J76" s="11">
        <f>IFERROR(__xludf.DUMMYFUNCTION("""COMPUTED_VALUE"""),1.0)</f>
        <v>1</v>
      </c>
      <c r="K76" s="9"/>
      <c r="L76" s="9"/>
      <c r="M76" s="9"/>
      <c r="N76" s="10">
        <f>IFERROR(__xludf.DUMMYFUNCTION("""COMPUTED_VALUE"""),1.0)</f>
        <v>1</v>
      </c>
      <c r="O76" s="9"/>
      <c r="P76" s="9"/>
      <c r="Q76" s="11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1">
        <f>IFERROR(__xludf.DUMMYFUNCTION("""COMPUTED_VALUE"""),1.0)</f>
        <v>1</v>
      </c>
      <c r="D77" s="9"/>
      <c r="E77" s="9"/>
      <c r="F77" s="9"/>
      <c r="G77" s="10">
        <f>IFERROR(__xludf.DUMMYFUNCTION("""COMPUTED_VALUE"""),1.0)</f>
        <v>1</v>
      </c>
      <c r="H77" s="9"/>
      <c r="I77" s="9"/>
      <c r="J77" s="11">
        <f>IFERROR(__xludf.DUMMYFUNCTION("""COMPUTED_VALUE"""),1.0)</f>
        <v>1</v>
      </c>
      <c r="K77" s="9"/>
      <c r="L77" s="9"/>
      <c r="M77" s="9"/>
      <c r="N77" s="10">
        <f>IFERROR(__xludf.DUMMYFUNCTION("""COMPUTED_VALUE"""),1.0)</f>
        <v>1</v>
      </c>
      <c r="O77" s="9"/>
      <c r="P77" s="9"/>
      <c r="Q77" s="11">
        <f>IFERROR(__xludf.DUMMYFUNCTION("""COMPUTED_VALUE"""),1.0)</f>
        <v>1</v>
      </c>
      <c r="R77" s="9"/>
      <c r="S77" s="9"/>
      <c r="T77" s="9"/>
      <c r="U77" s="36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1">
        <f>IFERROR(__xludf.DUMMYFUNCTION("""COMPUTED_VALUE"""),191.93548387096766)</f>
        <v>191.9354839</v>
      </c>
      <c r="C78" s="11">
        <f>IFERROR(__xludf.DUMMYFUNCTION("""COMPUTED_VALUE"""),274.0)</f>
        <v>274</v>
      </c>
      <c r="D78" s="11">
        <f>IFERROR(__xludf.DUMMYFUNCTION("""COMPUTED_VALUE"""),82.06451612903234)</f>
        <v>82.06451613</v>
      </c>
      <c r="E78" s="10">
        <f>IFERROR(__xludf.DUMMYFUNCTION("""COMPUTED_VALUE"""),0.42756302521008466)</f>
        <v>0.4275630252</v>
      </c>
      <c r="F78" s="10">
        <f>IFERROR(__xludf.DUMMYFUNCTION("""COMPUTED_VALUE"""),0.73)</f>
        <v>0.73</v>
      </c>
      <c r="G78" s="10">
        <f>IFERROR(__xludf.DUMMYFUNCTION("""COMPUTED_VALUE"""),0.7445255474452555)</f>
        <v>0.7445255474</v>
      </c>
      <c r="H78" s="35">
        <f>IFERROR(__xludf.DUMMYFUNCTION("""COMPUTED_VALUE"""),1.4525547445255471)</f>
        <v>1.452554745</v>
      </c>
      <c r="I78" s="11">
        <f>IFERROR(__xludf.DUMMYFUNCTION("""COMPUTED_VALUE"""),140.11290322580638)</f>
        <v>140.1129032</v>
      </c>
      <c r="J78" s="11">
        <f>IFERROR(__xludf.DUMMYFUNCTION("""COMPUTED_VALUE"""),204.0)</f>
        <v>204</v>
      </c>
      <c r="K78" s="11">
        <f>IFERROR(__xludf.DUMMYFUNCTION("""COMPUTED_VALUE"""),63.88709677419362)</f>
        <v>63.88709677</v>
      </c>
      <c r="L78" s="10">
        <f>IFERROR(__xludf.DUMMYFUNCTION("""COMPUTED_VALUE"""),0.4559686888454019)</f>
        <v>0.4559686888</v>
      </c>
      <c r="M78" s="10">
        <f>IFERROR(__xludf.DUMMYFUNCTION("""COMPUTED_VALUE"""),0.2650630252100842)</f>
        <v>0.2650630252</v>
      </c>
      <c r="N78" s="10">
        <f>IFERROR(__xludf.DUMMYFUNCTION("""COMPUTED_VALUE"""),0.29411764705882354)</f>
        <v>0.2941176471</v>
      </c>
      <c r="O78" s="35">
        <f>IFERROR(__xludf.DUMMYFUNCTION("""COMPUTED_VALUE"""),2.9054621848739357)</f>
        <v>2.905462185</v>
      </c>
      <c r="P78" s="11">
        <f>IFERROR(__xludf.DUMMYFUNCTION("""COMPUTED_VALUE"""),37.13875)</f>
        <v>37.13875</v>
      </c>
      <c r="Q78" s="11">
        <f>IFERROR(__xludf.DUMMYFUNCTION("""COMPUTED_VALUE"""),60.0)</f>
        <v>60</v>
      </c>
      <c r="R78" s="11">
        <f>IFERROR(__xludf.DUMMYFUNCTION("""COMPUTED_VALUE"""),22.86125)</f>
        <v>22.86125</v>
      </c>
      <c r="S78" s="10">
        <f>IFERROR(__xludf.DUMMYFUNCTION("""COMPUTED_VALUE"""),0.6155632593988758)</f>
        <v>0.6155632594</v>
      </c>
      <c r="T78" s="11">
        <f>IFERROR(__xludf.DUMMYFUNCTION("""COMPUTED_VALUE"""),101708.06232153845)</f>
        <v>101708.0623</v>
      </c>
      <c r="U78" s="36">
        <f>IFERROR(__xludf.DUMMYFUNCTION("""COMPUTED_VALUE"""),725.900755604396)</f>
        <v>725.9007556</v>
      </c>
      <c r="V78" s="36">
        <f>IFERROR(__xludf.DUMMYFUNCTION("""COMPUTED_VALUE"""),46375.691821758315)</f>
        <v>46375.69182</v>
      </c>
      <c r="W78" s="10">
        <f>IFERROR(__xludf.DUMMYFUNCTION("""COMPUTED_VALUE"""),0.4559686888454019)</f>
        <v>0.4559686888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1">
        <f>IFERROR(__xludf.DUMMYFUNCTION("""COMPUTED_VALUE"""),29.0)</f>
        <v>29</v>
      </c>
      <c r="D79" s="9"/>
      <c r="E79" s="9"/>
      <c r="F79" s="9"/>
      <c r="G79" s="10">
        <f>IFERROR(__xludf.DUMMYFUNCTION("""COMPUTED_VALUE"""),0.7241379310344828)</f>
        <v>0.724137931</v>
      </c>
      <c r="H79" s="9"/>
      <c r="I79" s="9"/>
      <c r="J79" s="11">
        <f>IFERROR(__xludf.DUMMYFUNCTION("""COMPUTED_VALUE"""),21.0)</f>
        <v>21</v>
      </c>
      <c r="K79" s="9"/>
      <c r="L79" s="9"/>
      <c r="M79" s="9"/>
      <c r="N79" s="10">
        <f>IFERROR(__xludf.DUMMYFUNCTION("""COMPUTED_VALUE"""),0.47619047619047616)</f>
        <v>0.4761904762</v>
      </c>
      <c r="O79" s="9"/>
      <c r="P79" s="9"/>
      <c r="Q79" s="11">
        <f>IFERROR(__xludf.DUMMYFUNCTION("""COMPUTED_VALUE"""),10.0)</f>
        <v>10</v>
      </c>
      <c r="R79" s="9"/>
      <c r="S79" s="9"/>
      <c r="T79" s="9"/>
      <c r="U79" s="36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1">
        <f>IFERROR(__xludf.DUMMYFUNCTION("""COMPUTED_VALUE"""),31.0)</f>
        <v>31</v>
      </c>
      <c r="D80" s="9"/>
      <c r="E80" s="9"/>
      <c r="F80" s="9"/>
      <c r="G80" s="10">
        <f>IFERROR(__xludf.DUMMYFUNCTION("""COMPUTED_VALUE"""),0.7096774193548387)</f>
        <v>0.7096774194</v>
      </c>
      <c r="H80" s="9"/>
      <c r="I80" s="9"/>
      <c r="J80" s="11">
        <f>IFERROR(__xludf.DUMMYFUNCTION("""COMPUTED_VALUE"""),22.0)</f>
        <v>22</v>
      </c>
      <c r="K80" s="9"/>
      <c r="L80" s="9"/>
      <c r="M80" s="9"/>
      <c r="N80" s="10">
        <f>IFERROR(__xludf.DUMMYFUNCTION("""COMPUTED_VALUE"""),0.45454545454545453)</f>
        <v>0.4545454545</v>
      </c>
      <c r="O80" s="9"/>
      <c r="P80" s="9"/>
      <c r="Q80" s="11">
        <f>IFERROR(__xludf.DUMMYFUNCTION("""COMPUTED_VALUE"""),10.0)</f>
        <v>10</v>
      </c>
      <c r="R80" s="9"/>
      <c r="S80" s="9"/>
      <c r="T80" s="9"/>
      <c r="U80" s="36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1">
        <f>IFERROR(__xludf.DUMMYFUNCTION("""COMPUTED_VALUE"""),31.0)</f>
        <v>31</v>
      </c>
      <c r="D81" s="9"/>
      <c r="E81" s="9"/>
      <c r="F81" s="9"/>
      <c r="G81" s="10">
        <f>IFERROR(__xludf.DUMMYFUNCTION("""COMPUTED_VALUE"""),0.7741935483870968)</f>
        <v>0.7741935484</v>
      </c>
      <c r="H81" s="9"/>
      <c r="I81" s="9"/>
      <c r="J81" s="11">
        <f>IFERROR(__xludf.DUMMYFUNCTION("""COMPUTED_VALUE"""),24.0)</f>
        <v>24</v>
      </c>
      <c r="K81" s="9"/>
      <c r="L81" s="9"/>
      <c r="M81" s="9"/>
      <c r="N81" s="10">
        <f>IFERROR(__xludf.DUMMYFUNCTION("""COMPUTED_VALUE"""),0.3333333333333333)</f>
        <v>0.3333333333</v>
      </c>
      <c r="O81" s="9"/>
      <c r="P81" s="9"/>
      <c r="Q81" s="11">
        <f>IFERROR(__xludf.DUMMYFUNCTION("""COMPUTED_VALUE"""),8.0)</f>
        <v>8</v>
      </c>
      <c r="R81" s="9"/>
      <c r="S81" s="9"/>
      <c r="T81" s="9"/>
      <c r="U81" s="36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1">
        <f>IFERROR(__xludf.DUMMYFUNCTION("""COMPUTED_VALUE"""),28.0)</f>
        <v>28</v>
      </c>
      <c r="D82" s="9"/>
      <c r="E82" s="9"/>
      <c r="F82" s="9"/>
      <c r="G82" s="10">
        <f>IFERROR(__xludf.DUMMYFUNCTION("""COMPUTED_VALUE"""),0.7142857142857143)</f>
        <v>0.7142857143</v>
      </c>
      <c r="H82" s="9"/>
      <c r="I82" s="9"/>
      <c r="J82" s="11">
        <f>IFERROR(__xludf.DUMMYFUNCTION("""COMPUTED_VALUE"""),20.0)</f>
        <v>20</v>
      </c>
      <c r="K82" s="9"/>
      <c r="L82" s="9"/>
      <c r="M82" s="9"/>
      <c r="N82" s="10">
        <f>IFERROR(__xludf.DUMMYFUNCTION("""COMPUTED_VALUE"""),0.25)</f>
        <v>0.25</v>
      </c>
      <c r="O82" s="9"/>
      <c r="P82" s="9"/>
      <c r="Q82" s="11">
        <f>IFERROR(__xludf.DUMMYFUNCTION("""COMPUTED_VALUE"""),5.0)</f>
        <v>5</v>
      </c>
      <c r="R82" s="9"/>
      <c r="S82" s="9"/>
      <c r="T82" s="9"/>
      <c r="U82" s="36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IFERROR(__xludf.DUMMYFUNCTION("""COMPUTED_VALUE"""),28.0)</f>
        <v>28</v>
      </c>
      <c r="D83" s="9"/>
      <c r="E83" s="9"/>
      <c r="F83" s="9"/>
      <c r="G83" s="10">
        <f>IFERROR(__xludf.DUMMYFUNCTION("""COMPUTED_VALUE"""),0.8214285714285714)</f>
        <v>0.8214285714</v>
      </c>
      <c r="H83" s="9"/>
      <c r="I83" s="9"/>
      <c r="J83" s="11">
        <f>IFERROR(__xludf.DUMMYFUNCTION("""COMPUTED_VALUE"""),23.0)</f>
        <v>23</v>
      </c>
      <c r="K83" s="9"/>
      <c r="L83" s="9"/>
      <c r="M83" s="9"/>
      <c r="N83" s="10">
        <f>IFERROR(__xludf.DUMMYFUNCTION("""COMPUTED_VALUE"""),0.21739130434782608)</f>
        <v>0.2173913043</v>
      </c>
      <c r="O83" s="9"/>
      <c r="P83" s="9"/>
      <c r="Q83" s="11">
        <f>IFERROR(__xludf.DUMMYFUNCTION("""COMPUTED_VALUE"""),5.0)</f>
        <v>5</v>
      </c>
      <c r="R83" s="9"/>
      <c r="S83" s="9"/>
      <c r="T83" s="9"/>
      <c r="U83" s="36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1">
        <f>IFERROR(__xludf.DUMMYFUNCTION("""COMPUTED_VALUE"""),24.0)</f>
        <v>24</v>
      </c>
      <c r="D84" s="9"/>
      <c r="E84" s="9"/>
      <c r="F84" s="9"/>
      <c r="G84" s="10">
        <f>IFERROR(__xludf.DUMMYFUNCTION("""COMPUTED_VALUE"""),0.625)</f>
        <v>0.625</v>
      </c>
      <c r="H84" s="9"/>
      <c r="I84" s="9"/>
      <c r="J84" s="11">
        <f>IFERROR(__xludf.DUMMYFUNCTION("""COMPUTED_VALUE"""),15.0)</f>
        <v>15</v>
      </c>
      <c r="K84" s="9"/>
      <c r="L84" s="9"/>
      <c r="M84" s="9"/>
      <c r="N84" s="10">
        <f>IFERROR(__xludf.DUMMYFUNCTION("""COMPUTED_VALUE"""),0.26666666666666666)</f>
        <v>0.2666666667</v>
      </c>
      <c r="O84" s="9"/>
      <c r="P84" s="9"/>
      <c r="Q84" s="11">
        <f>IFERROR(__xludf.DUMMYFUNCTION("""COMPUTED_VALUE"""),4.0)</f>
        <v>4</v>
      </c>
      <c r="R84" s="9"/>
      <c r="S84" s="9"/>
      <c r="T84" s="9"/>
      <c r="U84" s="36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1">
        <f>IFERROR(__xludf.DUMMYFUNCTION("""COMPUTED_VALUE"""),33.0)</f>
        <v>33</v>
      </c>
      <c r="D85" s="9"/>
      <c r="E85" s="9"/>
      <c r="F85" s="9"/>
      <c r="G85" s="10">
        <f>IFERROR(__xludf.DUMMYFUNCTION("""COMPUTED_VALUE"""),0.6363636363636364)</f>
        <v>0.6363636364</v>
      </c>
      <c r="H85" s="9"/>
      <c r="I85" s="9"/>
      <c r="J85" s="11">
        <f>IFERROR(__xludf.DUMMYFUNCTION("""COMPUTED_VALUE"""),21.0)</f>
        <v>21</v>
      </c>
      <c r="K85" s="9"/>
      <c r="L85" s="9"/>
      <c r="M85" s="9"/>
      <c r="N85" s="10">
        <f>IFERROR(__xludf.DUMMYFUNCTION("""COMPUTED_VALUE"""),0.14285714285714285)</f>
        <v>0.1428571429</v>
      </c>
      <c r="O85" s="9"/>
      <c r="P85" s="9"/>
      <c r="Q85" s="11">
        <f>IFERROR(__xludf.DUMMYFUNCTION("""COMPUTED_VALUE"""),3.0)</f>
        <v>3</v>
      </c>
      <c r="R85" s="9"/>
      <c r="S85" s="9"/>
      <c r="T85" s="9"/>
      <c r="U85" s="36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1">
        <f>IFERROR(__xludf.DUMMYFUNCTION("""COMPUTED_VALUE"""),23.0)</f>
        <v>23</v>
      </c>
      <c r="D86" s="9"/>
      <c r="E86" s="9"/>
      <c r="F86" s="9"/>
      <c r="G86" s="10">
        <f>IFERROR(__xludf.DUMMYFUNCTION("""COMPUTED_VALUE"""),0.6956521739130435)</f>
        <v>0.6956521739</v>
      </c>
      <c r="H86" s="9"/>
      <c r="I86" s="9"/>
      <c r="J86" s="11">
        <f>IFERROR(__xludf.DUMMYFUNCTION("""COMPUTED_VALUE"""),16.0)</f>
        <v>16</v>
      </c>
      <c r="K86" s="9"/>
      <c r="L86" s="9"/>
      <c r="M86" s="9"/>
      <c r="N86" s="10">
        <f>IFERROR(__xludf.DUMMYFUNCTION("""COMPUTED_VALUE"""),0.125)</f>
        <v>0.125</v>
      </c>
      <c r="O86" s="9"/>
      <c r="P86" s="9"/>
      <c r="Q86" s="11">
        <f>IFERROR(__xludf.DUMMYFUNCTION("""COMPUTED_VALUE"""),2.0)</f>
        <v>2</v>
      </c>
      <c r="R86" s="9"/>
      <c r="S86" s="9"/>
      <c r="T86" s="9"/>
      <c r="U86" s="36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1">
        <f>IFERROR(__xludf.DUMMYFUNCTION("""COMPUTED_VALUE"""),1.0)</f>
        <v>1</v>
      </c>
      <c r="D87" s="9"/>
      <c r="E87" s="9"/>
      <c r="F87" s="9"/>
      <c r="G87" s="10">
        <f>IFERROR(__xludf.DUMMYFUNCTION("""COMPUTED_VALUE"""),1.0)</f>
        <v>1</v>
      </c>
      <c r="H87" s="9"/>
      <c r="I87" s="9"/>
      <c r="J87" s="11">
        <f>IFERROR(__xludf.DUMMYFUNCTION("""COMPUTED_VALUE"""),1.0)</f>
        <v>1</v>
      </c>
      <c r="K87" s="9"/>
      <c r="L87" s="9"/>
      <c r="M87" s="9"/>
      <c r="N87" s="10">
        <f>IFERROR(__xludf.DUMMYFUNCTION("""COMPUTED_VALUE"""),1.0)</f>
        <v>1</v>
      </c>
      <c r="O87" s="9"/>
      <c r="P87" s="9"/>
      <c r="Q87" s="11">
        <f>IFERROR(__xludf.DUMMYFUNCTION("""COMPUTED_VALUE"""),1.0)</f>
        <v>1</v>
      </c>
      <c r="R87" s="9"/>
      <c r="S87" s="9"/>
      <c r="T87" s="9"/>
      <c r="U87" s="36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1">
        <f>IFERROR(__xludf.DUMMYFUNCTION("""COMPUTED_VALUE"""),7.0)</f>
        <v>7</v>
      </c>
      <c r="D88" s="9"/>
      <c r="E88" s="9"/>
      <c r="F88" s="9"/>
      <c r="G88" s="10">
        <f>IFERROR(__xludf.DUMMYFUNCTION("""COMPUTED_VALUE"""),0.8571428571428571)</f>
        <v>0.8571428571</v>
      </c>
      <c r="H88" s="9"/>
      <c r="I88" s="9"/>
      <c r="J88" s="11">
        <f>IFERROR(__xludf.DUMMYFUNCTION("""COMPUTED_VALUE"""),6.0)</f>
        <v>6</v>
      </c>
      <c r="K88" s="9"/>
      <c r="L88" s="9"/>
      <c r="M88" s="9"/>
      <c r="N88" s="10">
        <f>IFERROR(__xludf.DUMMYFUNCTION("""COMPUTED_VALUE"""),0.16666666666666666)</f>
        <v>0.1666666667</v>
      </c>
      <c r="O88" s="9"/>
      <c r="P88" s="9"/>
      <c r="Q88" s="11">
        <f>IFERROR(__xludf.DUMMYFUNCTION("""COMPUTED_VALUE"""),1.0)</f>
        <v>1</v>
      </c>
      <c r="R88" s="9"/>
      <c r="S88" s="9"/>
      <c r="T88" s="9"/>
      <c r="U88" s="36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1">
        <f>IFERROR(__xludf.DUMMYFUNCTION("""COMPUTED_VALUE"""),1.0)</f>
        <v>1</v>
      </c>
      <c r="D89" s="9"/>
      <c r="E89" s="9"/>
      <c r="F89" s="9"/>
      <c r="G89" s="10">
        <f>IFERROR(__xludf.DUMMYFUNCTION("""COMPUTED_VALUE"""),1.0)</f>
        <v>1</v>
      </c>
      <c r="H89" s="9"/>
      <c r="I89" s="9"/>
      <c r="J89" s="11">
        <f>IFERROR(__xludf.DUMMYFUNCTION("""COMPUTED_VALUE"""),1.0)</f>
        <v>1</v>
      </c>
      <c r="K89" s="9"/>
      <c r="L89" s="9"/>
      <c r="M89" s="9"/>
      <c r="N89" s="10">
        <f>IFERROR(__xludf.DUMMYFUNCTION("""COMPUTED_VALUE"""),0.0)</f>
        <v>0</v>
      </c>
      <c r="O89" s="9"/>
      <c r="P89" s="9"/>
      <c r="Q89" s="11">
        <f>IFERROR(__xludf.DUMMYFUNCTION("""COMPUTED_VALUE"""),0.0)</f>
        <v>0</v>
      </c>
      <c r="R89" s="9"/>
      <c r="S89" s="9"/>
      <c r="T89" s="9"/>
      <c r="U89" s="36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1">
        <f>IFERROR(__xludf.DUMMYFUNCTION("""COMPUTED_VALUE"""),159.03225806451604)</f>
        <v>159.0322581</v>
      </c>
      <c r="C90" s="11">
        <f>IFERROR(__xludf.DUMMYFUNCTION("""COMPUTED_VALUE"""),125.0)</f>
        <v>125</v>
      </c>
      <c r="D90" s="11">
        <f>IFERROR(__xludf.DUMMYFUNCTION("""COMPUTED_VALUE"""),-34.03225806451604)</f>
        <v>-34.03225806</v>
      </c>
      <c r="E90" s="10">
        <f>IFERROR(__xludf.DUMMYFUNCTION("""COMPUTED_VALUE"""),-0.21399594320486773)</f>
        <v>-0.2139959432</v>
      </c>
      <c r="F90" s="10">
        <f>IFERROR(__xludf.DUMMYFUNCTION("""COMPUTED_VALUE"""),0.7900000000000001)</f>
        <v>0.79</v>
      </c>
      <c r="G90" s="10">
        <f>IFERROR(__xludf.DUMMYFUNCTION("""COMPUTED_VALUE"""),0.768)</f>
        <v>0.768</v>
      </c>
      <c r="H90" s="35">
        <f>IFERROR(__xludf.DUMMYFUNCTION("""COMPUTED_VALUE"""),-2.200000000000013)</f>
        <v>-2.2</v>
      </c>
      <c r="I90" s="11">
        <f>IFERROR(__xludf.DUMMYFUNCTION("""COMPUTED_VALUE"""),125.63548387096769)</f>
        <v>125.6354839</v>
      </c>
      <c r="J90" s="11">
        <f>IFERROR(__xludf.DUMMYFUNCTION("""COMPUTED_VALUE"""),96.0)</f>
        <v>96</v>
      </c>
      <c r="K90" s="11">
        <f>IFERROR(__xludf.DUMMYFUNCTION("""COMPUTED_VALUE"""),-29.63548387096769)</f>
        <v>-29.63548387</v>
      </c>
      <c r="L90" s="10">
        <f>IFERROR(__xludf.DUMMYFUNCTION("""COMPUTED_VALUE"""),-0.2358846637738462)</f>
        <v>-0.2358846638</v>
      </c>
      <c r="M90" s="10">
        <f>IFERROR(__xludf.DUMMYFUNCTION("""COMPUTED_VALUE"""),0.37610294117647075)</f>
        <v>0.3761029412</v>
      </c>
      <c r="N90" s="10">
        <f>IFERROR(__xludf.DUMMYFUNCTION("""COMPUTED_VALUE"""),0.4270833333333333)</f>
        <v>0.4270833333</v>
      </c>
      <c r="O90" s="35">
        <f>IFERROR(__xludf.DUMMYFUNCTION("""COMPUTED_VALUE"""),5.098039215686256)</f>
        <v>5.098039216</v>
      </c>
      <c r="P90" s="11">
        <f>IFERROR(__xludf.DUMMYFUNCTION("""COMPUTED_VALUE"""),47.251875)</f>
        <v>47.251875</v>
      </c>
      <c r="Q90" s="11">
        <f>IFERROR(__xludf.DUMMYFUNCTION("""COMPUTED_VALUE"""),41.0)</f>
        <v>41</v>
      </c>
      <c r="R90" s="11">
        <f>IFERROR(__xludf.DUMMYFUNCTION("""COMPUTED_VALUE"""),-6.251874999999998)</f>
        <v>-6.251875</v>
      </c>
      <c r="S90" s="10">
        <f>IFERROR(__xludf.DUMMYFUNCTION("""COMPUTED_VALUE"""),-0.1323095644352737)</f>
        <v>-0.1323095644</v>
      </c>
      <c r="T90" s="11">
        <f>IFERROR(__xludf.DUMMYFUNCTION("""COMPUTED_VALUE"""),177507.29330070002)</f>
        <v>177507.2933</v>
      </c>
      <c r="U90" s="36">
        <f>IFERROR(__xludf.DUMMYFUNCTION("""COMPUTED_VALUE"""),1412.8754698235302)</f>
        <v>1412.87547</v>
      </c>
      <c r="V90" s="36">
        <f>IFERROR(__xludf.DUMMYFUNCTION("""COMPUTED_VALUE"""),-41871.24819764113)</f>
        <v>-41871.2482</v>
      </c>
      <c r="W90" s="10">
        <f>IFERROR(__xludf.DUMMYFUNCTION("""COMPUTED_VALUE"""),-0.2358846637738462)</f>
        <v>-0.2358846638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1">
        <f>IFERROR(__xludf.DUMMYFUNCTION("""COMPUTED_VALUE"""),38.0)</f>
        <v>38</v>
      </c>
      <c r="D91" s="9"/>
      <c r="E91" s="9"/>
      <c r="F91" s="9"/>
      <c r="G91" s="10">
        <f>IFERROR(__xludf.DUMMYFUNCTION("""COMPUTED_VALUE"""),0.7105263157894737)</f>
        <v>0.7105263158</v>
      </c>
      <c r="H91" s="9"/>
      <c r="I91" s="9"/>
      <c r="J91" s="11">
        <f>IFERROR(__xludf.DUMMYFUNCTION("""COMPUTED_VALUE"""),27.0)</f>
        <v>27</v>
      </c>
      <c r="K91" s="9"/>
      <c r="L91" s="9"/>
      <c r="M91" s="9"/>
      <c r="N91" s="10">
        <f>IFERROR(__xludf.DUMMYFUNCTION("""COMPUTED_VALUE"""),0.5925925925925926)</f>
        <v>0.5925925926</v>
      </c>
      <c r="O91" s="9"/>
      <c r="P91" s="9"/>
      <c r="Q91" s="11">
        <f>IFERROR(__xludf.DUMMYFUNCTION("""COMPUTED_VALUE"""),16.0)</f>
        <v>16</v>
      </c>
      <c r="R91" s="9"/>
      <c r="S91" s="9"/>
      <c r="T91" s="9"/>
      <c r="U91" s="36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1">
        <f>IFERROR(__xludf.DUMMYFUNCTION("""COMPUTED_VALUE"""),21.0)</f>
        <v>21</v>
      </c>
      <c r="D92" s="9"/>
      <c r="E92" s="9"/>
      <c r="F92" s="9"/>
      <c r="G92" s="10">
        <f>IFERROR(__xludf.DUMMYFUNCTION("""COMPUTED_VALUE"""),0.9047619047619048)</f>
        <v>0.9047619048</v>
      </c>
      <c r="H92" s="9"/>
      <c r="I92" s="9"/>
      <c r="J92" s="11">
        <f>IFERROR(__xludf.DUMMYFUNCTION("""COMPUTED_VALUE"""),19.0)</f>
        <v>19</v>
      </c>
      <c r="K92" s="9"/>
      <c r="L92" s="9"/>
      <c r="M92" s="9"/>
      <c r="N92" s="10">
        <f>IFERROR(__xludf.DUMMYFUNCTION("""COMPUTED_VALUE"""),0.6842105263157895)</f>
        <v>0.6842105263</v>
      </c>
      <c r="O92" s="9"/>
      <c r="P92" s="9"/>
      <c r="Q92" s="11">
        <f>IFERROR(__xludf.DUMMYFUNCTION("""COMPUTED_VALUE"""),13.0)</f>
        <v>13</v>
      </c>
      <c r="R92" s="9"/>
      <c r="S92" s="9"/>
      <c r="T92" s="9"/>
      <c r="U92" s="36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1">
        <f>IFERROR(__xludf.DUMMYFUNCTION("""COMPUTED_VALUE"""),25.0)</f>
        <v>25</v>
      </c>
      <c r="D93" s="9"/>
      <c r="E93" s="9"/>
      <c r="F93" s="9"/>
      <c r="G93" s="10">
        <f>IFERROR(__xludf.DUMMYFUNCTION("""COMPUTED_VALUE"""),0.88)</f>
        <v>0.88</v>
      </c>
      <c r="H93" s="9"/>
      <c r="I93" s="9"/>
      <c r="J93" s="11">
        <f>IFERROR(__xludf.DUMMYFUNCTION("""COMPUTED_VALUE"""),22.0)</f>
        <v>22</v>
      </c>
      <c r="K93" s="9"/>
      <c r="L93" s="9"/>
      <c r="M93" s="9"/>
      <c r="N93" s="10">
        <f>IFERROR(__xludf.DUMMYFUNCTION("""COMPUTED_VALUE"""),0.5454545454545454)</f>
        <v>0.5454545455</v>
      </c>
      <c r="O93" s="9"/>
      <c r="P93" s="9"/>
      <c r="Q93" s="11">
        <f>IFERROR(__xludf.DUMMYFUNCTION("""COMPUTED_VALUE"""),12.0)</f>
        <v>12</v>
      </c>
      <c r="R93" s="9"/>
      <c r="S93" s="9"/>
      <c r="T93" s="9"/>
      <c r="U93" s="36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1">
        <f>IFERROR(__xludf.DUMMYFUNCTION("""COMPUTED_VALUE"""),33.0)</f>
        <v>33</v>
      </c>
      <c r="D94" s="9"/>
      <c r="E94" s="9"/>
      <c r="F94" s="9"/>
      <c r="G94" s="10">
        <f>IFERROR(__xludf.DUMMYFUNCTION("""COMPUTED_VALUE"""),0.7272727272727273)</f>
        <v>0.7272727273</v>
      </c>
      <c r="H94" s="9"/>
      <c r="I94" s="9"/>
      <c r="J94" s="11">
        <f>IFERROR(__xludf.DUMMYFUNCTION("""COMPUTED_VALUE"""),24.0)</f>
        <v>24</v>
      </c>
      <c r="K94" s="9"/>
      <c r="L94" s="9"/>
      <c r="M94" s="9"/>
      <c r="N94" s="10">
        <f>IFERROR(__xludf.DUMMYFUNCTION("""COMPUTED_VALUE"""),0.5)</f>
        <v>0.5</v>
      </c>
      <c r="O94" s="9"/>
      <c r="P94" s="9"/>
      <c r="Q94" s="11">
        <f>IFERROR(__xludf.DUMMYFUNCTION("""COMPUTED_VALUE"""),12.0)</f>
        <v>12</v>
      </c>
      <c r="R94" s="9"/>
      <c r="S94" s="9"/>
      <c r="T94" s="9"/>
      <c r="U94" s="36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1">
        <f>IFERROR(__xludf.DUMMYFUNCTION("""COMPUTED_VALUE"""),49.0)</f>
        <v>49</v>
      </c>
      <c r="D95" s="9"/>
      <c r="E95" s="9"/>
      <c r="F95" s="9"/>
      <c r="G95" s="10">
        <f>IFERROR(__xludf.DUMMYFUNCTION("""COMPUTED_VALUE"""),0.7959183673469388)</f>
        <v>0.7959183673</v>
      </c>
      <c r="H95" s="9"/>
      <c r="I95" s="9"/>
      <c r="J95" s="11">
        <f>IFERROR(__xludf.DUMMYFUNCTION("""COMPUTED_VALUE"""),39.0)</f>
        <v>39</v>
      </c>
      <c r="K95" s="9"/>
      <c r="L95" s="9"/>
      <c r="M95" s="9"/>
      <c r="N95" s="10">
        <f>IFERROR(__xludf.DUMMYFUNCTION("""COMPUTED_VALUE"""),0.3076923076923077)</f>
        <v>0.3076923077</v>
      </c>
      <c r="O95" s="9"/>
      <c r="P95" s="9"/>
      <c r="Q95" s="11">
        <f>IFERROR(__xludf.DUMMYFUNCTION("""COMPUTED_VALUE"""),12.0)</f>
        <v>12</v>
      </c>
      <c r="R95" s="9"/>
      <c r="S95" s="9"/>
      <c r="T95" s="9"/>
      <c r="U95" s="36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1">
        <f>IFERROR(__xludf.DUMMYFUNCTION("""COMPUTED_VALUE"""),29.0)</f>
        <v>29</v>
      </c>
      <c r="D96" s="9"/>
      <c r="E96" s="9"/>
      <c r="F96" s="9"/>
      <c r="G96" s="10">
        <f>IFERROR(__xludf.DUMMYFUNCTION("""COMPUTED_VALUE"""),0.6551724137931034)</f>
        <v>0.6551724138</v>
      </c>
      <c r="H96" s="9"/>
      <c r="I96" s="9"/>
      <c r="J96" s="11">
        <f>IFERROR(__xludf.DUMMYFUNCTION("""COMPUTED_VALUE"""),19.0)</f>
        <v>19</v>
      </c>
      <c r="K96" s="9"/>
      <c r="L96" s="9"/>
      <c r="M96" s="9"/>
      <c r="N96" s="10">
        <f>IFERROR(__xludf.DUMMYFUNCTION("""COMPUTED_VALUE"""),0.5263157894736842)</f>
        <v>0.5263157895</v>
      </c>
      <c r="O96" s="9"/>
      <c r="P96" s="9"/>
      <c r="Q96" s="11">
        <f>IFERROR(__xludf.DUMMYFUNCTION("""COMPUTED_VALUE"""),10.0)</f>
        <v>10</v>
      </c>
      <c r="R96" s="9"/>
      <c r="S96" s="9"/>
      <c r="T96" s="9"/>
      <c r="U96" s="36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1">
        <f>IFERROR(__xludf.DUMMYFUNCTION("""COMPUTED_VALUE"""),27.0)</f>
        <v>27</v>
      </c>
      <c r="D97" s="9"/>
      <c r="E97" s="9"/>
      <c r="F97" s="9"/>
      <c r="G97" s="10">
        <f>IFERROR(__xludf.DUMMYFUNCTION("""COMPUTED_VALUE"""),0.8148148148148148)</f>
        <v>0.8148148148</v>
      </c>
      <c r="H97" s="9"/>
      <c r="I97" s="9"/>
      <c r="J97" s="11">
        <f>IFERROR(__xludf.DUMMYFUNCTION("""COMPUTED_VALUE"""),22.0)</f>
        <v>22</v>
      </c>
      <c r="K97" s="9"/>
      <c r="L97" s="9"/>
      <c r="M97" s="9"/>
      <c r="N97" s="10">
        <f>IFERROR(__xludf.DUMMYFUNCTION("""COMPUTED_VALUE"""),0.4090909090909091)</f>
        <v>0.4090909091</v>
      </c>
      <c r="O97" s="9"/>
      <c r="P97" s="9"/>
      <c r="Q97" s="11">
        <f>IFERROR(__xludf.DUMMYFUNCTION("""COMPUTED_VALUE"""),9.0)</f>
        <v>9</v>
      </c>
      <c r="R97" s="9"/>
      <c r="S97" s="9"/>
      <c r="T97" s="9"/>
      <c r="U97" s="36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1">
        <f>IFERROR(__xludf.DUMMYFUNCTION("""COMPUTED_VALUE"""),25.0)</f>
        <v>25</v>
      </c>
      <c r="D98" s="9"/>
      <c r="E98" s="9"/>
      <c r="F98" s="9"/>
      <c r="G98" s="10">
        <f>IFERROR(__xludf.DUMMYFUNCTION("""COMPUTED_VALUE"""),0.88)</f>
        <v>0.88</v>
      </c>
      <c r="H98" s="9"/>
      <c r="I98" s="9"/>
      <c r="J98" s="11">
        <f>IFERROR(__xludf.DUMMYFUNCTION("""COMPUTED_VALUE"""),22.0)</f>
        <v>22</v>
      </c>
      <c r="K98" s="9"/>
      <c r="L98" s="9"/>
      <c r="M98" s="9"/>
      <c r="N98" s="10">
        <f>IFERROR(__xludf.DUMMYFUNCTION("""COMPUTED_VALUE"""),0.4090909090909091)</f>
        <v>0.4090909091</v>
      </c>
      <c r="O98" s="9"/>
      <c r="P98" s="9"/>
      <c r="Q98" s="11">
        <f>IFERROR(__xludf.DUMMYFUNCTION("""COMPUTED_VALUE"""),9.0)</f>
        <v>9</v>
      </c>
      <c r="R98" s="9"/>
      <c r="S98" s="9"/>
      <c r="T98" s="9"/>
      <c r="U98" s="36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1">
        <f>IFERROR(__xludf.DUMMYFUNCTION("""COMPUTED_VALUE"""),26.0)</f>
        <v>26</v>
      </c>
      <c r="D99" s="9"/>
      <c r="E99" s="9"/>
      <c r="F99" s="9"/>
      <c r="G99" s="10">
        <f>IFERROR(__xludf.DUMMYFUNCTION("""COMPUTED_VALUE"""),0.9615384615384616)</f>
        <v>0.9615384615</v>
      </c>
      <c r="H99" s="9"/>
      <c r="I99" s="9"/>
      <c r="J99" s="11">
        <f>IFERROR(__xludf.DUMMYFUNCTION("""COMPUTED_VALUE"""),25.0)</f>
        <v>25</v>
      </c>
      <c r="K99" s="9"/>
      <c r="L99" s="9"/>
      <c r="M99" s="9"/>
      <c r="N99" s="10">
        <f>IFERROR(__xludf.DUMMYFUNCTION("""COMPUTED_VALUE"""),0.28)</f>
        <v>0.28</v>
      </c>
      <c r="O99" s="9"/>
      <c r="P99" s="9"/>
      <c r="Q99" s="11">
        <f>IFERROR(__xludf.DUMMYFUNCTION("""COMPUTED_VALUE"""),7.0)</f>
        <v>7</v>
      </c>
      <c r="R99" s="9"/>
      <c r="S99" s="9"/>
      <c r="T99" s="9"/>
      <c r="U99" s="36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1">
        <f>IFERROR(__xludf.DUMMYFUNCTION("""COMPUTED_VALUE"""),2.0)</f>
        <v>2</v>
      </c>
      <c r="D100" s="9"/>
      <c r="E100" s="9"/>
      <c r="F100" s="9"/>
      <c r="G100" s="10">
        <f>IFERROR(__xludf.DUMMYFUNCTION("""COMPUTED_VALUE"""),1.0)</f>
        <v>1</v>
      </c>
      <c r="H100" s="9"/>
      <c r="I100" s="9"/>
      <c r="J100" s="11">
        <f>IFERROR(__xludf.DUMMYFUNCTION("""COMPUTED_VALUE"""),2.0)</f>
        <v>2</v>
      </c>
      <c r="K100" s="9"/>
      <c r="L100" s="9"/>
      <c r="M100" s="9"/>
      <c r="N100" s="10">
        <f>IFERROR(__xludf.DUMMYFUNCTION("""COMPUTED_VALUE"""),1.0)</f>
        <v>1</v>
      </c>
      <c r="O100" s="9"/>
      <c r="P100" s="9"/>
      <c r="Q100" s="11">
        <f>IFERROR(__xludf.DUMMYFUNCTION("""COMPUTED_VALUE"""),2.0)</f>
        <v>2</v>
      </c>
      <c r="R100" s="9"/>
      <c r="S100" s="9"/>
      <c r="T100" s="9"/>
      <c r="U100" s="36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1">
        <f>IFERROR(__xludf.DUMMYFUNCTION("""COMPUTED_VALUE"""),7.0)</f>
        <v>7</v>
      </c>
      <c r="D101" s="9"/>
      <c r="E101" s="9"/>
      <c r="F101" s="9"/>
      <c r="G101" s="10">
        <f>IFERROR(__xludf.DUMMYFUNCTION("""COMPUTED_VALUE"""),0.8571428571428571)</f>
        <v>0.8571428571</v>
      </c>
      <c r="H101" s="9"/>
      <c r="I101" s="9"/>
      <c r="J101" s="11">
        <f>IFERROR(__xludf.DUMMYFUNCTION("""COMPUTED_VALUE"""),6.0)</f>
        <v>6</v>
      </c>
      <c r="K101" s="9"/>
      <c r="L101" s="9"/>
      <c r="M101" s="9"/>
      <c r="N101" s="10">
        <f>IFERROR(__xludf.DUMMYFUNCTION("""COMPUTED_VALUE"""),0.3333333333333333)</f>
        <v>0.3333333333</v>
      </c>
      <c r="O101" s="9"/>
      <c r="P101" s="9"/>
      <c r="Q101" s="11">
        <f>IFERROR(__xludf.DUMMYFUNCTION("""COMPUTED_VALUE"""),2.0)</f>
        <v>2</v>
      </c>
      <c r="R101" s="9"/>
      <c r="S101" s="9"/>
      <c r="T101" s="9"/>
      <c r="U101" s="36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1">
        <f>IFERROR(__xludf.DUMMYFUNCTION("""COMPUTED_VALUE"""),1.0)</f>
        <v>1</v>
      </c>
      <c r="D102" s="9"/>
      <c r="E102" s="9"/>
      <c r="F102" s="9"/>
      <c r="G102" s="10">
        <f>IFERROR(__xludf.DUMMYFUNCTION("""COMPUTED_VALUE"""),1.0)</f>
        <v>1</v>
      </c>
      <c r="H102" s="9"/>
      <c r="I102" s="9"/>
      <c r="J102" s="11">
        <f>IFERROR(__xludf.DUMMYFUNCTION("""COMPUTED_VALUE"""),1.0)</f>
        <v>1</v>
      </c>
      <c r="K102" s="9"/>
      <c r="L102" s="9"/>
      <c r="M102" s="9"/>
      <c r="N102" s="10">
        <f>IFERROR(__xludf.DUMMYFUNCTION("""COMPUTED_VALUE"""),0.0)</f>
        <v>0</v>
      </c>
      <c r="O102" s="9"/>
      <c r="P102" s="9"/>
      <c r="Q102" s="11">
        <f>IFERROR(__xludf.DUMMYFUNCTION("""COMPUTED_VALUE"""),0.0)</f>
        <v>0</v>
      </c>
      <c r="R102" s="9"/>
      <c r="S102" s="9"/>
      <c r="T102" s="9"/>
      <c r="U102" s="36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1">
        <f>IFERROR(__xludf.DUMMYFUNCTION("""COMPUTED_VALUE"""),1.0)</f>
        <v>1</v>
      </c>
      <c r="D103" s="9"/>
      <c r="E103" s="9"/>
      <c r="F103" s="9"/>
      <c r="G103" s="10">
        <f>IFERROR(__xludf.DUMMYFUNCTION("""COMPUTED_VALUE"""),0.0)</f>
        <v>0</v>
      </c>
      <c r="H103" s="9"/>
      <c r="I103" s="9"/>
      <c r="J103" s="11">
        <f>IFERROR(__xludf.DUMMYFUNCTION("""COMPUTED_VALUE"""),0.0)</f>
        <v>0</v>
      </c>
      <c r="K103" s="9"/>
      <c r="L103" s="9"/>
      <c r="M103" s="9"/>
      <c r="N103" s="10">
        <f>IFERROR(__xludf.DUMMYFUNCTION("""COMPUTED_VALUE"""),0.0)</f>
        <v>0</v>
      </c>
      <c r="O103" s="9"/>
      <c r="P103" s="9"/>
      <c r="Q103" s="11">
        <f>IFERROR(__xludf.DUMMYFUNCTION("""COMPUTED_VALUE"""),0.0)</f>
        <v>0</v>
      </c>
      <c r="R103" s="9"/>
      <c r="S103" s="9"/>
      <c r="T103" s="9"/>
      <c r="U103" s="36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1">
        <f>IFERROR(__xludf.DUMMYFUNCTION("""COMPUTED_VALUE"""),1.0)</f>
        <v>1</v>
      </c>
      <c r="D104" s="9"/>
      <c r="E104" s="9"/>
      <c r="F104" s="9"/>
      <c r="G104" s="10">
        <f>IFERROR(__xludf.DUMMYFUNCTION("""COMPUTED_VALUE"""),2.0)</f>
        <v>2</v>
      </c>
      <c r="H104" s="9"/>
      <c r="I104" s="9"/>
      <c r="J104" s="11">
        <f>IFERROR(__xludf.DUMMYFUNCTION("""COMPUTED_VALUE"""),2.0)</f>
        <v>2</v>
      </c>
      <c r="K104" s="9"/>
      <c r="L104" s="9"/>
      <c r="M104" s="9"/>
      <c r="N104" s="10">
        <f>IFERROR(__xludf.DUMMYFUNCTION("""COMPUTED_VALUE"""),0.0)</f>
        <v>0</v>
      </c>
      <c r="O104" s="9"/>
      <c r="P104" s="9"/>
      <c r="Q104" s="11">
        <f>IFERROR(__xludf.DUMMYFUNCTION("""COMPUTED_VALUE"""),0.0)</f>
        <v>0</v>
      </c>
      <c r="R104" s="9"/>
      <c r="S104" s="9"/>
      <c r="T104" s="9"/>
      <c r="U104" s="36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1">
        <f>IFERROR(__xludf.DUMMYFUNCTION("""COMPUTED_VALUE"""),319.38064516129015)</f>
        <v>319.3806452</v>
      </c>
      <c r="C105" s="11">
        <f>IFERROR(__xludf.DUMMYFUNCTION("""COMPUTED_VALUE"""),262.0)</f>
        <v>262</v>
      </c>
      <c r="D105" s="11">
        <f>IFERROR(__xludf.DUMMYFUNCTION("""COMPUTED_VALUE"""),-57.38064516129015)</f>
        <v>-57.38064516</v>
      </c>
      <c r="E105" s="10">
        <f>IFERROR(__xludf.DUMMYFUNCTION("""COMPUTED_VALUE"""),-0.17966224951519025)</f>
        <v>-0.1796622495</v>
      </c>
      <c r="F105" s="10">
        <f>IFERROR(__xludf.DUMMYFUNCTION("""COMPUTED_VALUE"""),0.5817307692307692)</f>
        <v>0.5817307692</v>
      </c>
      <c r="G105" s="10">
        <f>IFERROR(__xludf.DUMMYFUNCTION("""COMPUTED_VALUE"""),0.6297709923664122)</f>
        <v>0.6297709924</v>
      </c>
      <c r="H105" s="35">
        <f>IFERROR(__xludf.DUMMYFUNCTION("""COMPUTED_VALUE"""),4.804022313564305)</f>
        <v>4.804022314</v>
      </c>
      <c r="I105" s="11">
        <f>IFERROR(__xludf.DUMMYFUNCTION("""COMPUTED_VALUE"""),185.79354838709665)</f>
        <v>185.7935484</v>
      </c>
      <c r="J105" s="11">
        <f>IFERROR(__xludf.DUMMYFUNCTION("""COMPUTED_VALUE"""),165.0)</f>
        <v>165</v>
      </c>
      <c r="K105" s="11">
        <f>IFERROR(__xludf.DUMMYFUNCTION("""COMPUTED_VALUE"""),-20.79354838709665)</f>
        <v>-20.79354839</v>
      </c>
      <c r="L105" s="10">
        <f>IFERROR(__xludf.DUMMYFUNCTION("""COMPUTED_VALUE"""),-0.11191749427043485)</f>
        <v>-0.1119174943</v>
      </c>
      <c r="M105" s="10">
        <f>IFERROR(__xludf.DUMMYFUNCTION("""COMPUTED_VALUE"""),0.4434491978609628)</f>
        <v>0.4434491979</v>
      </c>
      <c r="N105" s="10">
        <f>IFERROR(__xludf.DUMMYFUNCTION("""COMPUTED_VALUE"""),0.5212121212121212)</f>
        <v>0.5212121212</v>
      </c>
      <c r="O105" s="35">
        <f>IFERROR(__xludf.DUMMYFUNCTION("""COMPUTED_VALUE"""),7.776292335115842)</f>
        <v>7.776292335</v>
      </c>
      <c r="P105" s="11">
        <f>IFERROR(__xludf.DUMMYFUNCTION("""COMPUTED_VALUE"""),82.38999999999999)</f>
        <v>82.39</v>
      </c>
      <c r="Q105" s="11">
        <f>IFERROR(__xludf.DUMMYFUNCTION("""COMPUTED_VALUE"""),86.0)</f>
        <v>86</v>
      </c>
      <c r="R105" s="11">
        <f>IFERROR(__xludf.DUMMYFUNCTION("""COMPUTED_VALUE"""),3.6100000000000136)</f>
        <v>3.61</v>
      </c>
      <c r="S105" s="10">
        <f>IFERROR(__xludf.DUMMYFUNCTION("""COMPUTED_VALUE"""),0.0438159970870253)</f>
        <v>0.04381599709</v>
      </c>
      <c r="T105" s="11">
        <f>IFERROR(__xludf.DUMMYFUNCTION("""COMPUTED_VALUE"""),342414.408)</f>
        <v>342414.408</v>
      </c>
      <c r="U105" s="36">
        <f>IFERROR(__xludf.DUMMYFUNCTION("""COMPUTED_VALUE"""),1842.9833057851251)</f>
        <v>1842.983306</v>
      </c>
      <c r="V105" s="36">
        <f>IFERROR(__xludf.DUMMYFUNCTION("""COMPUTED_VALUE"""),-38322.16254545434)</f>
        <v>-38322.16255</v>
      </c>
      <c r="W105" s="10">
        <f>IFERROR(__xludf.DUMMYFUNCTION("""COMPUTED_VALUE"""),-0.11191749427043485)</f>
        <v>-0.1119174943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1" t="str">
        <f>IFERROR(__xludf.DUMMYFUNCTION("""COMPUTED_VALUE"""),"#REF!")</f>
        <v>#REF!</v>
      </c>
      <c r="D106" s="9"/>
      <c r="E106" s="9"/>
      <c r="F106" s="9"/>
      <c r="G106" s="10" t="str">
        <f>IFERROR(__xludf.DUMMYFUNCTION("""COMPUTED_VALUE"""),"#REF!")</f>
        <v>#REF!</v>
      </c>
      <c r="H106" s="9"/>
      <c r="I106" s="9"/>
      <c r="J106" s="11" t="str">
        <f>IFERROR(__xludf.DUMMYFUNCTION("""COMPUTED_VALUE"""),"#REF!")</f>
        <v>#REF!</v>
      </c>
      <c r="K106" s="9"/>
      <c r="L106" s="9"/>
      <c r="M106" s="9"/>
      <c r="N106" s="10" t="str">
        <f>IFERROR(__xludf.DUMMYFUNCTION("""COMPUTED_VALUE"""),"#REF!")</f>
        <v>#REF!</v>
      </c>
      <c r="O106" s="9"/>
      <c r="P106" s="9"/>
      <c r="Q106" s="11" t="str">
        <f>IFERROR(__xludf.DUMMYFUNCTION("""COMPUTED_VALUE"""),"#REF!")</f>
        <v>#REF!</v>
      </c>
      <c r="R106" s="9"/>
      <c r="S106" s="9"/>
      <c r="T106" s="9"/>
      <c r="U106" s="36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6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6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6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6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6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6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6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6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6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6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6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6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6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6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6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6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1">
        <f>IFERROR(__xludf.DUMMYFUNCTION("""COMPUTED_VALUE"""),118.39677419354834)</f>
        <v>118.3967742</v>
      </c>
      <c r="C124" s="11">
        <f>IFERROR(__xludf.DUMMYFUNCTION("""COMPUTED_VALUE"""),62.0)</f>
        <v>62</v>
      </c>
      <c r="D124" s="11">
        <f>IFERROR(__xludf.DUMMYFUNCTION("""COMPUTED_VALUE"""),-56.39677419354834)</f>
        <v>-56.39677419</v>
      </c>
      <c r="E124" s="10">
        <f>IFERROR(__xludf.DUMMYFUNCTION("""COMPUTED_VALUE"""),-0.4763370841620574)</f>
        <v>-0.4763370842</v>
      </c>
      <c r="F124" s="10">
        <f>IFERROR(__xludf.DUMMYFUNCTION("""COMPUTED_VALUE"""),0.716535433070866)</f>
        <v>0.7165354331</v>
      </c>
      <c r="G124" s="10">
        <f>IFERROR(__xludf.DUMMYFUNCTION("""COMPUTED_VALUE"""),0.7419354838709677)</f>
        <v>0.7419354839</v>
      </c>
      <c r="H124" s="35">
        <f>IFERROR(__xludf.DUMMYFUNCTION("""COMPUTED_VALUE"""),2.540005080010177)</f>
        <v>2.54000508</v>
      </c>
      <c r="I124" s="11">
        <f>IFERROR(__xludf.DUMMYFUNCTION("""COMPUTED_VALUE"""),84.83548387096769)</f>
        <v>84.83548387</v>
      </c>
      <c r="J124" s="11">
        <f>IFERROR(__xludf.DUMMYFUNCTION("""COMPUTED_VALUE"""),46.0)</f>
        <v>46</v>
      </c>
      <c r="K124" s="11">
        <f>IFERROR(__xludf.DUMMYFUNCTION("""COMPUTED_VALUE"""),-38.83548387096769)</f>
        <v>-38.83548387</v>
      </c>
      <c r="L124" s="10">
        <f>IFERROR(__xludf.DUMMYFUNCTION("""COMPUTED_VALUE"""),-0.4577740598501841)</f>
        <v>-0.4577740599</v>
      </c>
      <c r="M124" s="10">
        <f>IFERROR(__xludf.DUMMYFUNCTION("""COMPUTED_VALUE"""),0.3857466063348418)</f>
        <v>0.3857466063</v>
      </c>
      <c r="N124" s="10">
        <f>IFERROR(__xludf.DUMMYFUNCTION("""COMPUTED_VALUE"""),0.30434782608695654)</f>
        <v>0.3043478261</v>
      </c>
      <c r="O124" s="35">
        <f>IFERROR(__xludf.DUMMYFUNCTION("""COMPUTED_VALUE"""),-8.139878024788526)</f>
        <v>-8.139878025</v>
      </c>
      <c r="P124" s="11">
        <f>IFERROR(__xludf.DUMMYFUNCTION("""COMPUTED_VALUE"""),32.724999999999994)</f>
        <v>32.725</v>
      </c>
      <c r="Q124" s="11">
        <f>IFERROR(__xludf.DUMMYFUNCTION("""COMPUTED_VALUE"""),14.0)</f>
        <v>14</v>
      </c>
      <c r="R124" s="11">
        <f>IFERROR(__xludf.DUMMYFUNCTION("""COMPUTED_VALUE"""),-18.724999999999994)</f>
        <v>-18.725</v>
      </c>
      <c r="S124" s="10">
        <f>IFERROR(__xludf.DUMMYFUNCTION("""COMPUTED_VALUE"""),-0.5721925133689839)</f>
        <v>-0.5721925134</v>
      </c>
      <c r="T124" s="11">
        <f>IFERROR(__xludf.DUMMYFUNCTION("""COMPUTED_VALUE"""),127502.83151999999)</f>
        <v>127502.8315</v>
      </c>
      <c r="U124" s="36">
        <f>IFERROR(__xludf.DUMMYFUNCTION("""COMPUTED_VALUE"""),1502.9422324499037)</f>
        <v>1502.942232</v>
      </c>
      <c r="V124" s="36">
        <f>IFERROR(__xludf.DUMMYFUNCTION("""COMPUTED_VALUE"""),-58367.48882730441)</f>
        <v>-58367.48883</v>
      </c>
      <c r="W124" s="10">
        <f>IFERROR(__xludf.DUMMYFUNCTION("""COMPUTED_VALUE"""),-0.45777405985018405)</f>
        <v>-0.4577740599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1">
        <f>IFERROR(__xludf.DUMMYFUNCTION("""COMPUTED_VALUE"""),12.0)</f>
        <v>12</v>
      </c>
      <c r="D125" s="9"/>
      <c r="E125" s="9"/>
      <c r="F125" s="9"/>
      <c r="G125" s="10">
        <f>IFERROR(__xludf.DUMMYFUNCTION("""COMPUTED_VALUE"""),1.0)</f>
        <v>1</v>
      </c>
      <c r="H125" s="9"/>
      <c r="I125" s="9"/>
      <c r="J125" s="11">
        <f>IFERROR(__xludf.DUMMYFUNCTION("""COMPUTED_VALUE"""),12.0)</f>
        <v>12</v>
      </c>
      <c r="K125" s="9"/>
      <c r="L125" s="9"/>
      <c r="M125" s="9"/>
      <c r="N125" s="10">
        <f>IFERROR(__xludf.DUMMYFUNCTION("""COMPUTED_VALUE"""),0.5833333333333334)</f>
        <v>0.5833333333</v>
      </c>
      <c r="O125" s="9"/>
      <c r="P125" s="9"/>
      <c r="Q125" s="11">
        <f>IFERROR(__xludf.DUMMYFUNCTION("""COMPUTED_VALUE"""),7.0)</f>
        <v>7</v>
      </c>
      <c r="R125" s="9"/>
      <c r="S125" s="9"/>
      <c r="T125" s="9"/>
      <c r="U125" s="36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1">
        <f>IFERROR(__xludf.DUMMYFUNCTION("""COMPUTED_VALUE"""),9.0)</f>
        <v>9</v>
      </c>
      <c r="D126" s="9"/>
      <c r="E126" s="9"/>
      <c r="F126" s="9"/>
      <c r="G126" s="10">
        <f>IFERROR(__xludf.DUMMYFUNCTION("""COMPUTED_VALUE"""),0.7777777777777778)</f>
        <v>0.7777777778</v>
      </c>
      <c r="H126" s="9"/>
      <c r="I126" s="9"/>
      <c r="J126" s="11">
        <f>IFERROR(__xludf.DUMMYFUNCTION("""COMPUTED_VALUE"""),7.0)</f>
        <v>7</v>
      </c>
      <c r="K126" s="9"/>
      <c r="L126" s="9"/>
      <c r="M126" s="9"/>
      <c r="N126" s="10">
        <f>IFERROR(__xludf.DUMMYFUNCTION("""COMPUTED_VALUE"""),0.7142857142857143)</f>
        <v>0.7142857143</v>
      </c>
      <c r="O126" s="9"/>
      <c r="P126" s="9"/>
      <c r="Q126" s="11">
        <f>IFERROR(__xludf.DUMMYFUNCTION("""COMPUTED_VALUE"""),5.0)</f>
        <v>5</v>
      </c>
      <c r="R126" s="9"/>
      <c r="S126" s="9"/>
      <c r="T126" s="9"/>
      <c r="U126" s="36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1">
        <f>IFERROR(__xludf.DUMMYFUNCTION("""COMPUTED_VALUE"""),12.0)</f>
        <v>12</v>
      </c>
      <c r="D127" s="9"/>
      <c r="E127" s="9"/>
      <c r="F127" s="9"/>
      <c r="G127" s="10">
        <f>IFERROR(__xludf.DUMMYFUNCTION("""COMPUTED_VALUE"""),0.8333333333333334)</f>
        <v>0.8333333333</v>
      </c>
      <c r="H127" s="9"/>
      <c r="I127" s="9"/>
      <c r="J127" s="11">
        <f>IFERROR(__xludf.DUMMYFUNCTION("""COMPUTED_VALUE"""),10.0)</f>
        <v>10</v>
      </c>
      <c r="K127" s="9"/>
      <c r="L127" s="9"/>
      <c r="M127" s="9"/>
      <c r="N127" s="10">
        <f>IFERROR(__xludf.DUMMYFUNCTION("""COMPUTED_VALUE"""),0.4)</f>
        <v>0.4</v>
      </c>
      <c r="O127" s="9"/>
      <c r="P127" s="9"/>
      <c r="Q127" s="11">
        <f>IFERROR(__xludf.DUMMYFUNCTION("""COMPUTED_VALUE"""),4.0)</f>
        <v>4</v>
      </c>
      <c r="R127" s="9"/>
      <c r="S127" s="9"/>
      <c r="T127" s="9"/>
      <c r="U127" s="36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IFERROR(__xludf.DUMMYFUNCTION("""COMPUTED_VALUE"""),12.0)</f>
        <v>12</v>
      </c>
      <c r="D128" s="9"/>
      <c r="E128" s="9"/>
      <c r="F128" s="9"/>
      <c r="G128" s="10">
        <f>IFERROR(__xludf.DUMMYFUNCTION("""COMPUTED_VALUE"""),0.9166666666666666)</f>
        <v>0.9166666667</v>
      </c>
      <c r="H128" s="9"/>
      <c r="I128" s="9"/>
      <c r="J128" s="11">
        <f>IFERROR(__xludf.DUMMYFUNCTION("""COMPUTED_VALUE"""),11.0)</f>
        <v>11</v>
      </c>
      <c r="K128" s="9"/>
      <c r="L128" s="9"/>
      <c r="M128" s="9"/>
      <c r="N128" s="10">
        <f>IFERROR(__xludf.DUMMYFUNCTION("""COMPUTED_VALUE"""),0.2727272727272727)</f>
        <v>0.2727272727</v>
      </c>
      <c r="O128" s="9"/>
      <c r="P128" s="9"/>
      <c r="Q128" s="11">
        <f>IFERROR(__xludf.DUMMYFUNCTION("""COMPUTED_VALUE"""),3.0)</f>
        <v>3</v>
      </c>
      <c r="R128" s="9"/>
      <c r="S128" s="9"/>
      <c r="T128" s="9"/>
      <c r="U128" s="36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1">
        <f>IFERROR(__xludf.DUMMYFUNCTION("""COMPUTED_VALUE"""),14.0)</f>
        <v>14</v>
      </c>
      <c r="D129" s="9"/>
      <c r="E129" s="9"/>
      <c r="F129" s="9"/>
      <c r="G129" s="10">
        <f>IFERROR(__xludf.DUMMYFUNCTION("""COMPUTED_VALUE"""),0.5)</f>
        <v>0.5</v>
      </c>
      <c r="H129" s="9"/>
      <c r="I129" s="9"/>
      <c r="J129" s="11">
        <f>IFERROR(__xludf.DUMMYFUNCTION("""COMPUTED_VALUE"""),7.0)</f>
        <v>7</v>
      </c>
      <c r="K129" s="9"/>
      <c r="L129" s="9"/>
      <c r="M129" s="9"/>
      <c r="N129" s="10">
        <f>IFERROR(__xludf.DUMMYFUNCTION("""COMPUTED_VALUE"""),0.2857142857142857)</f>
        <v>0.2857142857</v>
      </c>
      <c r="O129" s="9"/>
      <c r="P129" s="9"/>
      <c r="Q129" s="11">
        <f>IFERROR(__xludf.DUMMYFUNCTION("""COMPUTED_VALUE"""),2.0)</f>
        <v>2</v>
      </c>
      <c r="R129" s="9"/>
      <c r="S129" s="9"/>
      <c r="T129" s="9"/>
      <c r="U129" s="36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IFERROR(__xludf.DUMMYFUNCTION("""COMPUTED_VALUE"""),12.0)</f>
        <v>12</v>
      </c>
      <c r="D130" s="9"/>
      <c r="E130" s="9"/>
      <c r="F130" s="9"/>
      <c r="G130" s="10">
        <f>IFERROR(__xludf.DUMMYFUNCTION("""COMPUTED_VALUE"""),0.6666666666666666)</f>
        <v>0.6666666667</v>
      </c>
      <c r="H130" s="9"/>
      <c r="I130" s="9"/>
      <c r="J130" s="11">
        <f>IFERROR(__xludf.DUMMYFUNCTION("""COMPUTED_VALUE"""),8.0)</f>
        <v>8</v>
      </c>
      <c r="K130" s="9"/>
      <c r="L130" s="9"/>
      <c r="M130" s="9"/>
      <c r="N130" s="10">
        <f>IFERROR(__xludf.DUMMYFUNCTION("""COMPUTED_VALUE"""),0.25)</f>
        <v>0.25</v>
      </c>
      <c r="O130" s="9"/>
      <c r="P130" s="9"/>
      <c r="Q130" s="11">
        <f>IFERROR(__xludf.DUMMYFUNCTION("""COMPUTED_VALUE"""),2.0)</f>
        <v>2</v>
      </c>
      <c r="R130" s="9"/>
      <c r="S130" s="9"/>
      <c r="T130" s="9"/>
      <c r="U130" s="36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1">
        <f>IFERROR(__xludf.DUMMYFUNCTION("""COMPUTED_VALUE"""),12.0)</f>
        <v>12</v>
      </c>
      <c r="D131" s="9"/>
      <c r="E131" s="9"/>
      <c r="F131" s="9"/>
      <c r="G131" s="10">
        <f>IFERROR(__xludf.DUMMYFUNCTION("""COMPUTED_VALUE"""),0.6666666666666666)</f>
        <v>0.6666666667</v>
      </c>
      <c r="H131" s="9"/>
      <c r="I131" s="9"/>
      <c r="J131" s="11">
        <f>IFERROR(__xludf.DUMMYFUNCTION("""COMPUTED_VALUE"""),8.0)</f>
        <v>8</v>
      </c>
      <c r="K131" s="9"/>
      <c r="L131" s="9"/>
      <c r="M131" s="9"/>
      <c r="N131" s="10">
        <f>IFERROR(__xludf.DUMMYFUNCTION("""COMPUTED_VALUE"""),0.25)</f>
        <v>0.25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36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1">
        <f>IFERROR(__xludf.DUMMYFUNCTION("""COMPUTED_VALUE"""),8.0)</f>
        <v>8</v>
      </c>
      <c r="D132" s="9"/>
      <c r="E132" s="9"/>
      <c r="F132" s="9"/>
      <c r="G132" s="10">
        <f>IFERROR(__xludf.DUMMYFUNCTION("""COMPUTED_VALUE"""),1.125)</f>
        <v>1.125</v>
      </c>
      <c r="H132" s="9"/>
      <c r="I132" s="9"/>
      <c r="J132" s="11">
        <f>IFERROR(__xludf.DUMMYFUNCTION("""COMPUTED_VALUE"""),9.0)</f>
        <v>9</v>
      </c>
      <c r="K132" s="9"/>
      <c r="L132" s="9"/>
      <c r="M132" s="9"/>
      <c r="N132" s="10">
        <f>IFERROR(__xludf.DUMMYFUNCTION("""COMPUTED_VALUE"""),0.2222222222222222)</f>
        <v>0.2222222222</v>
      </c>
      <c r="O132" s="9"/>
      <c r="P132" s="9"/>
      <c r="Q132" s="11">
        <f>IFERROR(__xludf.DUMMYFUNCTION("""COMPUTED_VALUE"""),2.0)</f>
        <v>2</v>
      </c>
      <c r="R132" s="9"/>
      <c r="S132" s="9"/>
      <c r="T132" s="9"/>
      <c r="U132" s="36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1">
        <f>IFERROR(__xludf.DUMMYFUNCTION("""COMPUTED_VALUE"""),14.0)</f>
        <v>14</v>
      </c>
      <c r="D133" s="9"/>
      <c r="E133" s="9"/>
      <c r="F133" s="9"/>
      <c r="G133" s="10">
        <f>IFERROR(__xludf.DUMMYFUNCTION("""COMPUTED_VALUE"""),0.7857142857142857)</f>
        <v>0.7857142857</v>
      </c>
      <c r="H133" s="9"/>
      <c r="I133" s="9"/>
      <c r="J133" s="11">
        <f>IFERROR(__xludf.DUMMYFUNCTION("""COMPUTED_VALUE"""),11.0)</f>
        <v>11</v>
      </c>
      <c r="K133" s="9"/>
      <c r="L133" s="9"/>
      <c r="M133" s="9"/>
      <c r="N133" s="10">
        <f>IFERROR(__xludf.DUMMYFUNCTION("""COMPUTED_VALUE"""),0.09090909090909091)</f>
        <v>0.09090909091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36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1">
        <f>IFERROR(__xludf.DUMMYFUNCTION("""COMPUTED_VALUE"""),1.0)</f>
        <v>1</v>
      </c>
      <c r="D134" s="9"/>
      <c r="E134" s="9"/>
      <c r="F134" s="9"/>
      <c r="G134" s="10">
        <f>IFERROR(__xludf.DUMMYFUNCTION("""COMPUTED_VALUE"""),1.0)</f>
        <v>1</v>
      </c>
      <c r="H134" s="9"/>
      <c r="I134" s="9"/>
      <c r="J134" s="11">
        <f>IFERROR(__xludf.DUMMYFUNCTION("""COMPUTED_VALUE"""),1.0)</f>
        <v>1</v>
      </c>
      <c r="K134" s="9"/>
      <c r="L134" s="9"/>
      <c r="M134" s="9"/>
      <c r="N134" s="10">
        <f>IFERROR(__xludf.DUMMYFUNCTION("""COMPUTED_VALUE"""),0.0)</f>
        <v>0</v>
      </c>
      <c r="O134" s="9"/>
      <c r="P134" s="9"/>
      <c r="Q134" s="11">
        <f>IFERROR(__xludf.DUMMYFUNCTION("""COMPUTED_VALUE"""),0.0)</f>
        <v>0</v>
      </c>
      <c r="R134" s="9"/>
      <c r="S134" s="9"/>
      <c r="T134" s="9"/>
      <c r="U134" s="36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1">
        <f>IFERROR(__xludf.DUMMYFUNCTION("""COMPUTED_VALUE"""),2.0)</f>
        <v>2</v>
      </c>
      <c r="D135" s="9"/>
      <c r="E135" s="9"/>
      <c r="F135" s="9"/>
      <c r="G135" s="10">
        <f>IFERROR(__xludf.DUMMYFUNCTION("""COMPUTED_VALUE"""),0.5)</f>
        <v>0.5</v>
      </c>
      <c r="H135" s="9"/>
      <c r="I135" s="9"/>
      <c r="J135" s="11">
        <f>IFERROR(__xludf.DUMMYFUNCTION("""COMPUTED_VALUE"""),1.0)</f>
        <v>1</v>
      </c>
      <c r="K135" s="9"/>
      <c r="L135" s="9"/>
      <c r="M135" s="9"/>
      <c r="N135" s="10">
        <f>IFERROR(__xludf.DUMMYFUNCTION("""COMPUTED_VALUE"""),0.0)</f>
        <v>0</v>
      </c>
      <c r="O135" s="9"/>
      <c r="P135" s="9"/>
      <c r="Q135" s="11">
        <f>IFERROR(__xludf.DUMMYFUNCTION("""COMPUTED_VALUE"""),0.0)</f>
        <v>0</v>
      </c>
      <c r="R135" s="9"/>
      <c r="S135" s="9"/>
      <c r="T135" s="9"/>
      <c r="U135" s="36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1">
        <f>IFERROR(__xludf.DUMMYFUNCTION("""COMPUTED_VALUE"""),21.93548387096773)</f>
        <v>21.93548387</v>
      </c>
      <c r="C136" s="11">
        <f>IFERROR(__xludf.DUMMYFUNCTION("""COMPUTED_VALUE"""),19.0)</f>
        <v>19</v>
      </c>
      <c r="D136" s="11">
        <f>IFERROR(__xludf.DUMMYFUNCTION("""COMPUTED_VALUE"""),-2.9354838709677296)</f>
        <v>-2.935483871</v>
      </c>
      <c r="E136" s="10">
        <f>IFERROR(__xludf.DUMMYFUNCTION("""COMPUTED_VALUE"""),-0.13382352941176423)</f>
        <v>-0.1338235294</v>
      </c>
      <c r="F136" s="10">
        <f>IFERROR(__xludf.DUMMYFUNCTION("""COMPUTED_VALUE"""),0.6460674157303372)</f>
        <v>0.6460674157</v>
      </c>
      <c r="G136" s="10">
        <f>IFERROR(__xludf.DUMMYFUNCTION("""COMPUTED_VALUE"""),0.5789473684210527)</f>
        <v>0.5789473684</v>
      </c>
      <c r="H136" s="35">
        <f>IFERROR(__xludf.DUMMYFUNCTION("""COMPUTED_VALUE"""),-6.712004730928456)</f>
        <v>-6.712004731</v>
      </c>
      <c r="I136" s="11">
        <f>IFERROR(__xludf.DUMMYFUNCTION("""COMPUTED_VALUE"""),14.171801377310615)</f>
        <v>14.17180138</v>
      </c>
      <c r="J136" s="11">
        <f>IFERROR(__xludf.DUMMYFUNCTION("""COMPUTED_VALUE"""),11.0)</f>
        <v>11</v>
      </c>
      <c r="K136" s="11">
        <f>IFERROR(__xludf.DUMMYFUNCTION("""COMPUTED_VALUE"""),-3.171801377310615)</f>
        <v>-3.171801377</v>
      </c>
      <c r="L136" s="10">
        <f>IFERROR(__xludf.DUMMYFUNCTION("""COMPUTED_VALUE"""),-0.2238107416879793)</f>
        <v>-0.2238107417</v>
      </c>
      <c r="M136" s="10">
        <f>IFERROR(__xludf.DUMMYFUNCTION("""COMPUTED_VALUE"""),0.2768117647058825)</f>
        <v>0.2768117647</v>
      </c>
      <c r="N136" s="10">
        <f>IFERROR(__xludf.DUMMYFUNCTION("""COMPUTED_VALUE"""),0.36363636363636365)</f>
        <v>0.3636363636</v>
      </c>
      <c r="O136" s="35">
        <f>IFERROR(__xludf.DUMMYFUNCTION("""COMPUTED_VALUE"""),8.682459893048117)</f>
        <v>8.682459893</v>
      </c>
      <c r="P136" s="11">
        <f>IFERROR(__xludf.DUMMYFUNCTION("""COMPUTED_VALUE"""),3.922921348314607)</f>
        <v>3.922921348</v>
      </c>
      <c r="Q136" s="11">
        <f>IFERROR(__xludf.DUMMYFUNCTION("""COMPUTED_VALUE"""),4.0)</f>
        <v>4</v>
      </c>
      <c r="R136" s="11">
        <f>IFERROR(__xludf.DUMMYFUNCTION("""COMPUTED_VALUE"""),0.07707865168539296)</f>
        <v>0.07707865169</v>
      </c>
      <c r="S136" s="10">
        <f>IFERROR(__xludf.DUMMYFUNCTION("""COMPUTED_VALUE"""),0.0196482786274846)</f>
        <v>0.01964827863</v>
      </c>
      <c r="T136" s="11">
        <f>IFERROR(__xludf.DUMMYFUNCTION("""COMPUTED_VALUE"""),22023.54690240771)</f>
        <v>22023.5469</v>
      </c>
      <c r="U136" s="36">
        <f>IFERROR(__xludf.DUMMYFUNCTION("""COMPUTED_VALUE"""),1554.0400486890765)</f>
        <v>1554.040049</v>
      </c>
      <c r="V136" s="36">
        <f>IFERROR(__xludf.DUMMYFUNCTION("""COMPUTED_VALUE"""),-4929.106366827868)</f>
        <v>-4929.106367</v>
      </c>
      <c r="W136" s="10">
        <f>IFERROR(__xludf.DUMMYFUNCTION("""COMPUTED_VALUE"""),-0.2238107416879793)</f>
        <v>-0.2238107417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1">
        <f>IFERROR(__xludf.DUMMYFUNCTION("""COMPUTED_VALUE"""),8.0)</f>
        <v>8</v>
      </c>
      <c r="D137" s="9"/>
      <c r="E137" s="9"/>
      <c r="F137" s="9"/>
      <c r="G137" s="10">
        <f>IFERROR(__xludf.DUMMYFUNCTION("""COMPUTED_VALUE"""),0.75)</f>
        <v>0.75</v>
      </c>
      <c r="H137" s="9"/>
      <c r="I137" s="9"/>
      <c r="J137" s="11">
        <f>IFERROR(__xludf.DUMMYFUNCTION("""COMPUTED_VALUE"""),6.0)</f>
        <v>6</v>
      </c>
      <c r="K137" s="9"/>
      <c r="L137" s="9"/>
      <c r="M137" s="9"/>
      <c r="N137" s="10">
        <f>IFERROR(__xludf.DUMMYFUNCTION("""COMPUTED_VALUE"""),0.8333333333333334)</f>
        <v>0.8333333333</v>
      </c>
      <c r="O137" s="9"/>
      <c r="P137" s="9"/>
      <c r="Q137" s="11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1">
        <f>IFERROR(__xludf.DUMMYFUNCTION("""COMPUTED_VALUE"""),7.0)</f>
        <v>7</v>
      </c>
      <c r="D138" s="9"/>
      <c r="E138" s="9"/>
      <c r="F138" s="9"/>
      <c r="G138" s="10">
        <f>IFERROR(__xludf.DUMMYFUNCTION("""COMPUTED_VALUE"""),1.0)</f>
        <v>1</v>
      </c>
      <c r="H138" s="9"/>
      <c r="I138" s="9"/>
      <c r="J138" s="11">
        <f>IFERROR(__xludf.DUMMYFUNCTION("""COMPUTED_VALUE"""),7.0)</f>
        <v>7</v>
      </c>
      <c r="K138" s="9"/>
      <c r="L138" s="9"/>
      <c r="M138" s="9"/>
      <c r="N138" s="10">
        <f>IFERROR(__xludf.DUMMYFUNCTION("""COMPUTED_VALUE"""),0.2857142857142857)</f>
        <v>0.2857142857</v>
      </c>
      <c r="O138" s="9"/>
      <c r="P138" s="9"/>
      <c r="Q138" s="11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1">
        <f>IFERROR(__xludf.DUMMYFUNCTION("""COMPUTED_VALUE"""),2.0)</f>
        <v>2</v>
      </c>
      <c r="D139" s="9"/>
      <c r="E139" s="9"/>
      <c r="F139" s="9"/>
      <c r="G139" s="10">
        <f>IFERROR(__xludf.DUMMYFUNCTION("""COMPUTED_VALUE"""),0.5)</f>
        <v>0.5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IFERROR(__xludf.DUMMYFUNCTION("""COMPUTED_VALUE"""),1.0)</f>
        <v>1</v>
      </c>
      <c r="O139" s="9"/>
      <c r="P139" s="9"/>
      <c r="Q139" s="11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1">
        <f>IFERROR(__xludf.DUMMYFUNCTION("""COMPUTED_VALUE"""),4.0)</f>
        <v>4</v>
      </c>
      <c r="D140" s="9"/>
      <c r="E140" s="9"/>
      <c r="F140" s="9"/>
      <c r="G140" s="10">
        <f>IFERROR(__xludf.DUMMYFUNCTION("""COMPUTED_VALUE"""),0.5)</f>
        <v>0.5</v>
      </c>
      <c r="H140" s="9"/>
      <c r="I140" s="9"/>
      <c r="J140" s="11">
        <f>IFERROR(__xludf.DUMMYFUNCTION("""COMPUTED_VALUE"""),2.0)</f>
        <v>2</v>
      </c>
      <c r="K140" s="9"/>
      <c r="L140" s="9"/>
      <c r="M140" s="9"/>
      <c r="N140" s="10">
        <f>IFERROR(__xludf.DUMMYFUNCTION("""COMPUTED_VALUE"""),0.5)</f>
        <v>0.5</v>
      </c>
      <c r="O140" s="9"/>
      <c r="P140" s="9"/>
      <c r="Q140" s="11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1">
        <f>IFERROR(__xludf.DUMMYFUNCTION("""COMPUTED_VALUE"""),8.0)</f>
        <v>8</v>
      </c>
      <c r="D141" s="9"/>
      <c r="E141" s="9"/>
      <c r="F141" s="9"/>
      <c r="G141" s="10">
        <f>IFERROR(__xludf.DUMMYFUNCTION("""COMPUTED_VALUE"""),0.5)</f>
        <v>0.5</v>
      </c>
      <c r="H141" s="9"/>
      <c r="I141" s="9"/>
      <c r="J141" s="11">
        <f>IFERROR(__xludf.DUMMYFUNCTION("""COMPUTED_VALUE"""),4.0)</f>
        <v>4</v>
      </c>
      <c r="K141" s="9"/>
      <c r="L141" s="9"/>
      <c r="M141" s="9"/>
      <c r="N141" s="10">
        <f>IFERROR(__xludf.DUMMYFUNCTION("""COMPUTED_VALUE"""),0.25)</f>
        <v>0.25</v>
      </c>
      <c r="O141" s="9"/>
      <c r="P141" s="9"/>
      <c r="Q141" s="11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1">
        <f>IFERROR(__xludf.DUMMYFUNCTION("""COMPUTED_VALUE"""),8.0)</f>
        <v>8</v>
      </c>
      <c r="D142" s="9"/>
      <c r="E142" s="9"/>
      <c r="F142" s="9"/>
      <c r="G142" s="10">
        <f>IFERROR(__xludf.DUMMYFUNCTION("""COMPUTED_VALUE"""),0.5)</f>
        <v>0.5</v>
      </c>
      <c r="H142" s="9"/>
      <c r="I142" s="9"/>
      <c r="J142" s="11">
        <f>IFERROR(__xludf.DUMMYFUNCTION("""COMPUTED_VALUE"""),4.0)</f>
        <v>4</v>
      </c>
      <c r="K142" s="9"/>
      <c r="L142" s="9"/>
      <c r="M142" s="9"/>
      <c r="N142" s="10">
        <f>IFERROR(__xludf.DUMMYFUNCTION("""COMPUTED_VALUE"""),0.25)</f>
        <v>0.25</v>
      </c>
      <c r="O142" s="9"/>
      <c r="P142" s="9"/>
      <c r="Q142" s="11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1">
        <f>IFERROR(__xludf.DUMMYFUNCTION("""COMPUTED_VALUE"""),8.0)</f>
        <v>8</v>
      </c>
      <c r="D143" s="9"/>
      <c r="E143" s="9"/>
      <c r="F143" s="9"/>
      <c r="G143" s="10">
        <f>IFERROR(__xludf.DUMMYFUNCTION("""COMPUTED_VALUE"""),0.5)</f>
        <v>0.5</v>
      </c>
      <c r="H143" s="9"/>
      <c r="I143" s="9"/>
      <c r="J143" s="11">
        <f>IFERROR(__xludf.DUMMYFUNCTION("""COMPUTED_VALUE"""),4.0)</f>
        <v>4</v>
      </c>
      <c r="K143" s="9"/>
      <c r="L143" s="9"/>
      <c r="M143" s="9"/>
      <c r="N143" s="10">
        <f>IFERROR(__xludf.DUMMYFUNCTION("""COMPUTED_VALUE"""),0.25)</f>
        <v>0.25</v>
      </c>
      <c r="O143" s="9"/>
      <c r="P143" s="9"/>
      <c r="Q143" s="11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1">
        <f>IFERROR(__xludf.DUMMYFUNCTION("""COMPUTED_VALUE"""),8.0)</f>
        <v>8</v>
      </c>
      <c r="D144" s="9"/>
      <c r="E144" s="9"/>
      <c r="F144" s="9"/>
      <c r="G144" s="10">
        <f>IFERROR(__xludf.DUMMYFUNCTION("""COMPUTED_VALUE"""),0.625)</f>
        <v>0.625</v>
      </c>
      <c r="H144" s="9"/>
      <c r="I144" s="9"/>
      <c r="J144" s="11">
        <f>IFERROR(__xludf.DUMMYFUNCTION("""COMPUTED_VALUE"""),5.0)</f>
        <v>5</v>
      </c>
      <c r="K144" s="9"/>
      <c r="L144" s="9"/>
      <c r="M144" s="9"/>
      <c r="N144" s="10">
        <f>IFERROR(__xludf.DUMMYFUNCTION("""COMPUTED_VALUE"""),0.2)</f>
        <v>0.2</v>
      </c>
      <c r="O144" s="9"/>
      <c r="P144" s="9"/>
      <c r="Q144" s="11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1">
        <f>IFERROR(__xludf.DUMMYFUNCTION("""COMPUTED_VALUE"""),7.0)</f>
        <v>7</v>
      </c>
      <c r="D145" s="9"/>
      <c r="E145" s="9"/>
      <c r="F145" s="9"/>
      <c r="G145" s="10">
        <f>IFERROR(__xludf.DUMMYFUNCTION("""COMPUTED_VALUE"""),0.7142857142857143)</f>
        <v>0.7142857143</v>
      </c>
      <c r="H145" s="9"/>
      <c r="I145" s="9"/>
      <c r="J145" s="11">
        <f>IFERROR(__xludf.DUMMYFUNCTION("""COMPUTED_VALUE"""),5.0)</f>
        <v>5</v>
      </c>
      <c r="K145" s="9"/>
      <c r="L145" s="9"/>
      <c r="M145" s="9"/>
      <c r="N145" s="10">
        <f>IFERROR(__xludf.DUMMYFUNCTION("""COMPUTED_VALUE"""),0.2)</f>
        <v>0.2</v>
      </c>
      <c r="O145" s="9"/>
      <c r="P145" s="9"/>
      <c r="Q145" s="11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1">
        <f>IFERROR(__xludf.DUMMYFUNCTION("""COMPUTED_VALUE"""),8.0)</f>
        <v>8</v>
      </c>
      <c r="D146" s="9"/>
      <c r="E146" s="9"/>
      <c r="F146" s="9"/>
      <c r="G146" s="10">
        <f>IFERROR(__xludf.DUMMYFUNCTION("""COMPUTED_VALUE"""),0.25)</f>
        <v>0.25</v>
      </c>
      <c r="H146" s="9"/>
      <c r="I146" s="9"/>
      <c r="J146" s="11">
        <f>IFERROR(__xludf.DUMMYFUNCTION("""COMPUTED_VALUE"""),2.0)</f>
        <v>2</v>
      </c>
      <c r="K146" s="9"/>
      <c r="L146" s="9"/>
      <c r="M146" s="9"/>
      <c r="N146" s="10">
        <f>IFERROR(__xludf.DUMMYFUNCTION("""COMPUTED_VALUE"""),0.0)</f>
        <v>0</v>
      </c>
      <c r="O146" s="9"/>
      <c r="P146" s="9"/>
      <c r="Q146" s="11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IFERROR(__xludf.DUMMYFUNCTION("""COMPUTED_VALUE"""),750.0)</f>
        <v>750</v>
      </c>
      <c r="C233" s="34">
        <f>IFERROR(__xludf.DUMMYFUNCTION("""COMPUTED_VALUE"""),623.0)</f>
        <v>623</v>
      </c>
      <c r="D233" s="34">
        <f>IFERROR(__xludf.DUMMYFUNCTION("""COMPUTED_VALUE"""),168.0)</f>
        <v>168</v>
      </c>
      <c r="E233" s="34">
        <f>IFERROR(__xludf.DUMMYFUNCTION("""COMPUTED_VALUE"""),411.29032258064495)</f>
        <v>411.2903226</v>
      </c>
      <c r="F233" s="34">
        <f>IFERROR(__xludf.DUMMYFUNCTION("""COMPUTED_VALUE"""),341.6451612903224)</f>
        <v>341.6451613</v>
      </c>
      <c r="G233" s="34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IFERROR(__xludf.DUMMYFUNCTION("""COMPUTED_VALUE"""),31.0)</f>
        <v>31</v>
      </c>
      <c r="C234" s="34">
        <f>IFERROR(__xludf.DUMMYFUNCTION("""COMPUTED_VALUE"""),31.0)</f>
        <v>31</v>
      </c>
      <c r="D234" s="34">
        <f>IFERROR(__xludf.DUMMYFUNCTION("""COMPUTED_VALUE"""),11.0)</f>
        <v>11</v>
      </c>
      <c r="E234" s="34">
        <f>IFERROR(__xludf.DUMMYFUNCTION("""COMPUTED_VALUE"""),16.999999999999993)</f>
        <v>17</v>
      </c>
      <c r="F234" s="34">
        <f>IFERROR(__xludf.DUMMYFUNCTION("""COMPUTED_VALUE"""),16.999999999999993)</f>
        <v>17</v>
      </c>
      <c r="G234" s="34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IFERROR(__xludf.DUMMYFUNCTION("""COMPUTED_VALUE"""),1975.0)</f>
        <v>1975</v>
      </c>
      <c r="C235" s="34">
        <f>IFERROR(__xludf.DUMMYFUNCTION("""COMPUTED_VALUE"""),1514.0)</f>
        <v>1514</v>
      </c>
      <c r="D235" s="34">
        <f>IFERROR(__xludf.DUMMYFUNCTION("""COMPUTED_VALUE"""),529.0)</f>
        <v>529</v>
      </c>
      <c r="E235" s="34">
        <f>IFERROR(__xludf.DUMMYFUNCTION("""COMPUTED_VALUE"""),1083.0645161290317)</f>
        <v>1083.064516</v>
      </c>
      <c r="F235" s="34">
        <f>IFERROR(__xludf.DUMMYFUNCTION("""COMPUTED_VALUE"""),830.2580645161287)</f>
        <v>830.2580645</v>
      </c>
      <c r="G235" s="34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IFERROR(__xludf.DUMMYFUNCTION("""COMPUTED_VALUE"""),1237.0)</f>
        <v>1237</v>
      </c>
      <c r="C236" s="34">
        <f>IFERROR(__xludf.DUMMYFUNCTION("""COMPUTED_VALUE"""),970.0)</f>
        <v>970</v>
      </c>
      <c r="D236" s="34">
        <f>IFERROR(__xludf.DUMMYFUNCTION("""COMPUTED_VALUE"""),344.0)</f>
        <v>344</v>
      </c>
      <c r="E236" s="34">
        <f>IFERROR(__xludf.DUMMYFUNCTION("""COMPUTED_VALUE"""),678.3548387096771)</f>
        <v>678.3548387</v>
      </c>
      <c r="F236" s="34">
        <f>IFERROR(__xludf.DUMMYFUNCTION("""COMPUTED_VALUE"""),531.9354838709675)</f>
        <v>531.9354839</v>
      </c>
      <c r="G236" s="34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IFERROR(__xludf.DUMMYFUNCTION("""COMPUTED_VALUE"""),362.0)</f>
        <v>362</v>
      </c>
      <c r="C237" s="34">
        <f>IFERROR(__xludf.DUMMYFUNCTION("""COMPUTED_VALUE"""),276.0)</f>
        <v>276</v>
      </c>
      <c r="D237" s="34">
        <f>IFERROR(__xludf.DUMMYFUNCTION("""COMPUTED_VALUE"""),85.0)</f>
        <v>85</v>
      </c>
      <c r="E237" s="34">
        <f>IFERROR(__xludf.DUMMYFUNCTION("""COMPUTED_VALUE"""),198.51612903225796)</f>
        <v>198.516129</v>
      </c>
      <c r="F237" s="34">
        <f>IFERROR(__xludf.DUMMYFUNCTION("""COMPUTED_VALUE"""),151.35483870967735)</f>
        <v>151.3548387</v>
      </c>
      <c r="G237" s="34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IFERROR(__xludf.DUMMYFUNCTION("""COMPUTED_VALUE"""),280.0)</f>
        <v>280</v>
      </c>
      <c r="C238" s="34">
        <f>IFERROR(__xludf.DUMMYFUNCTION("""COMPUTED_VALUE"""),205.0)</f>
        <v>205</v>
      </c>
      <c r="D238" s="34">
        <f>IFERROR(__xludf.DUMMYFUNCTION("""COMPUTED_VALUE"""),80.0)</f>
        <v>80</v>
      </c>
      <c r="E238" s="34">
        <f>IFERROR(__xludf.DUMMYFUNCTION("""COMPUTED_VALUE"""),153.54838709677412)</f>
        <v>153.5483871</v>
      </c>
      <c r="F238" s="34">
        <f>IFERROR(__xludf.DUMMYFUNCTION("""COMPUTED_VALUE"""),112.41935483870962)</f>
        <v>112.4193548</v>
      </c>
      <c r="G238" s="34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1">
        <f>IFERROR(__xludf.DUMMYFUNCTION("""COMPUTED_VALUE"""),96.0)</f>
        <v>96</v>
      </c>
      <c r="C239" s="34">
        <f>IFERROR(__xludf.DUMMYFUNCTION("""COMPUTED_VALUE"""),63.0)</f>
        <v>63</v>
      </c>
      <c r="D239" s="34">
        <f>IFERROR(__xludf.DUMMYFUNCTION("""COMPUTED_VALUE"""),20.0)</f>
        <v>20</v>
      </c>
      <c r="E239" s="34">
        <f>IFERROR(__xludf.DUMMYFUNCTION("""COMPUTED_VALUE"""),52.645161290322555)</f>
        <v>52.64516129</v>
      </c>
      <c r="F239" s="34">
        <f>IFERROR(__xludf.DUMMYFUNCTION("""COMPUTED_VALUE"""),34.54838709677418)</f>
        <v>34.5483871</v>
      </c>
      <c r="G239" s="34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1">
        <f>IFERROR(__xludf.DUMMYFUNCTION("""COMPUTED_VALUE"""),2456.0)</f>
        <v>2456</v>
      </c>
      <c r="C240" s="34">
        <f>IFERROR(__xludf.DUMMYFUNCTION("""COMPUTED_VALUE"""),1647.0)</f>
        <v>1647</v>
      </c>
      <c r="D240" s="34">
        <f>IFERROR(__xludf.DUMMYFUNCTION("""COMPUTED_VALUE"""),564.0)</f>
        <v>564</v>
      </c>
      <c r="E240" s="34">
        <f>IFERROR(__xludf.DUMMYFUNCTION("""COMPUTED_VALUE"""),1346.8387096774186)</f>
        <v>1346.83871</v>
      </c>
      <c r="F240" s="34">
        <f>IFERROR(__xludf.DUMMYFUNCTION("""COMPUTED_VALUE"""),903.1935483870964)</f>
        <v>903.1935484</v>
      </c>
      <c r="G240" s="34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1">
        <f>IFERROR(__xludf.DUMMYFUNCTION("""COMPUTED_VALUE"""),371.0)</f>
        <v>371</v>
      </c>
      <c r="C241" s="34">
        <f>IFERROR(__xludf.DUMMYFUNCTION("""COMPUTED_VALUE"""),299.0)</f>
        <v>299</v>
      </c>
      <c r="D241" s="34">
        <f>IFERROR(__xludf.DUMMYFUNCTION("""COMPUTED_VALUE"""),102.0)</f>
        <v>102</v>
      </c>
      <c r="E241" s="34">
        <f>IFERROR(__xludf.DUMMYFUNCTION("""COMPUTED_VALUE"""),203.4516129032257)</f>
        <v>203.4516129</v>
      </c>
      <c r="F241" s="34">
        <f>IFERROR(__xludf.DUMMYFUNCTION("""COMPUTED_VALUE"""),163.9677419354838)</f>
        <v>163.9677419</v>
      </c>
      <c r="G241" s="34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1">
        <f>IFERROR(__xludf.DUMMYFUNCTION("""COMPUTED_VALUE"""),360.0)</f>
        <v>360</v>
      </c>
      <c r="C242" s="34">
        <f>IFERROR(__xludf.DUMMYFUNCTION("""COMPUTED_VALUE"""),254.0)</f>
        <v>254</v>
      </c>
      <c r="D242" s="34">
        <f>IFERROR(__xludf.DUMMYFUNCTION("""COMPUTED_VALUE"""),58.0)</f>
        <v>58</v>
      </c>
      <c r="E242" s="34">
        <f>IFERROR(__xludf.DUMMYFUNCTION("""COMPUTED_VALUE"""),197.41935483870958)</f>
        <v>197.4193548</v>
      </c>
      <c r="F242" s="34">
        <f>IFERROR(__xludf.DUMMYFUNCTION("""COMPUTED_VALUE"""),139.2903225806451)</f>
        <v>139.2903226</v>
      </c>
      <c r="G242" s="34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1">
        <f>IFERROR(__xludf.DUMMYFUNCTION("""COMPUTED_VALUE"""),221.0)</f>
        <v>221</v>
      </c>
      <c r="C243" s="34">
        <f>IFERROR(__xludf.DUMMYFUNCTION("""COMPUTED_VALUE"""),118.0)</f>
        <v>118</v>
      </c>
      <c r="D243" s="34">
        <f>IFERROR(__xludf.DUMMYFUNCTION("""COMPUTED_VALUE"""),36.0)</f>
        <v>36</v>
      </c>
      <c r="E243" s="34">
        <f>IFERROR(__xludf.DUMMYFUNCTION("""COMPUTED_VALUE"""),121.19354838709671)</f>
        <v>121.1935484</v>
      </c>
      <c r="F243" s="34">
        <f>IFERROR(__xludf.DUMMYFUNCTION("""COMPUTED_VALUE"""),64.7096774193548)</f>
        <v>64.70967742</v>
      </c>
      <c r="G243" s="34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1">
        <f>IFERROR(__xludf.DUMMYFUNCTION("""COMPUTED_VALUE"""),1440.0)</f>
        <v>1440</v>
      </c>
      <c r="C244" s="34">
        <f>IFERROR(__xludf.DUMMYFUNCTION("""COMPUTED_VALUE"""),934.0)</f>
        <v>934</v>
      </c>
      <c r="D244" s="34">
        <f>IFERROR(__xludf.DUMMYFUNCTION("""COMPUTED_VALUE"""),355.0)</f>
        <v>355</v>
      </c>
      <c r="E244" s="34">
        <f>IFERROR(__xludf.DUMMYFUNCTION("""COMPUTED_VALUE"""),789.6774193548383)</f>
        <v>789.6774194</v>
      </c>
      <c r="F244" s="34">
        <f>IFERROR(__xludf.DUMMYFUNCTION("""COMPUTED_VALUE"""),512.1935483870965)</f>
        <v>512.1935484</v>
      </c>
      <c r="G244" s="34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1">
        <f>IFERROR(__xludf.DUMMYFUNCTION("""COMPUTED_VALUE"""),64.0)</f>
        <v>64</v>
      </c>
      <c r="C245" s="34">
        <f>IFERROR(__xludf.DUMMYFUNCTION("""COMPUTED_VALUE"""),42.0)</f>
        <v>42</v>
      </c>
      <c r="D245" s="34">
        <f>IFERROR(__xludf.DUMMYFUNCTION("""COMPUTED_VALUE"""),13.0)</f>
        <v>13</v>
      </c>
      <c r="E245" s="34">
        <f>IFERROR(__xludf.DUMMYFUNCTION("""COMPUTED_VALUE"""),35.09677419354837)</f>
        <v>35.09677419</v>
      </c>
      <c r="F245" s="34">
        <f>IFERROR(__xludf.DUMMYFUNCTION("""COMPUTED_VALUE"""),23.032258064516117)</f>
        <v>23.03225806</v>
      </c>
      <c r="G245" s="34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