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<sst xmlns="http://schemas.openxmlformats.org/spreadsheetml/2006/main" count="682" uniqueCount="394">
  <si>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</si>
  <si>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</si>
  <si>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</si>
  <si>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</si>
  <si>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</si>
  <si>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</si>
  <si>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</si>
  <si>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</si>
  <si>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</si>
  <si>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</si>
  <si>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</si>
  <si>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</si>
  <si>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</si>
  <si>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</si>
  <si>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</si>
  <si>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</si>
  <si>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</si>
  <si>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</si>
  <si>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</si>
  <si>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</si>
  <si>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</si>
  <si>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</si>
  <si>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</si>
  <si>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</si>
  <si>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</si>
  <si>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</si>
  <si>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</si>
  <si>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</si>
  <si>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</si>
  <si>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</si>
  <si>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</si>
  <si>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</si>
  <si>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</si>
  <si>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</si>
  <si>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</si>
  <si>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</si>
  <si>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</si>
  <si>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</si>
  <si>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</si>
  <si>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</si>
  <si>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</si>
  <si>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</si>
  <si>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</si>
  <si>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</si>
  <si>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</si>
  <si>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</si>
  <si>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</si>
  <si>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</si>
  <si>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</si>
  <si>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</si>
  <si>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</si>
  <si>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</si>
  <si>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</si>
  <si>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</si>
  <si>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</si>
  <si>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</si>
  <si>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</si>
  <si>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</si>
  <si>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</si>
  <si>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</si>
  <si>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</si>
  <si>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</si>
  <si>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</si>
  <si>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</si>
  <si>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</si>
  <si>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</si>
  <si>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</si>
  <si>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</si>
  <si>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</si>
  <si>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</si>
  <si>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</si>
  <si>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</si>
  <si>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</si>
  <si>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</si>
  <si>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</si>
  <si>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</si>
  <si>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</si>
  <si>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</si>
  <si>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</si>
  <si>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</si>
  <si>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</si>
  <si>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</si>
  <si>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</si>
  <si>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</si>
  <si>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</si>
  <si>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</si>
  <si>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</si>
  <si>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</si>
  <si>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</si>
  <si>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</si>
  <si>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</si>
  <si>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</si>
  <si>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</si>
  <si>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</si>
  <si>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</si>
  <si>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</si>
  <si>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</si>
  <si>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Mari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</si>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</sst>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IFERROR(__xludf.DUMMYFUNCTION("""COMPUTED_VALUE"""),6358974.047973633)</f>
        <v>6358974.048</v>
      </c>
      <c r="C2" s="3">
        <f>B2-A2</f>
        <v>-1541125.153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IFERROR(__xludf.DUMMYFUNCTION("""COMPUTED_VALUE"""),-0.8454040575767878)</f>
        <v>-0.8454040576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IFERROR(__xludf.DUMMYFUNCTION("""COMPUTED_VALUE"""),-0.8623351779736285)</f>
        <v>-0.862335178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"),"[ON] Chat")</f>
        <v>[ON] Chat</v>
      </c>
      <c r="M2" s="6">
        <f>IFERROR(__xludf.DUMMYFUNCTION("""COMPUTED_VALUE"""),-23.561538461538458)</f>
        <v>-23.56153846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"),0.3157894736842105)</f>
        <v>0.3157894737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IFERROR(__xludf.DUMMYFUNCTION("""COMPUTED_VALUE"""),-0.8210848468909788)</f>
        <v>-0.8210848469</v>
      </c>
      <c r="AC2" s="3">
        <f>IFERROR(__xludf.DUMMYFUNCTION("""COMPUTED_VALUE"""),-1951.7555178268249)</f>
        <v>-1951.755518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IFERROR(__xludf.DUMMYFUNCTION("""COMPUTED_VALUE"""),4.630142071437746)</f>
        <v>4.630142071</v>
      </c>
      <c r="AF2" s="3">
        <f>IFERROR(__xludf.DUMMYFUNCTION("""COMPUTED_VALUE"""),24332.464285714286)</f>
        <v>24332.46429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Comercial!AE2"")"),2.312611397474293E7)</f>
        <v>23126113.97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IFERROR(__xludf.DUMMYFUNCTION("""COMPUTED_VALUE"""),-0.8139255702280912)</f>
        <v>-0.8139255702</v>
      </c>
      <c r="H3" s="4" t="str">
        <f>IFERROR(__xludf.DUMMYFUNCTION("""COMPUTED_VALUE"""),"[SKL] Outros")</f>
        <v>[SKL] Outros</v>
      </c>
      <c r="I3" s="5">
        <f>IFERROR(__xludf.DUMMYFUNCTION("""COMPUTED_VALUE"""),-0.7153823593170195)</f>
        <v>-0.7153823593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IFERROR(__xludf.DUMMYFUNCTION("""COMPUTED_VALUE"""),-9.61538461538462)</f>
        <v>-9.615384615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IFERROR(__xludf.DUMMYFUNCTION("""COMPUTED_VALUE"""),"[IM] Form G4 Facebook Ads - K")</f>
        <v>[IM] Form G4 Facebook Ads - K</v>
      </c>
      <c r="O3" s="5">
        <f>IFERROR(__xludf.DUMMYFUNCTION("""COMPUTED_VALUE"""),-0.7747483903958348)</f>
        <v>-0.7747483904</v>
      </c>
      <c r="P3" s="3">
        <f>IFERROR(__xludf.DUMMYFUNCTION("""COMPUTED_VALUE"""),-11110.666666666666)</f>
        <v>-11110.66667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Chat")</f>
        <v>[IM] Chat</v>
      </c>
      <c r="AE3" s="5">
        <f>IFERROR(__xludf.DUMMYFUNCTION("""COMPUTED_VALUE"""),1.006131463439425)</f>
        <v>1.006131463</v>
      </c>
      <c r="AF3" s="3">
        <f>IFERROR(__xludf.DUMMYFUNCTION("""COMPUTED_VALUE"""),2628.263861387275)</f>
        <v>2628.263861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IFERROR(__xludf.DUMMYFUNCTION("""COMPUTED_VALUE"""),-0.7261282485459765)</f>
        <v>-0.7261282485</v>
      </c>
      <c r="H4" s="4" t="str">
        <f>IFERROR(__xludf.DUMMYFUNCTION("""COMPUTED_VALUE"""),"[SKL] CRM - Email")</f>
        <v>[SKL] CRM - Email</v>
      </c>
      <c r="I4" s="5">
        <f>IFERROR(__xludf.DUMMYFUNCTION("""COMPUTED_VALUE"""),-0.6857428633217991)</f>
        <v>-0.6857428633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IFERROR(__xludf.DUMMYFUNCTION("""COMPUTED_VALUE"""),-8.850000000000001)</f>
        <v>-8.85</v>
      </c>
      <c r="L4" s="4" t="str">
        <f>IFERROR(__xludf.DUMMYFUNCTION("""COMPUTED_VALUE"""),"[ON] Outros")</f>
        <v>[ON] Outros</v>
      </c>
      <c r="M4" s="6">
        <f>IFERROR(__xludf.DUMMYFUNCTION("""COMPUTED_VALUE"""),-20.91942148760331)</f>
        <v>-20.91942149</v>
      </c>
      <c r="N4" s="4" t="str">
        <f>IFERROR(__xludf.DUMMYFUNCTION("""COMPUTED_VALUE"""),"[SKL] Social")</f>
        <v>[SKL] Social</v>
      </c>
      <c r="O4" s="5">
        <f>IFERROR(__xludf.DUMMYFUNCTION("""COMPUTED_VALUE"""),-0.7324411764705883)</f>
        <v>-0.7324411765</v>
      </c>
      <c r="P4" s="3">
        <f>IFERROR(__xludf.DUMMYFUNCTION("""COMPUTED_VALUE"""),-12451.5)</f>
        <v>-12451.5</v>
      </c>
      <c r="S4" s="4"/>
      <c r="T4" s="4"/>
      <c r="AA4" s="4" t="str">
        <f>IFERROR(__xludf.DUMMYFUNCTION("""COMPUTED_VALUE"""),"[SKL] Midia Paga - Quente")</f>
        <v>[SKL] Midia Paga - Quente</v>
      </c>
      <c r="AB4" s="5">
        <f>IFERROR(__xludf.DUMMYFUNCTION("""COMPUTED_VALUE"""),-0.735568615576167)</f>
        <v>-0.7355686156</v>
      </c>
      <c r="AC4" s="3">
        <f>IFERROR(__xludf.DUMMYFUNCTION("""COMPUTED_VALUE"""),-2615.667741935484)</f>
        <v>-2615.667742</v>
      </c>
      <c r="AD4" s="4" t="str">
        <f>IFERROR(__xludf.DUMMYFUNCTION("""COMPUTED_VALUE"""),"[IM] Link de Indicação")</f>
        <v>[IM] Link de Indicação</v>
      </c>
      <c r="AE4" s="5">
        <f>IFERROR(__xludf.DUMMYFUNCTION("""COMPUTED_VALUE"""),0.8814597855634381)</f>
        <v>0.8814597856</v>
      </c>
      <c r="AF4" s="3">
        <f>IFERROR(__xludf.DUMMYFUNCTION("""COMPUTED_VALUE"""),2062.736347826087)</f>
        <v>2062.736348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IFERROR(__xludf.DUMMYFUNCTION("""COMPUTED_VALUE"""),-0.6779786083231245)</f>
        <v>-0.6779786083</v>
      </c>
      <c r="H5" s="4" t="str">
        <f>IFERROR(__xludf.DUMMYFUNCTION("""COMPUTED_VALUE"""),"Aplicativo G4 - Indicação")</f>
        <v>Aplicativo G4 - Indicação</v>
      </c>
      <c r="I5" s="5">
        <f>IFERROR(__xludf.DUMMYFUNCTION("""COMPUTED_VALUE"""),-0.6498023077543773)</f>
        <v>-0.6498023078</v>
      </c>
      <c r="J5" s="4" t="str">
        <f>IFERROR(__xludf.DUMMYFUNCTION("""COMPUTED_VALUE"""),"[ON] Abandono de carrinho")</f>
        <v>[ON] Abandono de carrinho</v>
      </c>
      <c r="K5" s="6">
        <f>IFERROR(__xludf.DUMMYFUNCTION("""COMPUTED_VALUE"""),-8.256521739130434)</f>
        <v>-8.256521739</v>
      </c>
      <c r="L5" s="4" t="str">
        <f>IFERROR(__xludf.DUMMYFUNCTION("""COMPUTED_VALUE"""),"[CM] Form G4 - Instagram")</f>
        <v>[CM] Form G4 - Instagram</v>
      </c>
      <c r="M5" s="6">
        <f>IFERROR(__xludf.DUMMYFUNCTION("""COMPUTED_VALUE"""),-17.85714285714286)</f>
        <v>-17.85714286</v>
      </c>
      <c r="N5" s="4" t="str">
        <f>IFERROR(__xludf.DUMMYFUNCTION("""COMPUTED_VALUE"""),"[IM] Outros")</f>
        <v>[IM] Outros</v>
      </c>
      <c r="O5" s="5">
        <f>IFERROR(__xludf.DUMMYFUNCTION("""COMPUTED_VALUE"""),-0.4781749128557307)</f>
        <v>-0.4781749129</v>
      </c>
      <c r="P5" s="3">
        <f>IFERROR(__xludf.DUMMYFUNCTION("""COMPUTED_VALUE"""),-9191.0)</f>
        <v>-9191</v>
      </c>
      <c r="S5" s="4"/>
      <c r="T5" s="4"/>
      <c r="AA5" s="4" t="str">
        <f>IFERROR(__xludf.DUMMYFUNCTION("""COMPUTED_VALUE"""),"[SKL] CRM - WhatsApp")</f>
        <v>[SKL] CRM - WhatsApp</v>
      </c>
      <c r="AB5" s="5">
        <f>IFERROR(__xludf.DUMMYFUNCTION("""COMPUTED_VALUE"""),-0.7175481225456248)</f>
        <v>-0.7175481225</v>
      </c>
      <c r="AC5" s="3">
        <f>IFERROR(__xludf.DUMMYFUNCTION("""COMPUTED_VALUE"""),-1650.5744680851062)</f>
        <v>-1650.574468</v>
      </c>
      <c r="AD5" s="4" t="str">
        <f>IFERROR(__xludf.DUMMYFUNCTION("""COMPUTED_VALUE"""),"Aplicativo G4 - Indicação")</f>
        <v>Aplicativo G4 - Indicação</v>
      </c>
      <c r="AE5" s="5">
        <f>IFERROR(__xludf.DUMMYFUNCTION("""COMPUTED_VALUE"""),0.7032508591122464)</f>
        <v>0.7032508591</v>
      </c>
      <c r="AF5" s="3">
        <f>IFERROR(__xludf.DUMMYFUNCTION("""COMPUTED_VALUE"""),1369.5804195804194)</f>
        <v>1369.58042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IFERROR(__xludf.DUMMYFUNCTION("""COMPUTED_VALUE"""),-0.6580882352941175)</f>
        <v>-0.6580882353</v>
      </c>
      <c r="H6" s="4" t="str">
        <f>IFERROR(__xludf.DUMMYFUNCTION("""COMPUTED_VALUE"""),"[SKL] Social")</f>
        <v>[SKL] Social</v>
      </c>
      <c r="I6" s="5">
        <f>IFERROR(__xludf.DUMMYFUNCTION("""COMPUTED_VALUE"""),-0.6386440518699491)</f>
        <v>-0.6386440519</v>
      </c>
      <c r="J6" s="4" t="str">
        <f>IFERROR(__xludf.DUMMYFUNCTION("""COMPUTED_VALUE"""),"[IM] Form Facebook Ads")</f>
        <v>[IM] Form Facebook Ads</v>
      </c>
      <c r="K6" s="6">
        <f>IFERROR(__xludf.DUMMYFUNCTION("""COMPUTED_VALUE"""),-7.566084788029926)</f>
        <v>-7.566084788</v>
      </c>
      <c r="L6" s="4" t="str">
        <f>IFERROR(__xludf.DUMMYFUNCTION("""COMPUTED_VALUE"""),"Indicação - Outros")</f>
        <v>Indicação - Outros</v>
      </c>
      <c r="M6" s="6">
        <f>IFERROR(__xludf.DUMMYFUNCTION("""COMPUTED_VALUE"""),-13.636363636363647)</f>
        <v>-13.63636364</v>
      </c>
      <c r="N6" s="4" t="str">
        <f>IFERROR(__xludf.DUMMYFUNCTION("""COMPUTED_VALUE"""),"[SKL] Midia Paga - Quente")</f>
        <v>[SKL] Midia Paga - Quente</v>
      </c>
      <c r="O6" s="5">
        <f>IFERROR(__xludf.DUMMYFUNCTION("""COMPUTED_VALUE"""),-0.36746089708477875)</f>
        <v>-0.3674608971</v>
      </c>
      <c r="P6" s="3">
        <f>IFERROR(__xludf.DUMMYFUNCTION("""COMPUTED_VALUE"""),-6037.75)</f>
        <v>-6037.75</v>
      </c>
      <c r="Q6" s="7"/>
      <c r="S6" s="4"/>
      <c r="T6" s="4"/>
      <c r="AA6" s="4" t="str">
        <f>IFERROR(__xludf.DUMMYFUNCTION("""COMPUTED_VALUE"""),"[SKL] Social")</f>
        <v>[SKL] Social</v>
      </c>
      <c r="AB6" s="5">
        <f>IFERROR(__xludf.DUMMYFUNCTION("""COMPUTED_VALUE"""),-0.6351984014918409)</f>
        <v>-0.6351984015</v>
      </c>
      <c r="AC6" s="3">
        <f>IFERROR(__xludf.DUMMYFUNCTION("""COMPUTED_VALUE"""),-1451.2394801980197)</f>
        <v>-1451.23948</v>
      </c>
      <c r="AD6" s="4" t="str">
        <f>IFERROR(__xludf.DUMMYFUNCTION("""COMPUTED_VALUE"""),"Form G4 Outros - Orgânico")</f>
        <v>Form G4 Outros - Orgânico</v>
      </c>
      <c r="AE6" s="5">
        <f>IFERROR(__xludf.DUMMYFUNCTION("""COMPUTED_VALUE"""),0.41235133766210796)</f>
        <v>0.4123513377</v>
      </c>
      <c r="AF6" s="3">
        <f>IFERROR(__xludf.DUMMYFUNCTION("""COMPUTED_VALUE"""),483.777729986391)</f>
        <v>483.77773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IFERROR(__xludf.DUMMYFUNCTION("""COMPUTED_VALUE"""),"Form G4 Instagram Outros")</f>
        <v>Form G4 Instagram Outros</v>
      </c>
      <c r="G7" s="5">
        <f>IFERROR(__xludf.DUMMYFUNCTION("""COMPUTED_VALUE"""),-0.4746498599439773)</f>
        <v>-0.4746498599</v>
      </c>
      <c r="H7" s="4" t="str">
        <f>IFERROR(__xludf.DUMMYFUNCTION("""COMPUTED_VALUE"""),"Indicação - Outros")</f>
        <v>Indicação - Outros</v>
      </c>
      <c r="I7" s="5">
        <f>IFERROR(__xludf.DUMMYFUNCTION("""COMPUTED_VALUE"""),-0.4768991934123043)</f>
        <v>-0.4768991934</v>
      </c>
      <c r="J7" s="4" t="str">
        <f>IFERROR(__xludf.DUMMYFUNCTION("""COMPUTED_VALUE"""),"[IM] Chat")</f>
        <v>[IM] Chat</v>
      </c>
      <c r="K7" s="6">
        <f>IFERROR(__xludf.DUMMYFUNCTION("""COMPUTED_VALUE"""),-5.874363327674023)</f>
        <v>-5.874363328</v>
      </c>
      <c r="L7" s="4" t="str">
        <f>IFERROR(__xludf.DUMMYFUNCTION("""COMPUTED_VALUE"""),"[SKL] Midia Paga - Quente")</f>
        <v>[SKL] Midia Paga - Quente</v>
      </c>
      <c r="M7" s="6">
        <f>IFERROR(__xludf.DUMMYFUNCTION("""COMPUTED_VALUE"""),-13.548387096774196)</f>
        <v>-13.5483871</v>
      </c>
      <c r="N7" s="4" t="str">
        <f>IFERROR(__xludf.DUMMYFUNCTION("""COMPUTED_VALUE"""),"[SKL] Site")</f>
        <v>[SKL] Site</v>
      </c>
      <c r="O7" s="5">
        <f>IFERROR(__xludf.DUMMYFUNCTION("""COMPUTED_VALUE"""),-0.3590714896041014)</f>
        <v>-0.3590714896</v>
      </c>
      <c r="P7" s="3">
        <f>IFERROR(__xludf.DUMMYFUNCTION("""COMPUTED_VALUE"""),-6303.5)</f>
        <v>-6303.5</v>
      </c>
      <c r="S7" s="4"/>
      <c r="T7" s="4"/>
      <c r="AA7" s="4" t="str">
        <f>IFERROR(__xludf.DUMMYFUNCTION("""COMPUTED_VALUE"""),"Form G4 Outros - Não Orgânico")</f>
        <v>Form G4 Outros - Não Orgânico</v>
      </c>
      <c r="AB7" s="5">
        <f>IFERROR(__xludf.DUMMYFUNCTION("""COMPUTED_VALUE"""),-0.6252749885597209)</f>
        <v>-0.6252749886</v>
      </c>
      <c r="AC7" s="3">
        <f>IFERROR(__xludf.DUMMYFUNCTION("""COMPUTED_VALUE"""),-3589.2571428571428)</f>
        <v>-3589.257143</v>
      </c>
      <c r="AD7" s="4" t="str">
        <f>IFERROR(__xludf.DUMMYFUNCTION("""COMPUTED_VALUE"""),"Form G4 - K Outros")</f>
        <v>Form G4 - K Outros</v>
      </c>
      <c r="AE7" s="5">
        <f>IFERROR(__xludf.DUMMYFUNCTION("""COMPUTED_VALUE"""),0.37760536253984434)</f>
        <v>0.3776053625</v>
      </c>
      <c r="AF7" s="3">
        <f>IFERROR(__xludf.DUMMYFUNCTION("""COMPUTED_VALUE"""),100.76243902439069)</f>
        <v>100.762439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IFERROR(__xludf.DUMMYFUNCTION("""COMPUTED_VALUE"""),"Indicação - Outros")</f>
        <v>Indicação - Outros</v>
      </c>
      <c r="G8" s="5">
        <f>IFERROR(__xludf.DUMMYFUNCTION("""COMPUTED_VALUE"""),-0.4507441530829196)</f>
        <v>-0.4507441531</v>
      </c>
      <c r="H8" s="4" t="str">
        <f>IFERROR(__xludf.DUMMYFUNCTION("""COMPUTED_VALUE"""),"Form G4 Instagram Outros")</f>
        <v>Form G4 Instagram Outros</v>
      </c>
      <c r="I8" s="5">
        <f>IFERROR(__xludf.DUMMYFUNCTION("""COMPUTED_VALUE"""),-0.4532627865961198)</f>
        <v>-0.4532627866</v>
      </c>
      <c r="J8" s="4" t="str">
        <f>IFERROR(__xludf.DUMMYFUNCTION("""COMPUTED_VALUE"""),"[IM] Form G4 Facebook Ads - K")</f>
        <v>[IM] Form G4 Facebook Ads - K</v>
      </c>
      <c r="K8" s="6">
        <f>IFERROR(__xludf.DUMMYFUNCTION("""COMPUTED_VALUE"""),-5.419866201279816)</f>
        <v>-5.419866201</v>
      </c>
      <c r="L8" s="4" t="str">
        <f>IFERROR(__xludf.DUMMYFUNCTION("""COMPUTED_VALUE"""),"Form G4 Google")</f>
        <v>Form G4 Google</v>
      </c>
      <c r="M8" s="6">
        <f>IFERROR(__xludf.DUMMYFUNCTION("""COMPUTED_VALUE"""),-12.476190476190476)</f>
        <v>-12.47619048</v>
      </c>
      <c r="N8" s="4" t="str">
        <f>IFERROR(__xludf.DUMMYFUNCTION("""COMPUTED_VALUE"""),"[ON] Abandono de carrinho")</f>
        <v>[ON] Abandono de carrinho</v>
      </c>
      <c r="O8" s="5">
        <f>IFERROR(__xludf.DUMMYFUNCTION("""COMPUTED_VALUE"""),-0.34860062176509665)</f>
        <v>-0.3486006218</v>
      </c>
      <c r="P8" s="3">
        <f>IFERROR(__xludf.DUMMYFUNCTION("""COMPUTED_VALUE"""),-1061.8374938964844)</f>
        <v>-1061.837494</v>
      </c>
      <c r="Q8" s="4"/>
      <c r="S8" s="4"/>
      <c r="T8" s="4"/>
      <c r="AA8" s="4" t="str">
        <f>IFERROR(__xludf.DUMMYFUNCTION("""COMPUTED_VALUE"""),"Form G4 - K Instagram")</f>
        <v>Form G4 - K Instagram</v>
      </c>
      <c r="AB8" s="5">
        <f>IFERROR(__xludf.DUMMYFUNCTION("""COMPUTED_VALUE"""),-0.6122966502009406)</f>
        <v>-0.6122966502</v>
      </c>
      <c r="AC8" s="3">
        <f>IFERROR(__xludf.DUMMYFUNCTION("""COMPUTED_VALUE"""),-754.297619047619)</f>
        <v>-754.297619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Outros - Não Orgânico")</f>
        <v>Form G4 Outros - Não Orgânico</v>
      </c>
      <c r="G9" s="5">
        <f>IFERROR(__xludf.DUMMYFUNCTION("""COMPUTED_VALUE"""),-0.41721385172874126)</f>
        <v>-0.4172138517</v>
      </c>
      <c r="H9" s="4" t="str">
        <f>IFERROR(__xludf.DUMMYFUNCTION("""COMPUTED_VALUE"""),"Form G4 Outros - Não Orgânico")</f>
        <v>Form G4 Outros - Não Orgânico</v>
      </c>
      <c r="I9" s="5">
        <f>IFERROR(__xludf.DUMMYFUNCTION("""COMPUTED_VALUE"""),-0.3870489372219472)</f>
        <v>-0.3870489372</v>
      </c>
      <c r="J9" s="4" t="str">
        <f>IFERROR(__xludf.DUMMYFUNCTION("""COMPUTED_VALUE"""),"Form G4 Instagram G4")</f>
        <v>Form G4 Instagram G4</v>
      </c>
      <c r="K9" s="6">
        <f>IFERROR(__xludf.DUMMYFUNCTION("""COMPUTED_VALUE"""),-5.18007305842863)</f>
        <v>-5.180073058</v>
      </c>
      <c r="L9" s="4" t="str">
        <f>IFERROR(__xludf.DUMMYFUNCTION("""COMPUTED_VALUE"""),"[SKL] CRM - WhatsApp")</f>
        <v>[SKL] CRM - WhatsApp</v>
      </c>
      <c r="M9" s="6">
        <f>IFERROR(__xludf.DUMMYFUNCTION("""COMPUTED_VALUE"""),-11.560283687943262)</f>
        <v>-11.56028369</v>
      </c>
      <c r="N9" s="9" t="str">
        <f>IFERROR(__xludf.DUMMYFUNCTION("""COMPUTED_VALUE"""),"[IM] Social DM")</f>
        <v>[IM] Social DM</v>
      </c>
      <c r="O9" s="5">
        <f>IFERROR(__xludf.DUMMYFUNCTION("""COMPUTED_VALUE"""),-0.30934989114816264)</f>
        <v>-0.3093498911</v>
      </c>
      <c r="P9" s="3">
        <f>IFERROR(__xludf.DUMMYFUNCTION("""COMPUTED_VALUE"""),-12243.44999186198)</f>
        <v>-12243.44999</v>
      </c>
      <c r="S9" s="4"/>
      <c r="T9" s="4"/>
      <c r="AA9" s="4" t="str">
        <f>IFERROR(__xludf.DUMMYFUNCTION("""COMPUTED_VALUE"""),"[IM] Form Facebook Ads")</f>
        <v>[IM] Form Facebook Ads</v>
      </c>
      <c r="AB9" s="5">
        <f>IFERROR(__xludf.DUMMYFUNCTION("""COMPUTED_VALUE"""),-0.4786568542247558)</f>
        <v>-0.4786568542</v>
      </c>
      <c r="AC9" s="3">
        <f>IFERROR(__xludf.DUMMYFUNCTION("""COMPUTED_VALUE"""),-2773.3867924528304)</f>
        <v>-2773.386792</v>
      </c>
      <c r="AD9" s="4" t="str">
        <f>IFERROR(__xludf.DUMMYFUNCTION("""COMPUTED_VALUE"""),"Indicação - Outros")</f>
        <v>Indicação - Outros</v>
      </c>
      <c r="AE9" s="5">
        <f>IFERROR(__xludf.DUMMYFUNCTION("""COMPUTED_VALUE"""),0.24199526207377708)</f>
        <v>0.2419952621</v>
      </c>
      <c r="AF9" s="3">
        <f>IFERROR(__xludf.DUMMYFUNCTION("""COMPUTED_VALUE"""),-731.0909090909117)</f>
        <v>-731.0909091</v>
      </c>
    </row>
    <row r="10">
      <c r="F10" s="4" t="str">
        <f>IFERROR(__xludf.DUMMYFUNCTION("""COMPUTED_VALUE"""),"Form G4 Instagram Tallis")</f>
        <v>Form G4 Instagram Tallis</v>
      </c>
      <c r="G10" s="5">
        <f>IFERROR(__xludf.DUMMYFUNCTION("""COMPUTED_VALUE"""),-0.4119117647058821)</f>
        <v>-0.4119117647</v>
      </c>
      <c r="H10" s="4" t="str">
        <f>IFERROR(__xludf.DUMMYFUNCTION("""COMPUTED_VALUE"""),"Form G4 - K Instagram")</f>
        <v>Form G4 - K Instagram</v>
      </c>
      <c r="I10" s="5">
        <f>IFERROR(__xludf.DUMMYFUNCTION("""COMPUTED_VALUE"""),-0.37382124164406777)</f>
        <v>-0.3738212416</v>
      </c>
      <c r="J10" s="4" t="str">
        <f>IFERROR(__xludf.DUMMYFUNCTION("""COMPUTED_VALUE"""),"[IM] Social DM")</f>
        <v>[IM] Social DM</v>
      </c>
      <c r="K10" s="6">
        <f>IFERROR(__xludf.DUMMYFUNCTION("""COMPUTED_VALUE"""),-5.178571428571427)</f>
        <v>-5.178571429</v>
      </c>
      <c r="L10" s="4" t="str">
        <f>IFERROR(__xludf.DUMMYFUNCTION("""COMPUTED_VALUE"""),"Form G4 - K Instagram")</f>
        <v>Form G4 - K Instagram</v>
      </c>
      <c r="M10" s="6">
        <f>IFERROR(__xludf.DUMMYFUNCTION("""COMPUTED_VALUE"""),-10.714285714285714)</f>
        <v>-10.71428571</v>
      </c>
      <c r="N10" s="9" t="str">
        <f>IFERROR(__xludf.DUMMYFUNCTION("""COMPUTED_VALUE"""),"Form G4 Outros - Não Orgânico")</f>
        <v>Form G4 Outros - Não Orgânico</v>
      </c>
      <c r="O10" s="5">
        <f>IFERROR(__xludf.DUMMYFUNCTION("""COMPUTED_VALUE"""),-0.2564677123650438)</f>
        <v>-0.2564677124</v>
      </c>
      <c r="P10" s="3">
        <f>IFERROR(__xludf.DUMMYFUNCTION("""COMPUTED_VALUE"""),-7554.0)</f>
        <v>-7554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IFERROR(__xludf.DUMMYFUNCTION("""COMPUTED_VALUE"""),-0.45171572142769345)</f>
        <v>-0.4517157214</v>
      </c>
      <c r="AC10" s="3">
        <f>IFERROR(__xludf.DUMMYFUNCTION("""COMPUTED_VALUE"""),-3980.775)</f>
        <v>-3980.775</v>
      </c>
    </row>
    <row r="11">
      <c r="F11" s="4" t="str">
        <f>IFERROR(__xludf.DUMMYFUNCTION("""COMPUTED_VALUE"""),"[ON] Chat")</f>
        <v>[ON] Chat</v>
      </c>
      <c r="G11" s="5">
        <f>IFERROR(__xludf.DUMMYFUNCTION("""COMPUTED_VALUE"""),-0.3799999999999997)</f>
        <v>-0.38</v>
      </c>
      <c r="H11" s="4" t="str">
        <f>IFERROR(__xludf.DUMMYFUNCTION("""COMPUTED_VALUE"""),"Form G4 Instagram Tallis")</f>
        <v>Form G4 Instagram Tallis</v>
      </c>
      <c r="I11" s="5">
        <f>IFERROR(__xludf.DUMMYFUNCTION("""COMPUTED_VALUE"""),-0.3517575322812049)</f>
        <v>-0.3517575323</v>
      </c>
      <c r="J11" s="4" t="str">
        <f>IFERROR(__xludf.DUMMYFUNCTION("""COMPUTED_VALUE"""),"[SKL] Site")</f>
        <v>[SKL] Site</v>
      </c>
      <c r="K11" s="6">
        <f>IFERROR(__xludf.DUMMYFUNCTION("""COMPUTED_VALUE"""),-4.509917942753764)</f>
        <v>-4.509917943</v>
      </c>
      <c r="L11" s="4" t="str">
        <f>IFERROR(__xludf.DUMMYFUNCTION("""COMPUTED_VALUE"""),"Form G4 Instagram Outros")</f>
        <v>Form G4 Instagram Outros</v>
      </c>
      <c r="M11" s="6">
        <f>IFERROR(__xludf.DUMMYFUNCTION("""COMPUTED_VALUE"""),-10.500000000000002)</f>
        <v>-10.5</v>
      </c>
      <c r="N11" s="9" t="str">
        <f>IFERROR(__xludf.DUMMYFUNCTION("""COMPUTED_VALUE"""),"[ON] Time de vendas")</f>
        <v>[ON] Time de vendas</v>
      </c>
      <c r="O11" s="5">
        <f>IFERROR(__xludf.DUMMYFUNCTION("""COMPUTED_VALUE"""),-0.23719250250332954)</f>
        <v>-0.2371925025</v>
      </c>
      <c r="P11" s="3">
        <f>IFERROR(__xludf.DUMMYFUNCTION("""COMPUTED_VALUE"""),-5876.893334196018)</f>
        <v>-5876.893334</v>
      </c>
      <c r="AA11" s="4" t="str">
        <f>IFERROR(__xludf.DUMMYFUNCTION("""COMPUTED_VALUE"""),"[IM] Social DM")</f>
        <v>[IM] Social DM</v>
      </c>
      <c r="AB11" s="5">
        <f>IFERROR(__xludf.DUMMYFUNCTION("""COMPUTED_VALUE"""),-0.3583899008703655)</f>
        <v>-0.3583899009</v>
      </c>
      <c r="AC11" s="3">
        <f>IFERROR(__xludf.DUMMYFUNCTION("""COMPUTED_VALUE"""),-6194.835553747105)</f>
        <v>-6194.835554</v>
      </c>
    </row>
    <row r="12">
      <c r="F12" s="4" t="str">
        <f>IFERROR(__xludf.DUMMYFUNCTION("""COMPUTED_VALUE"""),"Form G4 - K Instagram")</f>
        <v>Form G4 - K Instagram</v>
      </c>
      <c r="G12" s="5">
        <f>IFERROR(__xludf.DUMMYFUNCTION("""COMPUTED_VALUE"""),-0.3652813900724915)</f>
        <v>-0.3652813901</v>
      </c>
      <c r="H12" s="4" t="str">
        <f>IFERROR(__xludf.DUMMYFUNCTION("""COMPUTED_VALUE"""),"Form G4 - K Outros")</f>
        <v>Form G4 - K Outros</v>
      </c>
      <c r="I12" s="5">
        <f>IFERROR(__xludf.DUMMYFUNCTION("""COMPUTED_VALUE"""),-0.2673136594705219)</f>
        <v>-0.2673136595</v>
      </c>
      <c r="J12" s="4" t="str">
        <f>IFERROR(__xludf.DUMMYFUNCTION("""COMPUTED_VALUE"""),"[SKL] CRM - WhatsApp")</f>
        <v>[SKL] CRM - WhatsApp</v>
      </c>
      <c r="K12" s="6">
        <f>IFERROR(__xludf.DUMMYFUNCTION("""COMPUTED_VALUE"""),-4.269841269841268)</f>
        <v>-4.26984127</v>
      </c>
      <c r="L12" s="4" t="str">
        <f>IFERROR(__xludf.DUMMYFUNCTION("""COMPUTED_VALUE"""),"Form G4 Outros - Não Orgânico")</f>
        <v>Form G4 Outros - Não Orgânico</v>
      </c>
      <c r="M12" s="6">
        <f>IFERROR(__xludf.DUMMYFUNCTION("""COMPUTED_VALUE"""),-10.476190476190476)</f>
        <v>-10.47619048</v>
      </c>
      <c r="N12" s="9" t="str">
        <f>IFERROR(__xludf.DUMMYFUNCTION("""COMPUTED_VALUE"""),"Form G4 Incompleto Instagram")</f>
        <v>Form G4 Incompleto Instagram</v>
      </c>
      <c r="O12" s="5">
        <f>IFERROR(__xludf.DUMMYFUNCTION("""COMPUTED_VALUE"""),-0.22307843137254907)</f>
        <v>-0.2230784314</v>
      </c>
      <c r="P12" s="3">
        <f>IFERROR(__xludf.DUMMYFUNCTION("""COMPUTED_VALUE"""),-3792.333333333334)</f>
        <v>-3792.333333</v>
      </c>
      <c r="AA12" s="4" t="str">
        <f>IFERROR(__xludf.DUMMYFUNCTION("""COMPUTED_VALUE"""),"Form G4 Google")</f>
        <v>Form G4 Google</v>
      </c>
      <c r="AB12" s="5">
        <f>IFERROR(__xludf.DUMMYFUNCTION("""COMPUTED_VALUE"""),-0.31560705394022115)</f>
        <v>-0.3156070539</v>
      </c>
      <c r="AC12" s="3">
        <f>IFERROR(__xludf.DUMMYFUNCTION("""COMPUTED_VALUE"""),-2297.3764279901416)</f>
        <v>-2297.376428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IFERROR(__xludf.DUMMYFUNCTION("""COMPUTED_VALUE"""),-0.2598946986201885)</f>
        <v>-0.2598946986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IFERROR(__xludf.DUMMYFUNCTION("""COMPUTED_VALUE"""),-0.257948446868459)</f>
        <v>-0.2579484469</v>
      </c>
      <c r="J13" s="4" t="str">
        <f>IFERROR(__xludf.DUMMYFUNCTION("""COMPUTED_VALUE"""),"[IM] Link de Indicação")</f>
        <v>[IM] Link de Indicação</v>
      </c>
      <c r="K13" s="6">
        <f>IFERROR(__xludf.DUMMYFUNCTION("""COMPUTED_VALUE"""),-2.72045028142589)</f>
        <v>-2.720450281</v>
      </c>
      <c r="L13" s="4" t="str">
        <f>IFERROR(__xludf.DUMMYFUNCTION("""COMPUTED_VALUE"""),"[IM] Form Facebook Ads")</f>
        <v>[IM] Form Facebook Ads</v>
      </c>
      <c r="M13" s="6">
        <f>IFERROR(__xludf.DUMMYFUNCTION("""COMPUTED_VALUE"""),-10.339622641509434)</f>
        <v>-10.33962264</v>
      </c>
      <c r="N13" s="9" t="str">
        <f>IFERROR(__xludf.DUMMYFUNCTION("""COMPUTED_VALUE"""),"Form G4 Instagram Outros")</f>
        <v>Form G4 Instagram Outros</v>
      </c>
      <c r="O13" s="5">
        <f>IFERROR(__xludf.DUMMYFUNCTION("""COMPUTED_VALUE"""),-0.22154000000000001)</f>
        <v>-0.22154</v>
      </c>
      <c r="P13" s="3">
        <f>IFERROR(__xludf.DUMMYFUNCTION("""COMPUTED_VALUE"""),-6646.200000000001)</f>
        <v>-6646.2</v>
      </c>
      <c r="AA13" s="4" t="str">
        <f>IFERROR(__xludf.DUMMYFUNCTION("""COMPUTED_VALUE"""),"Form G4 Incompleto Instagram")</f>
        <v>Form G4 Incompleto Instagram</v>
      </c>
      <c r="AB13" s="5">
        <f>IFERROR(__xludf.DUMMYFUNCTION("""COMPUTED_VALUE"""),-0.30079906478247387)</f>
        <v>-0.3007990648</v>
      </c>
      <c r="AC13" s="3">
        <f>IFERROR(__xludf.DUMMYFUNCTION("""COMPUTED_VALUE"""),-939.3611111111111)</f>
        <v>-939.3611111</v>
      </c>
    </row>
    <row r="14">
      <c r="F14" s="4" t="str">
        <f>IFERROR(__xludf.DUMMYFUNCTION("""COMPUTED_VALUE"""),"Form G4 Incompleto Outros")</f>
        <v>Form G4 Incompleto Outros</v>
      </c>
      <c r="G14" s="5">
        <f>IFERROR(__xludf.DUMMYFUNCTION("""COMPUTED_VALUE"""),-0.20806722689075596)</f>
        <v>-0.2080672269</v>
      </c>
      <c r="H14" s="4" t="str">
        <f>IFERROR(__xludf.DUMMYFUNCTION("""COMPUTED_VALUE"""),"[SKL] CRM - WhatsApp")</f>
        <v>[SKL] CRM - WhatsApp</v>
      </c>
      <c r="I14" s="5">
        <f>IFERROR(__xludf.DUMMYFUNCTION("""COMPUTED_VALUE"""),-0.1794117647058819)</f>
        <v>-0.1794117647</v>
      </c>
      <c r="J14" s="4" t="str">
        <f>IFERROR(__xludf.DUMMYFUNCTION("""COMPUTED_VALUE"""),"[CM] Form G4 - Outros")</f>
        <v>[CM] Form G4 - Outros</v>
      </c>
      <c r="K14" s="6">
        <f>IFERROR(__xludf.DUMMYFUNCTION("""COMPUTED_VALUE"""),-2.6000000000000023)</f>
        <v>-2.6</v>
      </c>
      <c r="L14" s="4" t="str">
        <f>IFERROR(__xludf.DUMMYFUNCTION("""COMPUTED_VALUE"""),"[SKL] CRM - Email")</f>
        <v>[SKL] CRM - Email</v>
      </c>
      <c r="M14" s="6">
        <f>IFERROR(__xludf.DUMMYFUNCTION("""COMPUTED_VALUE"""),-10.307692307692307)</f>
        <v>-10.30769231</v>
      </c>
      <c r="N14" s="9" t="str">
        <f>IFERROR(__xludf.DUMMYFUNCTION("""COMPUTED_VALUE"""),"[IM] Time de vendas")</f>
        <v>[IM] Time de vendas</v>
      </c>
      <c r="O14" s="5">
        <f>IFERROR(__xludf.DUMMYFUNCTION("""COMPUTED_VALUE"""),-0.09019075995161335)</f>
        <v>-0.09019075995</v>
      </c>
      <c r="P14" s="3">
        <f>IFERROR(__xludf.DUMMYFUNCTION("""COMPUTED_VALUE"""),-2900.778116337424)</f>
        <v>-2900.778116</v>
      </c>
      <c r="AA14" s="4" t="str">
        <f>IFERROR(__xludf.DUMMYFUNCTION("""COMPUTED_VALUE"""),"Form G4 Facebook")</f>
        <v>Form G4 Facebook</v>
      </c>
      <c r="AB14" s="5">
        <f>IFERROR(__xludf.DUMMYFUNCTION("""COMPUTED_VALUE"""),-0.2972243888710363)</f>
        <v>-0.2972243889</v>
      </c>
      <c r="AC14" s="3">
        <f>IFERROR(__xludf.DUMMYFUNCTION("""COMPUTED_VALUE"""),-1624.4578754578747)</f>
        <v>-1624.457875</v>
      </c>
    </row>
    <row r="15">
      <c r="F15" s="4" t="str">
        <f>IFERROR(__xludf.DUMMYFUNCTION("""COMPUTED_VALUE"""),"[SKL] CRM - WhatsApp")</f>
        <v>[SKL] CRM - WhatsApp</v>
      </c>
      <c r="G15" s="5">
        <f>IFERROR(__xludf.DUMMYFUNCTION("""COMPUTED_VALUE"""),-0.19253310180160574)</f>
        <v>-0.1925331018</v>
      </c>
      <c r="H15" s="4" t="str">
        <f>IFERROR(__xludf.DUMMYFUNCTION("""COMPUTED_VALUE"""),"[SKL] Site")</f>
        <v>[SKL] Site</v>
      </c>
      <c r="I15" s="5">
        <f>IFERROR(__xludf.DUMMYFUNCTION("""COMPUTED_VALUE"""),-0.1610523235217099)</f>
        <v>-0.1610523235</v>
      </c>
      <c r="J15" s="4" t="str">
        <f>IFERROR(__xludf.DUMMYFUNCTION("""COMPUTED_VALUE"""),"Form G4 Incompleto Instagram")</f>
        <v>Form G4 Incompleto Instagram</v>
      </c>
      <c r="K15" s="6">
        <f>IFERROR(__xludf.DUMMYFUNCTION("""COMPUTED_VALUE"""),-2.210526315789474)</f>
        <v>-2.210526316</v>
      </c>
      <c r="L15" s="9" t="str">
        <f>IFERROR(__xludf.DUMMYFUNCTION("""COMPUTED_VALUE"""),"Form G4 Instagram Tallis")</f>
        <v>Form G4 Instagram Tallis</v>
      </c>
      <c r="M15" s="6">
        <f>IFERROR(__xludf.DUMMYFUNCTION("""COMPUTED_VALUE"""),-9.254175245939143)</f>
        <v>-9.254175246</v>
      </c>
      <c r="N15" s="9" t="str">
        <f>IFERROR(__xludf.DUMMYFUNCTION("""COMPUTED_VALUE"""),"[SKL] CRM - WhatsApp")</f>
        <v>[SKL] CRM - WhatsApp</v>
      </c>
      <c r="O15" s="5">
        <f>IFERROR(__xludf.DUMMYFUNCTION("""COMPUTED_VALUE"""),-0.026180227224613647)</f>
        <v>-0.02618022722</v>
      </c>
      <c r="P15" s="3">
        <f>IFERROR(__xludf.DUMMYFUNCTION("""COMPUTED_VALUE"""),-371.0)</f>
        <v>-371</v>
      </c>
      <c r="AA15" s="4" t="str">
        <f>IFERROR(__xludf.DUMMYFUNCTION("""COMPUTED_VALUE"""),"Form G4 Instagram Tallis")</f>
        <v>Form G4 Instagram Tallis</v>
      </c>
      <c r="AB15" s="5">
        <f>IFERROR(__xludf.DUMMYFUNCTION("""COMPUTED_VALUE"""),-0.2249329134496486)</f>
        <v>-0.2249329134</v>
      </c>
      <c r="AC15" s="3">
        <f>IFERROR(__xludf.DUMMYFUNCTION("""COMPUTED_VALUE"""),-2084.9559597346147)</f>
        <v>-2084.95596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IFERROR(__xludf.DUMMYFUNCTION("""COMPUTED_VALUE"""),-0.1839143064633257)</f>
        <v>-0.1839143065</v>
      </c>
      <c r="H16" s="4" t="str">
        <f>IFERROR(__xludf.DUMMYFUNCTION("""COMPUTED_VALUE"""),"Form G4 Incompleto Instagram")</f>
        <v>Form G4 Incompleto Instagram</v>
      </c>
      <c r="I16" s="5">
        <f>IFERROR(__xludf.DUMMYFUNCTION("""COMPUTED_VALUE"""),-0.15150060024009562)</f>
        <v>-0.1515006002</v>
      </c>
      <c r="J16" s="4" t="str">
        <f>IFERROR(__xludf.DUMMYFUNCTION("""COMPUTED_VALUE"""),"[SKL] Midia Paga - Quente")</f>
        <v>[SKL] Midia Paga - Quente</v>
      </c>
      <c r="K16" s="6">
        <f>IFERROR(__xludf.DUMMYFUNCTION("""COMPUTED_VALUE"""),-1.4252696456086316)</f>
        <v>-1.425269646</v>
      </c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O16" s="4"/>
      <c r="P16" s="4"/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IFERROR(__xludf.DUMMYFUNCTION("""COMPUTED_VALUE"""),"Form G4 Incompleto Instagram")</f>
        <v>Form G4 Incompleto Instagram</v>
      </c>
      <c r="G17" s="5">
        <f>IFERROR(__xludf.DUMMYFUNCTION("""COMPUTED_VALUE"""),-0.14033613445378113)</f>
        <v>-0.1403361345</v>
      </c>
      <c r="H17" s="4" t="str">
        <f>IFERROR(__xludf.DUMMYFUNCTION("""COMPUTED_VALUE"""),"Form G4 Google")</f>
        <v>Form G4 Google</v>
      </c>
      <c r="I17" s="5">
        <f>IFERROR(__xludf.DUMMYFUNCTION("""COMPUTED_VALUE"""),-0.14832978149793274)</f>
        <v>-0.1483297815</v>
      </c>
      <c r="J17" s="4" t="str">
        <f>IFERROR(__xludf.DUMMYFUNCTION("""COMPUTED_VALUE"""),"Form G4 Instagram Tallis")</f>
        <v>Form G4 Instagram Tallis</v>
      </c>
      <c r="K17" s="6">
        <f>IFERROR(__xludf.DUMMYFUNCTION("""COMPUTED_VALUE"""),-1.0262310170271516)</f>
        <v>-1.026231017</v>
      </c>
      <c r="L17" s="9" t="str">
        <f>IFERROR(__xludf.DUMMYFUNCTION("""COMPUTED_VALUE"""),"Form G4 Instagram G4")</f>
        <v>Form G4 Instagram G4</v>
      </c>
      <c r="M17" s="6">
        <f>IFERROR(__xludf.DUMMYFUNCTION("""COMPUTED_VALUE"""),-7.7560975609756095)</f>
        <v>-7.756097561</v>
      </c>
      <c r="O17" s="4"/>
      <c r="P17" s="4"/>
      <c r="AA17" s="4" t="str">
        <f>IFERROR(__xludf.DUMMYFUNCTION("""COMPUTED_VALUE"""),"[SKL] CRM - Email")</f>
        <v>[SKL] CRM - Email</v>
      </c>
      <c r="AB17" s="5">
        <f>IFERROR(__xludf.DUMMYFUNCTION("""COMPUTED_VALUE"""),-0.18979714102476108)</f>
        <v>-0.189797141</v>
      </c>
      <c r="AC17" s="3">
        <f>IFERROR(__xludf.DUMMYFUNCTION("""COMPUTED_VALUE"""),-1009.9846153846149)</f>
        <v>-1009.984615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IFERROR(__xludf.DUMMYFUNCTION("""COMPUTED_VALUE"""),-0.10081135902636867)</f>
        <v>-0.100811359</v>
      </c>
      <c r="H18" s="4" t="str">
        <f>IFERROR(__xludf.DUMMYFUNCTION("""COMPUTED_VALUE"""),"Form G4 Incompleto Outros")</f>
        <v>Form G4 Incompleto Outros</v>
      </c>
      <c r="I18" s="5">
        <f>IFERROR(__xludf.DUMMYFUNCTION("""COMPUTED_VALUE"""),-0.11274669217280368)</f>
        <v>-0.1127466922</v>
      </c>
      <c r="J18" s="4" t="str">
        <f>IFERROR(__xludf.DUMMYFUNCTION("""COMPUTED_VALUE"""),"Form G4 Incompleto Outros")</f>
        <v>Form G4 Incompleto Outros</v>
      </c>
      <c r="K18" s="6">
        <f>IFERROR(__xludf.DUMMYFUNCTION("""COMPUTED_VALUE"""),-0.9700288974966526)</f>
        <v>-0.9700288975</v>
      </c>
      <c r="L18" s="9" t="str">
        <f>IFERROR(__xludf.DUMMYFUNCTION("""COMPUTED_VALUE"""),"Form G4 Facebook")</f>
        <v>Form G4 Facebook</v>
      </c>
      <c r="M18" s="6">
        <f>IFERROR(__xludf.DUMMYFUNCTION("""COMPUTED_VALUE"""),-7.4481074481074465)</f>
        <v>-7.448107448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IFERROR(__xludf.DUMMYFUNCTION("""COMPUTED_VALUE"""),-0.14790793029568272)</f>
        <v>-0.1479079303</v>
      </c>
      <c r="AC18" s="3">
        <f>IFERROR(__xludf.DUMMYFUNCTION("""COMPUTED_VALUE"""),-1726.1736602038873)</f>
        <v>-1726.17366</v>
      </c>
    </row>
    <row r="19">
      <c r="F19" s="4" t="str">
        <f>IFERROR(__xludf.DUMMYFUNCTION("""COMPUTED_VALUE"""),"[SKL] Midia Paga - Quente")</f>
        <v>[SKL] Midia Paga - Quente</v>
      </c>
      <c r="G19" s="5">
        <f>IFERROR(__xludf.DUMMYFUNCTION("""COMPUTED_VALUE"""),-0.07763337893296811)</f>
        <v>-0.07763337893</v>
      </c>
      <c r="H19" s="4" t="str">
        <f>IFERROR(__xludf.DUMMYFUNCTION("""COMPUTED_VALUE"""),"[ON] Chat")</f>
        <v>[ON] Chat</v>
      </c>
      <c r="I19" s="5">
        <f>IFERROR(__xludf.DUMMYFUNCTION("""COMPUTED_VALUE"""),-0.10300888068231753)</f>
        <v>-0.1030088807</v>
      </c>
      <c r="J19" s="4" t="str">
        <f>IFERROR(__xludf.DUMMYFUNCTION("""COMPUTED_VALUE"""),"Form G4 - K Instagram")</f>
        <v>Form G4 - K Instagram</v>
      </c>
      <c r="K19" s="6">
        <f>IFERROR(__xludf.DUMMYFUNCTION("""COMPUTED_VALUE"""),-0.1955801104972399)</f>
        <v>-0.1955801105</v>
      </c>
      <c r="L19" s="9" t="str">
        <f>IFERROR(__xludf.DUMMYFUNCTION("""COMPUTED_VALUE"""),"Aplicativo G4 - Indicação")</f>
        <v>Aplicativo G4 - Indicação</v>
      </c>
      <c r="M19" s="6">
        <f>IFERROR(__xludf.DUMMYFUNCTION("""COMPUTED_VALUE"""),-6.2937062937062915)</f>
        <v>-6.293706294</v>
      </c>
      <c r="O19" s="4"/>
      <c r="P19" s="4"/>
      <c r="AA19" s="4" t="str">
        <f>IFERROR(__xludf.DUMMYFUNCTION("""COMPUTED_VALUE"""),"[ON] Chat")</f>
        <v>[ON] Chat</v>
      </c>
      <c r="AB19" s="5">
        <f>IFERROR(__xludf.DUMMYFUNCTION("""COMPUTED_VALUE"""),-0.10922851758122665)</f>
        <v>-0.1092285176</v>
      </c>
      <c r="AC19" s="3">
        <f>IFERROR(__xludf.DUMMYFUNCTION("""COMPUTED_VALUE"""),-453.004923076923)</f>
        <v>-453.0049231</v>
      </c>
    </row>
    <row r="20">
      <c r="F20" s="4" t="str">
        <f>IFERROR(__xludf.DUMMYFUNCTION("""COMPUTED_VALUE"""),"[SKL] Site")</f>
        <v>[SKL] Site</v>
      </c>
      <c r="G20" s="5">
        <f>IFERROR(__xludf.DUMMYFUNCTION("""COMPUTED_VALUE"""),-0.07514776245426352)</f>
        <v>-0.07514776245</v>
      </c>
      <c r="H20" s="4" t="str">
        <f>IFERROR(__xludf.DUMMYFUNCTION("""COMPUTED_VALUE"""),"[SKL] Midia Paga - Quente")</f>
        <v>[SKL] Midia Paga - Quente</v>
      </c>
      <c r="I20" s="5">
        <f>IFERROR(__xludf.DUMMYFUNCTION("""COMPUTED_VALUE"""),-0.061730506155950236)</f>
        <v>-0.06173050616</v>
      </c>
      <c r="J20" s="4" t="str">
        <f>IFERROR(__xludf.DUMMYFUNCTION("""COMPUTED_VALUE"""),"Form G4 Facebook")</f>
        <v>Form G4 Facebook</v>
      </c>
      <c r="K20" s="6">
        <f>IFERROR(__xludf.DUMMYFUNCTION("""COMPUTED_VALUE"""),-0.17857142857142794)</f>
        <v>-0.1785714286</v>
      </c>
      <c r="L20" s="9" t="str">
        <f>IFERROR(__xludf.DUMMYFUNCTION("""COMPUTED_VALUE"""),"[IM] Form G4 Facebook Ads - K")</f>
        <v>[IM] Form G4 Facebook Ads - K</v>
      </c>
      <c r="M20" s="6">
        <f>IFERROR(__xludf.DUMMYFUNCTION("""COMPUTED_VALUE"""),-6.112054329371816)</f>
        <v>-6.112054329</v>
      </c>
      <c r="O20" s="4"/>
      <c r="P20" s="4"/>
      <c r="AA20" s="4" t="str">
        <f>IFERROR(__xludf.DUMMYFUNCTION("""COMPUTED_VALUE"""),"[SKL] Site")</f>
        <v>[SKL] Site</v>
      </c>
      <c r="AB20" s="5">
        <f>IFERROR(__xludf.DUMMYFUNCTION("""COMPUTED_VALUE"""),-0.08419975888355202)</f>
        <v>-0.08419975888</v>
      </c>
      <c r="AC20" s="3">
        <f>IFERROR(__xludf.DUMMYFUNCTION("""COMPUTED_VALUE"""),-1077.8023255813955)</f>
        <v>-1077.802326</v>
      </c>
    </row>
    <row r="21">
      <c r="F21" s="4" t="str">
        <f>IFERROR(__xludf.DUMMYFUNCTION("""COMPUTED_VALUE"""),"Form G4 Outros - Orgânico")</f>
        <v>Form G4 Outros - Orgânico</v>
      </c>
      <c r="G21" s="5">
        <f>IFERROR(__xludf.DUMMYFUNCTION("""COMPUTED_VALUE"""),-0.051288784744666575)</f>
        <v>-0.05128878474</v>
      </c>
      <c r="H21" s="4" t="str">
        <f>IFERROR(__xludf.DUMMYFUNCTION("""COMPUTED_VALUE"""),"[IM] Form Facebook Ads")</f>
        <v>[IM] Form Facebook Ads</v>
      </c>
      <c r="I21" s="5">
        <f>IFERROR(__xludf.DUMMYFUNCTION("""COMPUTED_VALUE"""),-0.04288574068370759)</f>
        <v>-0.04288574068</v>
      </c>
      <c r="J21" s="4"/>
      <c r="K21" s="4"/>
      <c r="L21" s="9" t="str">
        <f>IFERROR(__xludf.DUMMYFUNCTION("""COMPUTED_VALUE"""),"[SKL] Outros")</f>
        <v>[SKL] Outros</v>
      </c>
      <c r="M21" s="6">
        <f>IFERROR(__xludf.DUMMYFUNCTION("""COMPUTED_VALUE"""),-5.38728323699422)</f>
        <v>-5.387283237</v>
      </c>
      <c r="O21" s="4"/>
      <c r="P21" s="4"/>
      <c r="AA21" s="4"/>
      <c r="AB21" s="4"/>
      <c r="AC21" s="4"/>
    </row>
    <row r="22">
      <c r="F22" s="4"/>
      <c r="G22" s="4"/>
      <c r="H22" s="4"/>
      <c r="I22" s="4"/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IFERROR(__xludf.DUMMYFUNCTION("""COMPUTED_VALUE"""),"Form G4 - K Outros")</f>
        <v>Form G4 - K Outros</v>
      </c>
      <c r="M23" s="6">
        <f>IFERROR(__xludf.DUMMYFUNCTION("""COMPUTED_VALUE"""),-5.043902439024389)</f>
        <v>-5.043902439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IFERROR(__xludf.DUMMYFUNCTION("""COMPUTED_VALUE"""),"Form G4 Incompleto Outros")</f>
        <v>Form G4 Incompleto Outros</v>
      </c>
      <c r="M24" s="6">
        <f>IFERROR(__xludf.DUMMYFUNCTION("""COMPUTED_VALUE"""),-4.830483048304831)</f>
        <v>-4.830483048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IFERROR(__xludf.DUMMYFUNCTION("""COMPUTED_VALUE"""),"Form G4 Outros - Orgânico")</f>
        <v>Form G4 Outros - Orgânico</v>
      </c>
      <c r="M25" s="6">
        <f>IFERROR(__xludf.DUMMYFUNCTION("""COMPUTED_VALUE"""),-4.215549811095648)</f>
        <v>-4.215549811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Incompleto Instagram")</f>
        <v>Form G4 Incompleto Instagram</v>
      </c>
      <c r="M26" s="6">
        <f>IFERROR(__xludf.DUMMYFUNCTION("""COMPUTED_VALUE"""),-3.6666666666666665)</f>
        <v>-3.666666667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IFERROR(__xludf.DUMMYFUNCTION("""COMPUTED_VALUE"""),"[IM] Chat")</f>
        <v>[IM] Chat</v>
      </c>
      <c r="M27" s="6">
        <f>IFERROR(__xludf.DUMMYFUNCTION("""COMPUTED_VALUE"""),-3.4034107615407234)</f>
        <v>-3.403410762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0">
        <f>IFERROR(__xludf.DUMMYFUNCTION("IMPORTRANGE(""https://docs.google.com/spreadsheets/d/1D6uzcbxSwPrh4oDMzqUQcTT-8H5GNx5DfmYrtr-kz2w"",""Visão ""&amp;'Parâmetro'!B1&amp;"" - Metas Comercial!AE1"")"),1.093108866898839E7)</f>
        <v>10931088.67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Comercial!AF4"")"),3608927.7481689453)</f>
        <v>3608927.748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Comercial!AE4"")"),4044502.807525704)</f>
        <v>4044502.808</v>
      </c>
    </row>
    <row r="5">
      <c r="A5" s="1" t="s">
        <v>36</v>
      </c>
      <c r="B5" s="1" t="s">
        <v>2</v>
      </c>
      <c r="C5" s="3">
        <f>C3-C4</f>
        <v>-435575.0594</v>
      </c>
    </row>
    <row r="6">
      <c r="A6" s="1" t="s">
        <v>36</v>
      </c>
      <c r="B6" s="1" t="s">
        <v>39</v>
      </c>
      <c r="C6" s="5">
        <f>C3/C2</f>
        <v>0.3301526369</v>
      </c>
    </row>
    <row r="7">
      <c r="A7" s="1" t="s">
        <v>36</v>
      </c>
      <c r="B7" s="1" t="s">
        <v>40</v>
      </c>
      <c r="C7" s="5">
        <f>C3/C4</f>
        <v>0.892304424</v>
      </c>
    </row>
    <row r="8">
      <c r="A8" s="1" t="s">
        <v>36</v>
      </c>
      <c r="B8" s="1" t="s">
        <v>41</v>
      </c>
      <c r="C8" s="5">
        <f>C9-C6</f>
        <v>0.03984736311</v>
      </c>
    </row>
    <row r="9">
      <c r="A9" s="1" t="s">
        <v>36</v>
      </c>
      <c r="B9" s="1" t="s">
        <v>42</v>
      </c>
      <c r="C9" s="7">
        <f>C4/C2</f>
        <v>0.37</v>
      </c>
    </row>
    <row r="10">
      <c r="A10" s="1" t="s">
        <v>36</v>
      </c>
      <c r="B10" s="1" t="s">
        <v>43</v>
      </c>
      <c r="C10" s="11">
        <v>5000000.0</v>
      </c>
    </row>
    <row r="11">
      <c r="A11" s="1" t="s">
        <v>36</v>
      </c>
      <c r="B11" s="1" t="s">
        <v>44</v>
      </c>
      <c r="C11" s="3">
        <f>C3+C10</f>
        <v>8608927.748</v>
      </c>
    </row>
    <row r="12">
      <c r="A12" s="1" t="s">
        <v>36</v>
      </c>
      <c r="B12" s="1" t="s">
        <v>45</v>
      </c>
      <c r="C12" s="10">
        <f>C2-C11</f>
        <v>2322160.921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0.3157894736842105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Mari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)"),"[IM] Outros")</f>
        <v>[IM] Outros</v>
      </c>
      <c r="B2" s="10">
        <f>IFERROR(__xludf.DUMMYFUNCTION("""COMPUTED_VALUE"""),-146453.13162863883)</f>
        <v>-146453.1316</v>
      </c>
      <c r="C2" s="7">
        <f t="shared" ref="C2:C1000" si="1">IF(B2="","",B2/SUM($B$2:$B$1000))</f>
        <v>0.2518721359</v>
      </c>
      <c r="D2" s="7">
        <f>IF(B2="","",C2)</f>
        <v>0.2518721359</v>
      </c>
      <c r="E2" s="3">
        <f t="array" ref="E2">XLOOKUP(A2,'Dados Funil'!$A:$A,'Dados Funil'!$K:$K,"")</f>
        <v>-65.76774194</v>
      </c>
      <c r="F2" s="5">
        <f t="array" ref="F2">XLOOKUP(A2,'Dados Funil'!$A:$A,'Dados Funil'!$L:$L,"")</f>
        <v>-0.8456943753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)"),"Form G4 Instagram G4")</f>
        <v>Form G4 Instagram G4</v>
      </c>
      <c r="H2" s="10">
        <f>IFERROR(__xludf.DUMMYFUNCTION("""COMPUTED_VALUE"""),-53079.91991294864)</f>
        <v>-53079.91991</v>
      </c>
      <c r="I2" s="7">
        <f t="shared" ref="I2:I1000" si="2">IF(H2="","",H2/SUM($H$2:$H$1000))</f>
        <v>0.4503091271</v>
      </c>
      <c r="J2" s="7">
        <f>IF(H2="","",I2)</f>
        <v>0.4503091271</v>
      </c>
      <c r="K2" s="6">
        <f t="array" ref="K2">XLOOKUP(G2,'Dados Funil'!A:A,'Dados Funil'!O:O,"")</f>
        <v>-1.939545146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0">
        <f>IFERROR(__xludf.DUMMYFUNCTION("""COMPUTED_VALUE"""),-276693.0)</f>
        <v>-276693</v>
      </c>
      <c r="N2" s="7">
        <f t="shared" ref="N2:N1000" si="3">IF(M2="","",M2/SUM($M$2:$M$1000))</f>
        <v>0.231948811</v>
      </c>
      <c r="O2" s="7">
        <f>IF(M2="","",N2)</f>
        <v>0.231948811</v>
      </c>
      <c r="P2" s="10">
        <f t="array" ref="P2">XLOOKUP(L2,'Dados Funil'!A:A,'Dados Funil'!AM:AM,"")</f>
        <v>-1487.596774</v>
      </c>
      <c r="Q2" s="5">
        <f t="array" ref="Q2">XLOOKUP(L2,'Dados Funil'!A:A,'Dados Funil'!AN:AN,"")</f>
        <v>-0.2951580901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)"),"[IM] Social DM")</f>
        <v>[IM] Social DM</v>
      </c>
      <c r="S2" s="10">
        <f>IFERROR(__xludf.DUMMYFUNCTION("""COMPUTED_VALUE"""),92565.95764705892)</f>
        <v>92565.95765</v>
      </c>
      <c r="T2" s="7">
        <f t="shared" ref="T2:T1000" si="4">IF(S2="","",S2/SUM($S$2:$S$1000))</f>
        <v>0.2800587295</v>
      </c>
      <c r="U2" s="7">
        <f>IF(S2="","",T2)</f>
        <v>0.2800587295</v>
      </c>
      <c r="V2" s="3">
        <f t="array" ref="V2">XLOOKUP(R2,'Dados Funil'!$A:$A,'Dados Funil'!$K:$K,"")</f>
        <v>17.24478178</v>
      </c>
      <c r="W2" s="5">
        <f t="array" ref="W2">XLOOKUP(R2,'Dados Funil'!$A:$A,'Dados Funil'!$L:$L,"")</f>
        <v>0.3688311688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)"),"Form G4 Outros - Orgânico")</f>
        <v>Form G4 Outros - Orgânico</v>
      </c>
      <c r="Y2" s="10">
        <f>IFERROR(__xludf.DUMMYFUNCTION("""COMPUTED_VALUE"""),70262.57434154631)</f>
        <v>70262.57434</v>
      </c>
      <c r="Z2" s="7">
        <f t="shared" ref="Z2:Z1000" si="5">IF(Y2="","",Y2/SUM($Y$2:$Y$1000))</f>
        <v>0.2530786602</v>
      </c>
      <c r="AA2" s="7">
        <f>IF(Y2="","",Z2)</f>
        <v>0.2530786602</v>
      </c>
      <c r="AB2" s="6">
        <f t="array" ref="AB2">XLOOKUP(X2,'Dados Funil'!A:A,'Dados Funil'!O:O,"")</f>
        <v>7.906336088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)"),"[IM] Chat")</f>
        <v>[IM] Chat</v>
      </c>
      <c r="AD2" s="10">
        <f>IFERROR(__xludf.DUMMYFUNCTION("""COMPUTED_VALUE"""),203962.5897782821)</f>
        <v>203962.5898</v>
      </c>
      <c r="AE2" s="7">
        <f t="shared" ref="AE2:AE1000" si="6">IF(AD2="","",AD2/SUM($AD$2:$AD$1000))</f>
        <v>0.4499266677</v>
      </c>
      <c r="AF2" s="7">
        <f>IF(AD2="","",AE2)</f>
        <v>0.4499266677</v>
      </c>
      <c r="AG2" s="10">
        <f t="array" ref="AG2">XLOOKUP(AC2,'Dados Funil'!A:A,'Dados Funil'!AM:AM,"")</f>
        <v>2999.44985</v>
      </c>
      <c r="AH2" s="5">
        <f t="array" ref="AH2">XLOOKUP(AC2,'Dados Funil'!A:A,'Dados Funil'!AN:AN,"")</f>
        <v>0.6253978156</v>
      </c>
      <c r="AI2" s="9" t="str">
        <f>IFERROR(__xludf.DUMMYFUNCTION("QUERY('Dados Funil'!A2:AP100,""SELECT Col1, Col9, Col13, Col37 WHERE Col9 &gt; 0"")"),"Form G4 Instagram G4")</f>
        <v>Form G4 Instagram G4</v>
      </c>
      <c r="AJ2" s="12">
        <f>IFERROR(__xludf.DUMMYFUNCTION("""COMPUTED_VALUE"""),505.806451612903)</f>
        <v>505.8064516</v>
      </c>
      <c r="AK2" s="13">
        <f>IFERROR(__xludf.DUMMYFUNCTION("""COMPUTED_VALUE"""),0.3619368879216539)</f>
        <v>0.3619368879</v>
      </c>
      <c r="AL2" s="9">
        <f>IFERROR(__xludf.DUMMYFUNCTION("""COMPUTED_VALUE"""),5040.0)</f>
        <v>5040</v>
      </c>
      <c r="AM2" s="9">
        <f t="shared" ref="AM2:AM35" si="7">AJ2*AK2*AL2</f>
        <v>922672.8655</v>
      </c>
      <c r="AN2" s="9" t="str">
        <f>IFERROR(__xludf.DUMMYFUNCTION("QUERY('Dados Funil'!A2:AZ100,""SELECT Col1, Col10, Col14, Col38 WHERE Col9 &gt; 0"")"),"Form G4 Instagram G4")</f>
        <v>Form G4 Instagram G4</v>
      </c>
      <c r="AO2" s="12">
        <f>IFERROR(__xludf.DUMMYFUNCTION("""COMPUTED_VALUE"""),543.0)</f>
        <v>543</v>
      </c>
      <c r="AP2" s="13">
        <f>IFERROR(__xludf.DUMMYFUNCTION("""COMPUTED_VALUE"""),0.3425414364640884)</f>
        <v>0.3425414365</v>
      </c>
      <c r="AQ2" s="14">
        <f>IFERROR(__xludf.DUMMYFUNCTION("""COMPUTED_VALUE"""),3552.4032258064517)</f>
        <v>3552.403226</v>
      </c>
      <c r="AR2" s="9">
        <f t="shared" ref="AR2:AR35" si="8">AO2*AP2*AQ2</f>
        <v>660747</v>
      </c>
    </row>
    <row r="3">
      <c r="A3" s="4" t="str">
        <f>IFERROR(__xludf.DUMMYFUNCTION("""COMPUTED_VALUE"""),"Form G4 Instagram Outros")</f>
        <v>Form G4 Instagram Outros</v>
      </c>
      <c r="B3" s="10">
        <f>IFERROR(__xludf.DUMMYFUNCTION("""COMPUTED_VALUE"""),-127567.19999999991)</f>
        <v>-127567.2</v>
      </c>
      <c r="C3" s="7">
        <f t="shared" si="1"/>
        <v>0.2193918476</v>
      </c>
      <c r="D3" s="7">
        <f t="shared" ref="D3:D1000" si="9">IF(B3="","",C3+D2)</f>
        <v>0.4712639835</v>
      </c>
      <c r="E3" s="3">
        <f t="array" ref="E3">XLOOKUP(A3,'Dados Funil'!$A:$A,'Dados Funil'!$K:$K,"")</f>
        <v>-59.63870968</v>
      </c>
      <c r="F3" s="5">
        <f t="array" ref="F3">XLOOKUP(A3,'Dados Funil'!$A:$A,'Dados Funil'!$L:$L,"")</f>
        <v>-0.3881750231</v>
      </c>
      <c r="G3" s="4" t="str">
        <f>IFERROR(__xludf.DUMMYFUNCTION("""COMPUTED_VALUE"""),"[IM] Chat")</f>
        <v>[IM] Chat</v>
      </c>
      <c r="H3" s="10">
        <f>IFERROR(__xludf.DUMMYFUNCTION("""COMPUTED_VALUE"""),-33881.89295368535)</f>
        <v>-33881.89295</v>
      </c>
      <c r="I3" s="7">
        <f t="shared" si="2"/>
        <v>0.2874406304</v>
      </c>
      <c r="J3" s="7">
        <f t="shared" ref="J3:J1000" si="10">IF(H3="","",I3+J2)</f>
        <v>0.7377497576</v>
      </c>
      <c r="K3" s="6">
        <f t="array" ref="K3">XLOOKUP(G3,'Dados Funil'!A:A,'Dados Funil'!O:O,"")</f>
        <v>-2.860127987</v>
      </c>
      <c r="L3" s="4" t="str">
        <f>IFERROR(__xludf.DUMMYFUNCTION("""COMPUTED_VALUE"""),"Form G4 Instagram Tallis")</f>
        <v>Form G4 Instagram Tallis</v>
      </c>
      <c r="M3" s="10">
        <f>IFERROR(__xludf.DUMMYFUNCTION("""COMPUTED_VALUE"""),-180868.20967741936)</f>
        <v>-180868.2097</v>
      </c>
      <c r="N3" s="7">
        <f t="shared" si="3"/>
        <v>0.1516199043</v>
      </c>
      <c r="O3" s="7">
        <f t="shared" ref="O3:O1000" si="11">IF(N3="","",N3+O2)</f>
        <v>0.3835687154</v>
      </c>
      <c r="P3" s="10">
        <f t="array" ref="P3">XLOOKUP(L3,'Dados Funil'!A:A,'Dados Funil'!AM:AM,"")</f>
        <v>-4019.293548</v>
      </c>
      <c r="Q3" s="5">
        <f t="array" ref="Q3">XLOOKUP(L3,'Dados Funil'!A:A,'Dados Funil'!AN:AN,"")</f>
        <v>-0.7748244544</v>
      </c>
      <c r="R3" s="4" t="str">
        <f>IFERROR(__xludf.DUMMYFUNCTION("""COMPUTED_VALUE"""),"Form G4 Facebook")</f>
        <v>Form G4 Facebook</v>
      </c>
      <c r="S3" s="10">
        <f>IFERROR(__xludf.DUMMYFUNCTION("""COMPUTED_VALUE"""),83116.27405175474)</f>
        <v>83116.27405</v>
      </c>
      <c r="T3" s="7">
        <f t="shared" si="4"/>
        <v>0.2514686685</v>
      </c>
      <c r="U3" s="7">
        <f t="shared" ref="U3:U1000" si="12">IF(S3="","",T3+U2)</f>
        <v>0.531527398</v>
      </c>
      <c r="V3" s="3">
        <f t="array" ref="V3">XLOOKUP(R3,'Dados Funil'!$A:$A,'Dados Funil'!$K:$K,"")</f>
        <v>88.61290323</v>
      </c>
      <c r="W3" s="5">
        <f t="array" ref="W3">XLOOKUP(R3,'Dados Funil'!$A:$A,'Dados Funil'!$L:$L,"")</f>
        <v>0.7679619793</v>
      </c>
      <c r="X3" s="4" t="str">
        <f>IFERROR(__xludf.DUMMYFUNCTION("""COMPUTED_VALUE"""),"Form G4 Instagram Outros")</f>
        <v>Form G4 Instagram Outros</v>
      </c>
      <c r="Y3" s="10">
        <f>IFERROR(__xludf.DUMMYFUNCTION("""COMPUTED_VALUE"""),61133.999999999985)</f>
        <v>61134</v>
      </c>
      <c r="Z3" s="7">
        <f t="shared" si="5"/>
        <v>0.2201984621</v>
      </c>
      <c r="AA3" s="7">
        <f t="shared" ref="AA3:AA1000" si="13">IF(Y3="","",Z3+AA2)</f>
        <v>0.4732771224</v>
      </c>
      <c r="AB3" s="6">
        <f t="array" ref="AB3">XLOOKUP(X3,'Dados Funil'!A:A,'Dados Funil'!O:O,"")</f>
        <v>9.425531915</v>
      </c>
      <c r="AC3" s="4" t="str">
        <f>IFERROR(__xludf.DUMMYFUNCTION("""COMPUTED_VALUE"""),"[CM] Form G4 - Outros")</f>
        <v>[CM] Form G4 - Outros</v>
      </c>
      <c r="AD3" s="10">
        <f>IFERROR(__xludf.DUMMYFUNCTION("""COMPUTED_VALUE"""),128937.85714285714)</f>
        <v>128937.8571</v>
      </c>
      <c r="AE3" s="7">
        <f t="shared" si="6"/>
        <v>0.2844275534</v>
      </c>
      <c r="AF3" s="7">
        <f t="shared" ref="AF3:AF11" si="14">IF(AE3="","",AE3+AF2)</f>
        <v>0.7343542211</v>
      </c>
      <c r="AG3" s="10">
        <f t="array" ref="AG3">XLOOKUP(AC3,'Dados Funil'!A:A,'Dados Funil'!AM:AM,"")</f>
        <v>32234.46429</v>
      </c>
      <c r="AH3" s="5">
        <f t="array" ref="AH3">XLOOKUP(AC3,'Dados Funil'!A:A,'Dados Funil'!AN:AN,"")</f>
        <v>4.430527943</v>
      </c>
      <c r="AI3" s="9" t="str">
        <f>IFERROR(__xludf.DUMMYFUNCTION("""COMPUTED_VALUE"""),"Form G4 Outros - Orgânico")</f>
        <v>Form G4 Outros - Orgânico</v>
      </c>
      <c r="AJ3" s="12">
        <f>IFERROR(__xludf.DUMMYFUNCTION("""COMPUTED_VALUE"""),153.00645161290313)</f>
        <v>153.0064516</v>
      </c>
      <c r="AK3" s="13">
        <f>IFERROR(__xludf.DUMMYFUNCTION("""COMPUTED_VALUE"""),0.44214876033057854)</f>
        <v>0.4421487603</v>
      </c>
      <c r="AL3" s="9">
        <f>IFERROR(__xludf.DUMMYFUNCTION("""COMPUTED_VALUE"""),5385.981308411216)</f>
        <v>5385.981308</v>
      </c>
      <c r="AM3" s="9">
        <f t="shared" si="7"/>
        <v>364370.3226</v>
      </c>
      <c r="AN3" s="9" t="str">
        <f>IFERROR(__xludf.DUMMYFUNCTION("""COMPUTED_VALUE"""),"Form G4 Outros - Orgânico")</f>
        <v>Form G4 Outros - Orgânico</v>
      </c>
      <c r="AO3" s="12">
        <f>IFERROR(__xludf.DUMMYFUNCTION("""COMPUTED_VALUE"""),165.0)</f>
        <v>165</v>
      </c>
      <c r="AP3" s="13">
        <f>IFERROR(__xludf.DUMMYFUNCTION("""COMPUTED_VALUE"""),0.5212121212121212)</f>
        <v>0.5212121212</v>
      </c>
      <c r="AQ3" s="14">
        <f>IFERROR(__xludf.DUMMYFUNCTION("""COMPUTED_VALUE"""),5695.0505768531975)</f>
        <v>5695.050577</v>
      </c>
      <c r="AR3" s="9">
        <f t="shared" si="8"/>
        <v>489774.3496</v>
      </c>
    </row>
    <row r="4">
      <c r="A4" s="4" t="str">
        <f>IFERROR(__xludf.DUMMYFUNCTION("""COMPUTED_VALUE"""),"Form G4 Instagram Tallis")</f>
        <v>Form G4 Instagram Tallis</v>
      </c>
      <c r="B4" s="10">
        <f>IFERROR(__xludf.DUMMYFUNCTION("""COMPUTED_VALUE"""),-119224.17083184308)</f>
        <v>-119224.1708</v>
      </c>
      <c r="C4" s="7">
        <f t="shared" si="1"/>
        <v>0.2050433898</v>
      </c>
      <c r="D4" s="7">
        <f t="shared" si="9"/>
        <v>0.6763073733</v>
      </c>
      <c r="E4" s="3">
        <f t="array" ref="E4">XLOOKUP(A4,'Dados Funil'!$A:$A,'Dados Funil'!$K:$K,"")</f>
        <v>-50.6627566</v>
      </c>
      <c r="F4" s="5">
        <f t="array" ref="F4">XLOOKUP(A4,'Dados Funil'!$A:$A,'Dados Funil'!$L:$L,"")</f>
        <v>-0.3762195122</v>
      </c>
      <c r="G4" s="4" t="str">
        <f>IFERROR(__xludf.DUMMYFUNCTION("""COMPUTED_VALUE"""),"Form G4 Outros - Não Orgânico")</f>
        <v>Form G4 Outros - Não Orgânico</v>
      </c>
      <c r="H4" s="10">
        <f>IFERROR(__xludf.DUMMYFUNCTION("""COMPUTED_VALUE"""),-18643.41098901099)</f>
        <v>-18643.41099</v>
      </c>
      <c r="I4" s="7">
        <f t="shared" si="2"/>
        <v>0.1581633534</v>
      </c>
      <c r="J4" s="7">
        <f t="shared" si="10"/>
        <v>0.8959131109</v>
      </c>
      <c r="K4" s="6">
        <f t="array" ref="K4">XLOOKUP(G4,'Dados Funil'!A:A,'Dados Funil'!O:O,"")</f>
        <v>-8.026755853</v>
      </c>
      <c r="L4" s="4" t="str">
        <f>IFERROR(__xludf.DUMMYFUNCTION("""COMPUTED_VALUE"""),"[IM] Social DM")</f>
        <v>[IM] Social DM</v>
      </c>
      <c r="M4" s="10">
        <f>IFERROR(__xludf.DUMMYFUNCTION("""COMPUTED_VALUE"""),-167260.55995117183)</f>
        <v>-167260.56</v>
      </c>
      <c r="N4" s="7">
        <f t="shared" si="3"/>
        <v>0.1402127557</v>
      </c>
      <c r="O4" s="7">
        <f t="shared" si="11"/>
        <v>0.5237814711</v>
      </c>
      <c r="P4" s="10">
        <f t="array" ref="P4">XLOOKUP(L4,'Dados Funil'!A:A,'Dados Funil'!AM:AM,"")</f>
        <v>-6194.835554</v>
      </c>
      <c r="Q4" s="5">
        <f t="array" ref="Q4">XLOOKUP(L4,'Dados Funil'!A:A,'Dados Funil'!AN:AN,"")</f>
        <v>-0.5049103162</v>
      </c>
      <c r="R4" s="4" t="str">
        <f>IFERROR(__xludf.DUMMYFUNCTION("""COMPUTED_VALUE"""),"Form G4 Instagram G4")</f>
        <v>Form G4 Instagram G4</v>
      </c>
      <c r="S4" s="10">
        <f>IFERROR(__xludf.DUMMYFUNCTION("""COMPUTED_VALUE"""),67847.05445610626)</f>
        <v>67847.05446</v>
      </c>
      <c r="T4" s="7">
        <f t="shared" si="4"/>
        <v>0.2052715745</v>
      </c>
      <c r="U4" s="7">
        <f t="shared" si="12"/>
        <v>0.7367989725</v>
      </c>
      <c r="V4" s="3">
        <f t="array" ref="V4">XLOOKUP(R4,'Dados Funil'!$A:$A,'Dados Funil'!$K:$K,"")</f>
        <v>37.19354839</v>
      </c>
      <c r="W4" s="5">
        <f t="array" ref="W4">XLOOKUP(R4,'Dados Funil'!$A:$A,'Dados Funil'!$L:$L,"")</f>
        <v>0.07353316327</v>
      </c>
      <c r="X4" s="4" t="str">
        <f>IFERROR(__xludf.DUMMYFUNCTION("""COMPUTED_VALUE"""),"Form G4 Instagram Tallis")</f>
        <v>Form G4 Instagram Tallis</v>
      </c>
      <c r="Y4" s="10">
        <f>IFERROR(__xludf.DUMMYFUNCTION("""COMPUTED_VALUE"""),35754.829189614466)</f>
        <v>35754.82919</v>
      </c>
      <c r="Z4" s="7">
        <f t="shared" si="5"/>
        <v>0.1287852652</v>
      </c>
      <c r="AA4" s="7">
        <f t="shared" si="13"/>
        <v>0.6020623876</v>
      </c>
      <c r="AB4" s="6">
        <f t="array" ref="AB4">XLOOKUP(X4,'Dados Funil'!A:A,'Dados Funil'!O:O,"")</f>
        <v>8.205574913</v>
      </c>
      <c r="AC4" s="4" t="str">
        <f>IFERROR(__xludf.DUMMYFUNCTION("""COMPUTED_VALUE"""),"[IM] Link de Indicação")</f>
        <v>[IM] Link de Indicação</v>
      </c>
      <c r="AD4" s="10">
        <f>IFERROR(__xludf.DUMMYFUNCTION("""COMPUTED_VALUE"""),65705.208)</f>
        <v>65705.208</v>
      </c>
      <c r="AE4" s="7">
        <f t="shared" si="6"/>
        <v>0.1449409194</v>
      </c>
      <c r="AF4" s="7">
        <f t="shared" si="14"/>
        <v>0.8792951405</v>
      </c>
      <c r="AG4" s="10">
        <f t="array" ref="AG4">XLOOKUP(AC4,'Dados Funil'!A:A,'Dados Funil'!AM:AM,"")</f>
        <v>3458.168842</v>
      </c>
      <c r="AH4" s="5">
        <f t="array" ref="AH4">XLOOKUP(AC4,'Dados Funil'!A:A,'Dados Funil'!AN:AN,"")</f>
        <v>0.7574454793</v>
      </c>
      <c r="AI4" s="9" t="str">
        <f>IFERROR(__xludf.DUMMYFUNCTION("""COMPUTED_VALUE"""),"Form G4 Instagram Outros")</f>
        <v>Form G4 Instagram Outros</v>
      </c>
      <c r="AJ4" s="12">
        <f>IFERROR(__xludf.DUMMYFUNCTION("""COMPUTED_VALUE"""),153.6387096774193)</f>
        <v>153.6387097</v>
      </c>
      <c r="AK4" s="13">
        <f>IFERROR(__xludf.DUMMYFUNCTION("""COMPUTED_VALUE"""),0.31)</f>
        <v>0.31</v>
      </c>
      <c r="AL4" s="9">
        <f>IFERROR(__xludf.DUMMYFUNCTION("""COMPUTED_VALUE"""),6900.0)</f>
        <v>6900</v>
      </c>
      <c r="AM4" s="9">
        <f t="shared" si="7"/>
        <v>328633.2</v>
      </c>
      <c r="AN4" s="9" t="str">
        <f>IFERROR(__xludf.DUMMYFUNCTION("""COMPUTED_VALUE"""),"Form G4 Instagram Outros")</f>
        <v>Form G4 Instagram Outros</v>
      </c>
      <c r="AO4" s="12">
        <f>IFERROR(__xludf.DUMMYFUNCTION("""COMPUTED_VALUE"""),94.0)</f>
        <v>94</v>
      </c>
      <c r="AP4" s="13">
        <f>IFERROR(__xludf.DUMMYFUNCTION("""COMPUTED_VALUE"""),0.40425531914893614)</f>
        <v>0.4042553191</v>
      </c>
      <c r="AQ4" s="14">
        <f>IFERROR(__xludf.DUMMYFUNCTION("""COMPUTED_VALUE"""),3072.8684210526317)</f>
        <v>3072.868421</v>
      </c>
      <c r="AR4" s="9">
        <f t="shared" si="8"/>
        <v>116769</v>
      </c>
    </row>
    <row r="5">
      <c r="A5" s="4" t="str">
        <f>IFERROR(__xludf.DUMMYFUNCTION("""COMPUTED_VALUE"""),"[IM] Form Facebook Ads")</f>
        <v>[IM] Form Facebook Ads</v>
      </c>
      <c r="B5" s="10">
        <f>IFERROR(__xludf.DUMMYFUNCTION("""COMPUTED_VALUE"""),-95470.24516129021)</f>
        <v>-95470.24516</v>
      </c>
      <c r="C5" s="7">
        <f t="shared" si="1"/>
        <v>0.1641910575</v>
      </c>
      <c r="D5" s="7">
        <f t="shared" si="9"/>
        <v>0.8404984309</v>
      </c>
      <c r="E5" s="3">
        <f t="array" ref="E5">XLOOKUP(A5,'Dados Funil'!$A:$A,'Dados Funil'!$K:$K,"")</f>
        <v>-60.51612903</v>
      </c>
      <c r="F5" s="5">
        <f t="array" ref="F5">XLOOKUP(A5,'Dados Funil'!$A:$A,'Dados Funil'!$L:$L,"")</f>
        <v>-0.3507853403</v>
      </c>
      <c r="G5" s="4" t="str">
        <f>IFERROR(__xludf.DUMMYFUNCTION("""COMPUTED_VALUE"""),"[IM] Social DM")</f>
        <v>[IM] Social DM</v>
      </c>
      <c r="H5" s="10">
        <f>IFERROR(__xludf.DUMMYFUNCTION("""COMPUTED_VALUE"""),-12269.179999999998)</f>
        <v>-12269.18</v>
      </c>
      <c r="I5" s="7">
        <f t="shared" si="2"/>
        <v>0.1040868891</v>
      </c>
      <c r="J5" s="7">
        <f t="shared" si="10"/>
        <v>1</v>
      </c>
      <c r="K5" s="6">
        <f t="array" ref="K5">XLOOKUP(G5,'Dados Funil'!A:A,'Dados Funil'!O:O,"")</f>
        <v>-1.5625</v>
      </c>
      <c r="L5" s="4" t="str">
        <f>IFERROR(__xludf.DUMMYFUNCTION("""COMPUTED_VALUE"""),"Form G4 Instagram Outros")</f>
        <v>Form G4 Instagram Outros</v>
      </c>
      <c r="M5" s="10">
        <f>IFERROR(__xludf.DUMMYFUNCTION("""COMPUTED_VALUE"""),-145431.0)</f>
        <v>-145431</v>
      </c>
      <c r="N5" s="7">
        <f t="shared" si="3"/>
        <v>0.1219132668</v>
      </c>
      <c r="O5" s="7">
        <f t="shared" si="11"/>
        <v>0.6456947379</v>
      </c>
      <c r="P5" s="10">
        <f t="array" ref="P5">XLOOKUP(L5,'Dados Funil'!A:A,'Dados Funil'!AM:AM,"")</f>
        <v>-3827.131579</v>
      </c>
      <c r="Q5" s="5">
        <f t="array" ref="Q5">XLOOKUP(L5,'Dados Funil'!A:A,'Dados Funil'!AN:AN,"")</f>
        <v>-0.5546567506</v>
      </c>
      <c r="R5" s="4" t="str">
        <f>IFERROR(__xludf.DUMMYFUNCTION("""COMPUTED_VALUE"""),"[IM] Chat")</f>
        <v>[IM] Chat</v>
      </c>
      <c r="S5" s="10">
        <f>IFERROR(__xludf.DUMMYFUNCTION("""COMPUTED_VALUE"""),37728.93231606669)</f>
        <v>37728.93232</v>
      </c>
      <c r="T5" s="7">
        <f t="shared" si="4"/>
        <v>0.1141490578</v>
      </c>
      <c r="U5" s="7">
        <f t="shared" si="12"/>
        <v>0.8509480303</v>
      </c>
      <c r="V5" s="3">
        <f t="array" ref="V5">XLOOKUP(R5,'Dados Funil'!$A:$A,'Dados Funil'!$K:$K,"")</f>
        <v>25.88520055</v>
      </c>
      <c r="W5" s="5">
        <f t="array" ref="W5">XLOOKUP(R5,'Dados Funil'!$A:$A,'Dados Funil'!$L:$L,"")</f>
        <v>0.1170667934</v>
      </c>
      <c r="X5" s="4" t="str">
        <f>IFERROR(__xludf.DUMMYFUNCTION("""COMPUTED_VALUE"""),"Aplicativo G4 - Indicação")</f>
        <v>Aplicativo G4 - Indicação</v>
      </c>
      <c r="Y5" s="10">
        <f>IFERROR(__xludf.DUMMYFUNCTION("""COMPUTED_VALUE"""),28567.094017094012)</f>
        <v>28567.09402</v>
      </c>
      <c r="Z5" s="7">
        <f t="shared" si="5"/>
        <v>0.1028957727</v>
      </c>
      <c r="AA5" s="7">
        <f t="shared" si="13"/>
        <v>0.7049581603</v>
      </c>
      <c r="AB5" s="6">
        <f t="array" ref="AB5">XLOOKUP(X5,'Dados Funil'!A:A,'Dados Funil'!O:O,"")</f>
        <v>72.83950617</v>
      </c>
      <c r="AC5" s="4" t="str">
        <f>IFERROR(__xludf.DUMMYFUNCTION("""COMPUTED_VALUE"""),"Aplicativo G4 - Indicação")</f>
        <v>Aplicativo G4 - Indicação</v>
      </c>
      <c r="AD5" s="10">
        <f>IFERROR(__xludf.DUMMYFUNCTION("""COMPUTED_VALUE"""),28138.46153846154)</f>
        <v>28138.46154</v>
      </c>
      <c r="AE5" s="7">
        <f t="shared" si="6"/>
        <v>0.06207140362</v>
      </c>
      <c r="AF5" s="7">
        <f t="shared" si="14"/>
        <v>0.9413665441</v>
      </c>
      <c r="AG5" s="10">
        <f t="array" ref="AG5">XLOOKUP(AC5,'Dados Funil'!A:A,'Dados Funil'!AM:AM,"")</f>
        <v>3517.307692</v>
      </c>
      <c r="AH5" s="5">
        <f t="array" ref="AH5">XLOOKUP(AC5,'Dados Funil'!A:A,'Dados Funil'!AN:AN,"")</f>
        <v>0.8071491615</v>
      </c>
      <c r="AI5" s="9" t="str">
        <f>IFERROR(__xludf.DUMMYFUNCTION("""COMPUTED_VALUE"""),"[IM] Chat")</f>
        <v>[IM] Chat</v>
      </c>
      <c r="AJ5" s="12">
        <f>IFERROR(__xludf.DUMMYFUNCTION("""COMPUTED_VALUE"""),221.11479944674957)</f>
        <v>221.1147994</v>
      </c>
      <c r="AK5" s="13">
        <f>IFERROR(__xludf.DUMMYFUNCTION("""COMPUTED_VALUE"""),0.30390492359932086)</f>
        <v>0.3039049236</v>
      </c>
      <c r="AL5" s="9">
        <f>IFERROR(__xludf.DUMMYFUNCTION("""COMPUTED_VALUE"""),4796.067039106146)</f>
        <v>4796.067039</v>
      </c>
      <c r="AM5" s="9">
        <f t="shared" si="7"/>
        <v>322285.5193</v>
      </c>
      <c r="AN5" s="9" t="str">
        <f>IFERROR(__xludf.DUMMYFUNCTION("""COMPUTED_VALUE"""),"[IM] Chat")</f>
        <v>[IM] Chat</v>
      </c>
      <c r="AO5" s="12">
        <f>IFERROR(__xludf.DUMMYFUNCTION("""COMPUTED_VALUE"""),247.0)</f>
        <v>247</v>
      </c>
      <c r="AP5" s="13">
        <f>IFERROR(__xludf.DUMMYFUNCTION("""COMPUTED_VALUE"""),0.27530364372469635)</f>
        <v>0.2753036437</v>
      </c>
      <c r="AQ5" s="14">
        <f>IFERROR(__xludf.DUMMYFUNCTION("""COMPUTED_VALUE"""),7795.516888786765)</f>
        <v>7795.516889</v>
      </c>
      <c r="AR5" s="9">
        <f t="shared" si="8"/>
        <v>530095.1484</v>
      </c>
    </row>
    <row r="6">
      <c r="A6" s="4" t="str">
        <f>IFERROR(__xludf.DUMMYFUNCTION("""COMPUTED_VALUE"""),"Form G4 Outros - Não Orgânico")</f>
        <v>Form G4 Outros - Não Orgânico</v>
      </c>
      <c r="B6" s="10">
        <f>IFERROR(__xludf.DUMMYFUNCTION("""COMPUTED_VALUE"""),-46345.414817440564)</f>
        <v>-46345.41482</v>
      </c>
      <c r="C6" s="7">
        <f t="shared" si="1"/>
        <v>0.07970549</v>
      </c>
      <c r="D6" s="7">
        <f t="shared" si="9"/>
        <v>0.9202039209</v>
      </c>
      <c r="E6" s="3">
        <f t="array" ref="E6">XLOOKUP(A6,'Dados Funil'!$A:$A,'Dados Funil'!$K:$K,"")</f>
        <v>-23.86451613</v>
      </c>
      <c r="F6" s="5">
        <f t="array" ref="F6">XLOOKUP(A6,'Dados Funil'!$A:$A,'Dados Funil'!$L:$L,"")</f>
        <v>-0.341582787</v>
      </c>
      <c r="G6" s="4"/>
      <c r="H6" s="4"/>
      <c r="I6" s="7" t="str">
        <f t="shared" si="2"/>
        <v/>
      </c>
      <c r="J6" s="4" t="str">
        <f t="shared" si="10"/>
        <v/>
      </c>
      <c r="K6" s="4" t="str">
        <f t="array" ref="K6">XLOOKUP(G6,'Dados Funil'!A:A,'Dados Funil'!O:O,"")</f>
        <v/>
      </c>
      <c r="L6" s="4" t="str">
        <f>IFERROR(__xludf.DUMMYFUNCTION("""COMPUTED_VALUE"""),"[IM] Form Facebook Ads")</f>
        <v>[IM] Form Facebook Ads</v>
      </c>
      <c r="M6" s="10">
        <f>IFERROR(__xludf.DUMMYFUNCTION("""COMPUTED_VALUE"""),-114075.0)</f>
        <v>-114075</v>
      </c>
      <c r="N6" s="7">
        <f t="shared" si="3"/>
        <v>0.09562786417</v>
      </c>
      <c r="O6" s="7">
        <f t="shared" si="11"/>
        <v>0.7413226021</v>
      </c>
      <c r="P6" s="10">
        <f t="array" ref="P6">XLOOKUP(L6,'Dados Funil'!A:A,'Dados Funil'!AM:AM,"")</f>
        <v>-2925</v>
      </c>
      <c r="Q6" s="5">
        <f t="array" ref="Q6">XLOOKUP(L6,'Dados Funil'!A:A,'Dados Funil'!AN:AN,"")</f>
        <v>-0.630387931</v>
      </c>
      <c r="R6" s="4" t="str">
        <f>IFERROR(__xludf.DUMMYFUNCTION("""COMPUTED_VALUE"""),"Form G4 Outros - Orgânico")</f>
        <v>Form G4 Outros - Orgânico</v>
      </c>
      <c r="S6" s="10">
        <f>IFERROR(__xludf.DUMMYFUNCTION("""COMPUTED_VALUE"""),28561.495601173243)</f>
        <v>28561.4956</v>
      </c>
      <c r="T6" s="7">
        <f t="shared" si="4"/>
        <v>0.08641293597</v>
      </c>
      <c r="U6" s="7">
        <f t="shared" si="12"/>
        <v>0.9373609663</v>
      </c>
      <c r="V6" s="3">
        <f t="array" ref="V6">XLOOKUP(R6,'Dados Funil'!$A:$A,'Dados Funil'!$K:$K,"")</f>
        <v>11.99354839</v>
      </c>
      <c r="W6" s="5">
        <f t="array" ref="W6">XLOOKUP(R6,'Dados Funil'!$A:$A,'Dados Funil'!$L:$L,"")</f>
        <v>0.07838589981</v>
      </c>
      <c r="X6" s="4" t="str">
        <f>IFERROR(__xludf.DUMMYFUNCTION("""COMPUTED_VALUE"""),"Form G4 Google")</f>
        <v>Form G4 Google</v>
      </c>
      <c r="Y6" s="10">
        <f>IFERROR(__xludf.DUMMYFUNCTION("""COMPUTED_VALUE"""),24341.89999999999)</f>
        <v>24341.9</v>
      </c>
      <c r="Z6" s="7">
        <f t="shared" si="5"/>
        <v>0.08767705279</v>
      </c>
      <c r="AA6" s="7">
        <f t="shared" si="13"/>
        <v>0.7926352131</v>
      </c>
      <c r="AB6" s="6">
        <f t="array" ref="AB6">XLOOKUP(X6,'Dados Funil'!A:A,'Dados Funil'!O:O,"")</f>
        <v>5.208333333</v>
      </c>
      <c r="AC6" s="4" t="str">
        <f>IFERROR(__xludf.DUMMYFUNCTION("""COMPUTED_VALUE"""),"Form G4 Outros - Orgânico")</f>
        <v>Form G4 Outros - Orgânico</v>
      </c>
      <c r="AD6" s="10">
        <f>IFERROR(__xludf.DUMMYFUNCTION("""COMPUTED_VALUE"""),26579.957086010443)</f>
        <v>26579.95709</v>
      </c>
      <c r="AE6" s="7">
        <f t="shared" si="6"/>
        <v>0.05863345593</v>
      </c>
      <c r="AF6" s="7">
        <f t="shared" si="14"/>
        <v>1</v>
      </c>
      <c r="AG6" s="10">
        <f t="array" ref="AG6">XLOOKUP(AC6,'Dados Funil'!A:A,'Dados Funil'!AM:AM,"")</f>
        <v>309.0692684</v>
      </c>
      <c r="AH6" s="5">
        <f t="array" ref="AH6">XLOOKUP(AC6,'Dados Funil'!A:A,'Dados Funil'!AN:AN,"")</f>
        <v>0.05738402173</v>
      </c>
      <c r="AI6" s="9" t="str">
        <f>IFERROR(__xludf.DUMMYFUNCTION("""COMPUTED_VALUE"""),"Form G4 Instagram Tallis")</f>
        <v>Form G4 Instagram Tallis</v>
      </c>
      <c r="AJ6" s="12">
        <f>IFERROR(__xludf.DUMMYFUNCTION("""COMPUTED_VALUE"""),134.6627565982404)</f>
        <v>134.6627566</v>
      </c>
      <c r="AK6" s="13">
        <f>IFERROR(__xludf.DUMMYFUNCTION("""COMPUTED_VALUE"""),0.45365853658536587)</f>
        <v>0.4536585366</v>
      </c>
      <c r="AL6" s="9">
        <f>IFERROR(__xludf.DUMMYFUNCTION("""COMPUTED_VALUE"""),5187.360215053764)</f>
        <v>5187.360215</v>
      </c>
      <c r="AM6" s="9">
        <f t="shared" si="7"/>
        <v>316900.5513</v>
      </c>
      <c r="AN6" s="9" t="str">
        <f>IFERROR(__xludf.DUMMYFUNCTION("""COMPUTED_VALUE"""),"Form G4 Instagram Tallis")</f>
        <v>Form G4 Instagram Tallis</v>
      </c>
      <c r="AO6" s="12">
        <f>IFERROR(__xludf.DUMMYFUNCTION("""COMPUTED_VALUE"""),84.0)</f>
        <v>84</v>
      </c>
      <c r="AP6" s="13">
        <f>IFERROR(__xludf.DUMMYFUNCTION("""COMPUTED_VALUE"""),0.5357142857142857)</f>
        <v>0.5357142857</v>
      </c>
      <c r="AQ6" s="14">
        <f>IFERROR(__xludf.DUMMYFUNCTION("""COMPUTED_VALUE"""),1168.0666666666666)</f>
        <v>1168.066667</v>
      </c>
      <c r="AR6" s="9">
        <f t="shared" si="8"/>
        <v>52563</v>
      </c>
    </row>
    <row r="7">
      <c r="A7" s="4" t="str">
        <f>IFERROR(__xludf.DUMMYFUNCTION("""COMPUTED_VALUE"""),"Aplicativo G4 - Indicação")</f>
        <v>Aplicativo G4 - Indicação</v>
      </c>
      <c r="B7" s="10">
        <f>IFERROR(__xludf.DUMMYFUNCTION("""COMPUTED_VALUE"""),-16731.03942652329)</f>
        <v>-16731.03943</v>
      </c>
      <c r="C7" s="7">
        <f t="shared" si="1"/>
        <v>0.02877427467</v>
      </c>
      <c r="D7" s="7">
        <f t="shared" si="9"/>
        <v>0.9489781955</v>
      </c>
      <c r="E7" s="3">
        <f t="array" ref="E7">XLOOKUP(A7,'Dados Funil'!$A:$A,'Dados Funil'!$K:$K,"")</f>
        <v>-23.92258065</v>
      </c>
      <c r="F7" s="5">
        <f t="array" ref="F7">XLOOKUP(A7,'Dados Funil'!$A:$A,'Dados Funil'!$L:$L,"")</f>
        <v>-0.7266313933</v>
      </c>
      <c r="G7" s="4"/>
      <c r="H7" s="4"/>
      <c r="I7" s="7" t="str">
        <f t="shared" si="2"/>
        <v/>
      </c>
      <c r="J7" s="4" t="str">
        <f t="shared" si="10"/>
        <v/>
      </c>
      <c r="K7" s="4" t="str">
        <f t="array" ref="K7">XLOOKUP(G7,'Dados Funil'!A:A,'Dados Funil'!O:O,"")</f>
        <v/>
      </c>
      <c r="L7" s="4" t="str">
        <f>IFERROR(__xludf.DUMMYFUNCTION("""COMPUTED_VALUE"""),"Form G4 Facebook")</f>
        <v>Form G4 Facebook</v>
      </c>
      <c r="M7" s="10">
        <f>IFERROR(__xludf.DUMMYFUNCTION("""COMPUTED_VALUE"""),-91693.61538461535)</f>
        <v>-91693.61538</v>
      </c>
      <c r="N7" s="7">
        <f t="shared" si="3"/>
        <v>0.07686578652</v>
      </c>
      <c r="O7" s="7">
        <f t="shared" si="11"/>
        <v>0.8181883886</v>
      </c>
      <c r="P7" s="10">
        <f t="array" ref="P7">XLOOKUP(L7,'Dados Funil'!A:A,'Dados Funil'!AM:AM,"")</f>
        <v>-1528.226923</v>
      </c>
      <c r="Q7" s="5">
        <f t="array" ref="Q7">XLOOKUP(L7,'Dados Funil'!A:A,'Dados Funil'!AN:AN,"")</f>
        <v>-0.4305984221</v>
      </c>
      <c r="R7" s="4" t="str">
        <f>IFERROR(__xludf.DUMMYFUNCTION("""COMPUTED_VALUE"""),"[IM] Link de Indicação")</f>
        <v>[IM] Link de Indicação</v>
      </c>
      <c r="S7" s="10">
        <f>IFERROR(__xludf.DUMMYFUNCTION("""COMPUTED_VALUE"""),19712.377965260577)</f>
        <v>19712.37797</v>
      </c>
      <c r="T7" s="7">
        <f t="shared" si="4"/>
        <v>0.05963988997</v>
      </c>
      <c r="U7" s="7">
        <f t="shared" si="12"/>
        <v>0.9970008563</v>
      </c>
      <c r="V7" s="3">
        <f t="array" ref="V7">XLOOKUP(R7,'Dados Funil'!$A:$A,'Dados Funil'!$K:$K,"")</f>
        <v>14.03225806</v>
      </c>
      <c r="W7" s="5">
        <f t="array" ref="W7">XLOOKUP(R7,'Dados Funil'!$A:$A,'Dados Funil'!$L:$L,"")</f>
        <v>0.2987637363</v>
      </c>
      <c r="X7" s="4" t="str">
        <f>IFERROR(__xludf.DUMMYFUNCTION("""COMPUTED_VALUE"""),"[IM] Outros")</f>
        <v>[IM] Outros</v>
      </c>
      <c r="Y7" s="10">
        <f>IFERROR(__xludf.DUMMYFUNCTION("""COMPUTED_VALUE"""),23403.47489239598)</f>
        <v>23403.47489</v>
      </c>
      <c r="Z7" s="7">
        <f t="shared" si="5"/>
        <v>0.08429694082</v>
      </c>
      <c r="AA7" s="7">
        <f t="shared" si="13"/>
        <v>0.8769321539</v>
      </c>
      <c r="AB7" s="6">
        <f t="array" ref="AB7">XLOOKUP(X7,'Dados Funil'!A:A,'Dados Funil'!O:O,"")</f>
        <v>27.23577236</v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IFERROR(__xludf.DUMMYFUNCTION("""COMPUTED_VALUE"""),"[IM] Form Facebook Ads")</f>
        <v>[IM] Form Facebook Ads</v>
      </c>
      <c r="AJ7" s="12">
        <f>IFERROR(__xludf.DUMMYFUNCTION("""COMPUTED_VALUE"""),172.516129032258)</f>
        <v>172.516129</v>
      </c>
      <c r="AK7" s="13">
        <f>IFERROR(__xludf.DUMMYFUNCTION("""COMPUTED_VALUE"""),0.34)</f>
        <v>0.34</v>
      </c>
      <c r="AL7" s="9">
        <f>IFERROR(__xludf.DUMMYFUNCTION("""COMPUTED_VALUE"""),4640.0)</f>
        <v>4640</v>
      </c>
      <c r="AM7" s="9">
        <f t="shared" si="7"/>
        <v>272161.4452</v>
      </c>
      <c r="AN7" s="9" t="str">
        <f>IFERROR(__xludf.DUMMYFUNCTION("""COMPUTED_VALUE"""),"[IM] Form Facebook Ads")</f>
        <v>[IM] Form Facebook Ads</v>
      </c>
      <c r="AO7" s="12">
        <f>IFERROR(__xludf.DUMMYFUNCTION("""COMPUTED_VALUE"""),112.0)</f>
        <v>112</v>
      </c>
      <c r="AP7" s="13">
        <f>IFERROR(__xludf.DUMMYFUNCTION("""COMPUTED_VALUE"""),0.3482142857142857)</f>
        <v>0.3482142857</v>
      </c>
      <c r="AQ7" s="14">
        <f>IFERROR(__xludf.DUMMYFUNCTION("""COMPUTED_VALUE"""),1715.0)</f>
        <v>1715</v>
      </c>
      <c r="AR7" s="9">
        <f t="shared" si="8"/>
        <v>66885</v>
      </c>
    </row>
    <row r="8">
      <c r="A8" s="4" t="str">
        <f>IFERROR(__xludf.DUMMYFUNCTION("""COMPUTED_VALUE"""),"Indicação - Outros")</f>
        <v>Indicação - Outros</v>
      </c>
      <c r="B8" s="10">
        <f>IFERROR(__xludf.DUMMYFUNCTION("""COMPUTED_VALUE"""),-14692.32152554952)</f>
        <v>-14692.32153</v>
      </c>
      <c r="C8" s="7">
        <f t="shared" si="1"/>
        <v>0.02526805923</v>
      </c>
      <c r="D8" s="7">
        <f t="shared" si="9"/>
        <v>0.9742462548</v>
      </c>
      <c r="E8" s="3">
        <f t="array" ref="E8">XLOOKUP(A8,'Dados Funil'!$A:$A,'Dados Funil'!$K:$K,"")</f>
        <v>-4.297290323</v>
      </c>
      <c r="F8" s="5">
        <f t="array" ref="F8">XLOOKUP(A8,'Dados Funil'!$A:$A,'Dados Funil'!$L:$L,"")</f>
        <v>-0.6824030817</v>
      </c>
      <c r="G8" s="4"/>
      <c r="H8" s="4"/>
      <c r="I8" s="7" t="str">
        <f t="shared" si="2"/>
        <v/>
      </c>
      <c r="J8" s="4" t="str">
        <f t="shared" si="10"/>
        <v/>
      </c>
      <c r="K8" s="4" t="str">
        <f t="array" ref="K8">XLOOKUP(G8,'Dados Funil'!A:A,'Dados Funil'!O:O,"")</f>
        <v/>
      </c>
      <c r="L8" s="4" t="str">
        <f>IFERROR(__xludf.DUMMYFUNCTION("""COMPUTED_VALUE"""),"Form G4 Google")</f>
        <v>Form G4 Google</v>
      </c>
      <c r="M8" s="10">
        <f>IFERROR(__xludf.DUMMYFUNCTION("""COMPUTED_VALUE"""),-91621.42997558594)</f>
        <v>-91621.42998</v>
      </c>
      <c r="N8" s="7">
        <f t="shared" si="3"/>
        <v>0.07680527425</v>
      </c>
      <c r="O8" s="7">
        <f t="shared" si="11"/>
        <v>0.8949936628</v>
      </c>
      <c r="P8" s="10">
        <f t="array" ref="P8">XLOOKUP(L8,'Dados Funil'!A:A,'Dados Funil'!AM:AM,"")</f>
        <v>-2234.669024</v>
      </c>
      <c r="Q8" s="5">
        <f t="array" ref="Q8">XLOOKUP(L8,'Dados Funil'!A:A,'Dados Funil'!AN:AN,"")</f>
        <v>-0.4590169674</v>
      </c>
      <c r="R8" s="4" t="str">
        <f>IFERROR(__xludf.DUMMYFUNCTION("""COMPUTED_VALUE"""),"[CM] Form G4 - Instagram")</f>
        <v>[CM] Form G4 - Instagram</v>
      </c>
      <c r="S8" s="10">
        <f>IFERROR(__xludf.DUMMYFUNCTION("""COMPUTED_VALUE"""),991.2871262880014)</f>
        <v>991.2871263</v>
      </c>
      <c r="T8" s="7">
        <f t="shared" si="4"/>
        <v>0.002999143748</v>
      </c>
      <c r="U8" s="7">
        <f t="shared" si="12"/>
        <v>1</v>
      </c>
      <c r="V8" s="3">
        <f t="array" ref="V8">XLOOKUP(R8,'Dados Funil'!$A:$A,'Dados Funil'!$K:$K,"")</f>
        <v>0.4936571221</v>
      </c>
      <c r="W8" s="5">
        <f t="array" ref="W8">XLOOKUP(R8,'Dados Funil'!$A:$A,'Dados Funil'!$L:$L,"")</f>
        <v>0.02819875776</v>
      </c>
      <c r="X8" s="4" t="str">
        <f>IFERROR(__xludf.DUMMYFUNCTION("""COMPUTED_VALUE"""),"Form G4 Facebook")</f>
        <v>Form G4 Facebook</v>
      </c>
      <c r="Y8" s="10">
        <f>IFERROR(__xludf.DUMMYFUNCTION("""COMPUTED_VALUE"""),21598.668131868133)</f>
        <v>21598.66813</v>
      </c>
      <c r="Z8" s="7">
        <f t="shared" si="5"/>
        <v>0.07779621008</v>
      </c>
      <c r="AA8" s="7">
        <f t="shared" si="13"/>
        <v>0.954728364</v>
      </c>
      <c r="AB8" s="6">
        <f t="array" ref="AB8">XLOOKUP(X8,'Dados Funil'!A:A,'Dados Funil'!O:O,"")</f>
        <v>2.983193277</v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IFERROR(__xludf.DUMMYFUNCTION("""COMPUTED_VALUE"""),"[IM] Social DM")</f>
        <v>[IM] Social DM</v>
      </c>
      <c r="AJ8" s="12">
        <f>IFERROR(__xludf.DUMMYFUNCTION("""COMPUTED_VALUE"""),46.75521821631877)</f>
        <v>46.75521822</v>
      </c>
      <c r="AK8" s="13">
        <f>IFERROR(__xludf.DUMMYFUNCTION("""COMPUTED_VALUE"""),0.4375)</f>
        <v>0.4375</v>
      </c>
      <c r="AL8" s="9">
        <f>IFERROR(__xludf.DUMMYFUNCTION("""COMPUTED_VALUE"""),12269.179999999998)</f>
        <v>12269.18</v>
      </c>
      <c r="AM8" s="9">
        <f t="shared" si="7"/>
        <v>250971.0824</v>
      </c>
      <c r="AN8" s="9" t="str">
        <f>IFERROR(__xludf.DUMMYFUNCTION("""COMPUTED_VALUE"""),"[IM] Social DM")</f>
        <v>[IM] Social DM</v>
      </c>
      <c r="AO8" s="12">
        <f>IFERROR(__xludf.DUMMYFUNCTION("""COMPUTED_VALUE"""),64.0)</f>
        <v>64</v>
      </c>
      <c r="AP8" s="13">
        <f>IFERROR(__xludf.DUMMYFUNCTION("""COMPUTED_VALUE"""),0.421875)</f>
        <v>0.421875</v>
      </c>
      <c r="AQ8" s="14">
        <f>IFERROR(__xludf.DUMMYFUNCTION("""COMPUTED_VALUE"""),6074.344446252893)</f>
        <v>6074.344446</v>
      </c>
      <c r="AR8" s="9">
        <f t="shared" si="8"/>
        <v>164007.3</v>
      </c>
    </row>
    <row r="9">
      <c r="A9" s="4" t="str">
        <f>IFERROR(__xludf.DUMMYFUNCTION("""COMPUTED_VALUE"""),"Form G4 Google")</f>
        <v>Form G4 Google</v>
      </c>
      <c r="B9" s="10">
        <f>IFERROR(__xludf.DUMMYFUNCTION("""COMPUTED_VALUE"""),-13627.53788709673)</f>
        <v>-13627.53789</v>
      </c>
      <c r="C9" s="7">
        <f t="shared" si="1"/>
        <v>0.02343682949</v>
      </c>
      <c r="D9" s="7">
        <f t="shared" si="9"/>
        <v>0.9976830843</v>
      </c>
      <c r="E9" s="3">
        <f t="array" ref="E9">XLOOKUP(A9,'Dados Funil'!$A:$A,'Dados Funil'!$K:$K,"")</f>
        <v>-7.464516129</v>
      </c>
      <c r="F9" s="5">
        <f t="array" ref="F9">XLOOKUP(A9,'Dados Funil'!$A:$A,'Dados Funil'!$L:$L,"")</f>
        <v>-0.07214566315</v>
      </c>
      <c r="G9" s="4"/>
      <c r="H9" s="4"/>
      <c r="I9" s="7" t="str">
        <f t="shared" si="2"/>
        <v/>
      </c>
      <c r="J9" s="4" t="str">
        <f t="shared" si="10"/>
        <v/>
      </c>
      <c r="K9" s="4" t="str">
        <f t="array" ref="K9">XLOOKUP(G9,'Dados Funil'!A:A,'Dados Funil'!O:O,"")</f>
        <v/>
      </c>
      <c r="L9" s="4" t="str">
        <f>IFERROR(__xludf.DUMMYFUNCTION("""COMPUTED_VALUE"""),"Form G4 Outros - Não Orgânico")</f>
        <v>Form G4 Outros - Não Orgânico</v>
      </c>
      <c r="M9" s="10">
        <f>IFERROR(__xludf.DUMMYFUNCTION("""COMPUTED_VALUE"""),-48789.6)</f>
        <v>-48789.6</v>
      </c>
      <c r="N9" s="7">
        <f t="shared" si="3"/>
        <v>0.04089980488</v>
      </c>
      <c r="O9" s="7">
        <f t="shared" si="11"/>
        <v>0.9358934677</v>
      </c>
      <c r="P9" s="10">
        <f t="array" ref="P9">XLOOKUP(L9,'Dados Funil'!A:A,'Dados Funil'!AM:AM,"")</f>
        <v>-3484.971429</v>
      </c>
      <c r="Q9" s="5">
        <f t="array" ref="Q9">XLOOKUP(L9,'Dados Funil'!A:A,'Dados Funil'!AN:AN,"")</f>
        <v>-0.6901948802</v>
      </c>
      <c r="R9" s="4"/>
      <c r="S9" s="4"/>
      <c r="T9" s="7" t="str">
        <f t="shared" si="4"/>
        <v/>
      </c>
      <c r="U9" s="4" t="str">
        <f t="shared" si="12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 t="str">
        <f>IFERROR(__xludf.DUMMYFUNCTION("""COMPUTED_VALUE"""),"[CM] Form G4 - Outros")</f>
        <v>[CM] Form G4 - Outros</v>
      </c>
      <c r="Y9" s="10">
        <f>IFERROR(__xludf.DUMMYFUNCTION("""COMPUTED_VALUE"""),7013.616428571428)</f>
        <v>7013.616429</v>
      </c>
      <c r="Z9" s="7">
        <f t="shared" si="5"/>
        <v>0.02526233441</v>
      </c>
      <c r="AA9" s="7">
        <f t="shared" si="13"/>
        <v>0.9799906984</v>
      </c>
      <c r="AB9" s="6">
        <f t="array" ref="AB9">XLOOKUP(X9,'Dados Funil'!A:A,'Dados Funil'!O:O,"")</f>
        <v>8.763636364</v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IFERROR(__xludf.DUMMYFUNCTION("""COMPUTED_VALUE"""),"Form G4 Google")</f>
        <v>Form G4 Google</v>
      </c>
      <c r="AJ9" s="12">
        <f>IFERROR(__xludf.DUMMYFUNCTION("""COMPUTED_VALUE"""),103.46451612903223)</f>
        <v>103.4645161</v>
      </c>
      <c r="AK9" s="13">
        <f>IFERROR(__xludf.DUMMYFUNCTION("""COMPUTED_VALUE"""),0.375)</f>
        <v>0.375</v>
      </c>
      <c r="AL9" s="9">
        <f>IFERROR(__xludf.DUMMYFUNCTION("""COMPUTED_VALUE"""),4868.38)</f>
        <v>4868.38</v>
      </c>
      <c r="AM9" s="9">
        <f t="shared" si="7"/>
        <v>188889.2179</v>
      </c>
      <c r="AN9" s="9" t="str">
        <f>IFERROR(__xludf.DUMMYFUNCTION("""COMPUTED_VALUE"""),"Form G4 Google")</f>
        <v>Form G4 Google</v>
      </c>
      <c r="AO9" s="12">
        <f>IFERROR(__xludf.DUMMYFUNCTION("""COMPUTED_VALUE"""),96.0)</f>
        <v>96</v>
      </c>
      <c r="AP9" s="13">
        <f>IFERROR(__xludf.DUMMYFUNCTION("""COMPUTED_VALUE"""),0.4270833333333333)</f>
        <v>0.4270833333</v>
      </c>
      <c r="AQ9" s="14">
        <f>IFERROR(__xludf.DUMMYFUNCTION("""COMPUTED_VALUE"""),2633.710976205221)</f>
        <v>2633.710976</v>
      </c>
      <c r="AR9" s="9">
        <f t="shared" si="8"/>
        <v>107982.15</v>
      </c>
    </row>
    <row r="10">
      <c r="A10" s="4" t="str">
        <f>IFERROR(__xludf.DUMMYFUNCTION("""COMPUTED_VALUE"""),"[CM] Form G4 - Outros")</f>
        <v>[CM] Form G4 - Outros</v>
      </c>
      <c r="B10" s="10">
        <f>IFERROR(__xludf.DUMMYFUNCTION("""COMPUTED_VALUE"""),-1347.1897729508576)</f>
        <v>-1347.189773</v>
      </c>
      <c r="C10" s="7">
        <f t="shared" si="1"/>
        <v>0.002316915738</v>
      </c>
      <c r="D10" s="7">
        <f t="shared" si="9"/>
        <v>1</v>
      </c>
      <c r="E10" s="3">
        <f t="array" ref="E10">XLOOKUP(A10,'Dados Funil'!$A:$A,'Dados Funil'!$K:$K,"")</f>
        <v>-0.6708952519</v>
      </c>
      <c r="F10" s="5">
        <f t="array" ref="F10">XLOOKUP(A10,'Dados Funil'!$A:$A,'Dados Funil'!$L:$L,"")</f>
        <v>-0.05748447205</v>
      </c>
      <c r="G10" s="4"/>
      <c r="H10" s="4"/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 t="str">
        <f>IFERROR(__xludf.DUMMYFUNCTION("""COMPUTED_VALUE"""),"[IM] Outros")</f>
        <v>[IM] Outros</v>
      </c>
      <c r="M10" s="10">
        <f>IFERROR(__xludf.DUMMYFUNCTION("""COMPUTED_VALUE"""),-40095.35294117646)</f>
        <v>-40095.35294</v>
      </c>
      <c r="N10" s="7">
        <f t="shared" si="3"/>
        <v>0.03361150966</v>
      </c>
      <c r="O10" s="7">
        <f t="shared" si="11"/>
        <v>0.9695049774</v>
      </c>
      <c r="P10" s="10">
        <f t="array" ref="P10">XLOOKUP(L10,'Dados Funil'!A:A,'Dados Funil'!AM:AM,"")</f>
        <v>-5727.907563</v>
      </c>
      <c r="Q10" s="5">
        <f t="array" ref="Q10">XLOOKUP(L10,'Dados Funil'!A:A,'Dados Funil'!AN:AN,"")</f>
        <v>-0.7999016583</v>
      </c>
      <c r="R10" s="4"/>
      <c r="S10" s="4"/>
      <c r="T10" s="7" t="str">
        <f t="shared" si="4"/>
        <v/>
      </c>
      <c r="U10" s="4" t="str">
        <f t="shared" si="12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 t="str">
        <f>IFERROR(__xludf.DUMMYFUNCTION("""COMPUTED_VALUE"""),"[IM] Form Facebook Ads")</f>
        <v>[IM] Form Facebook Ads</v>
      </c>
      <c r="Y10" s="10">
        <f>IFERROR(__xludf.DUMMYFUNCTION("""COMPUTED_VALUE"""),4268.799999999979)</f>
        <v>4268.8</v>
      </c>
      <c r="Z10" s="7">
        <f t="shared" si="5"/>
        <v>0.01537578426</v>
      </c>
      <c r="AA10" s="7">
        <f t="shared" si="13"/>
        <v>0.9953664826</v>
      </c>
      <c r="AB10" s="6">
        <f t="array" ref="AB10">XLOOKUP(X10,'Dados Funil'!A:A,'Dados Funil'!O:O,"")</f>
        <v>0.8214285714</v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IFERROR(__xludf.DUMMYFUNCTION("""COMPUTED_VALUE"""),"[IM] Outros")</f>
        <v>[IM] Outros</v>
      </c>
      <c r="AJ10" s="12">
        <f>IFERROR(__xludf.DUMMYFUNCTION("""COMPUTED_VALUE"""),77.76774193548385)</f>
        <v>77.76774194</v>
      </c>
      <c r="AK10" s="13">
        <f>IFERROR(__xludf.DUMMYFUNCTION("""COMPUTED_VALUE"""),0.31097560975609756)</f>
        <v>0.3109756098</v>
      </c>
      <c r="AL10" s="9">
        <f>IFERROR(__xludf.DUMMYFUNCTION("""COMPUTED_VALUE"""),7160.764705882352)</f>
        <v>7160.764706</v>
      </c>
      <c r="AM10" s="9">
        <f t="shared" si="7"/>
        <v>173175.0097</v>
      </c>
      <c r="AN10" s="9" t="str">
        <f>IFERROR(__xludf.DUMMYFUNCTION("""COMPUTED_VALUE"""),"[IM] Outros")</f>
        <v>[IM] Outros</v>
      </c>
      <c r="AO10" s="12">
        <f>IFERROR(__xludf.DUMMYFUNCTION("""COMPUTED_VALUE"""),12.0)</f>
        <v>12</v>
      </c>
      <c r="AP10" s="13">
        <f>IFERROR(__xludf.DUMMYFUNCTION("""COMPUTED_VALUE"""),0.5833333333333334)</f>
        <v>0.5833333333</v>
      </c>
      <c r="AQ10" s="14">
        <f>IFERROR(__xludf.DUMMYFUNCTION("""COMPUTED_VALUE"""),1432.857142857143)</f>
        <v>1432.857143</v>
      </c>
      <c r="AR10" s="9">
        <f t="shared" si="8"/>
        <v>10030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 t="str">
        <f>IFERROR(__xludf.DUMMYFUNCTION("""COMPUTED_VALUE"""),"[CM] Form G4 - Instagram")</f>
        <v>[CM] Form G4 - Instagram</v>
      </c>
      <c r="M11" s="10">
        <f>IFERROR(__xludf.DUMMYFUNCTION("""COMPUTED_VALUE"""),-36377.67857142858)</f>
        <v>-36377.67857</v>
      </c>
      <c r="N11" s="7">
        <f t="shared" si="3"/>
        <v>0.03049502262</v>
      </c>
      <c r="O11" s="7">
        <f t="shared" si="11"/>
        <v>1</v>
      </c>
      <c r="P11" s="10">
        <f t="array" ref="P11">XLOOKUP(L11,'Dados Funil'!A:A,'Dados Funil'!AM:AM,"")</f>
        <v>-7275.535714</v>
      </c>
      <c r="Q11" s="5">
        <f t="array" ref="Q11">XLOOKUP(L11,'Dados Funil'!A:A,'Dados Funil'!AN:AN,"")</f>
        <v>-1</v>
      </c>
      <c r="R11" s="4"/>
      <c r="S11" s="4"/>
      <c r="T11" s="7" t="str">
        <f t="shared" si="4"/>
        <v/>
      </c>
      <c r="U11" s="4" t="str">
        <f t="shared" si="12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 t="str">
        <f>IFERROR(__xludf.DUMMYFUNCTION("""COMPUTED_VALUE"""),"[IM] Link de Indicação")</f>
        <v>[IM] Link de Indicação</v>
      </c>
      <c r="Y11" s="10">
        <f>IFERROR(__xludf.DUMMYFUNCTION("""COMPUTED_VALUE"""),1053.5926153846142)</f>
        <v>1053.592615</v>
      </c>
      <c r="Z11" s="7">
        <f t="shared" si="5"/>
        <v>0.003794933648</v>
      </c>
      <c r="AA11" s="7">
        <f t="shared" si="13"/>
        <v>0.9991614163</v>
      </c>
      <c r="AB11" s="6">
        <f t="array" ref="AB11">XLOOKUP(X11,'Dados Funil'!A:A,'Dados Funil'!O:O,"")</f>
        <v>0.3783102144</v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IFERROR(__xludf.DUMMYFUNCTION("""COMPUTED_VALUE"""),"Form G4 Outros - Não Orgânico")</f>
        <v>Form G4 Outros - Não Orgânico</v>
      </c>
      <c r="AJ11" s="12">
        <f>IFERROR(__xludf.DUMMYFUNCTION("""COMPUTED_VALUE"""),69.86451612903222)</f>
        <v>69.86451613</v>
      </c>
      <c r="AK11" s="13">
        <f>IFERROR(__xludf.DUMMYFUNCTION("""COMPUTED_VALUE"""),0.38461538461538464)</f>
        <v>0.3846153846</v>
      </c>
      <c r="AL11" s="9">
        <f>IFERROR(__xludf.DUMMYFUNCTION("""COMPUTED_VALUE"""),5049.257142857143)</f>
        <v>5049.257143</v>
      </c>
      <c r="AM11" s="9">
        <f t="shared" si="7"/>
        <v>135678.4258</v>
      </c>
      <c r="AN11" s="9" t="str">
        <f>IFERROR(__xludf.DUMMYFUNCTION("""COMPUTED_VALUE"""),"Form G4 Outros - Não Orgânico")</f>
        <v>Form G4 Outros - Não Orgânico</v>
      </c>
      <c r="AO11" s="12">
        <f>IFERROR(__xludf.DUMMYFUNCTION("""COMPUTED_VALUE"""),46.0)</f>
        <v>46</v>
      </c>
      <c r="AP11" s="13">
        <f>IFERROR(__xludf.DUMMYFUNCTION("""COMPUTED_VALUE"""),0.30434782608695654)</f>
        <v>0.3043478261</v>
      </c>
      <c r="AQ11" s="14">
        <f>IFERROR(__xludf.DUMMYFUNCTION("""COMPUTED_VALUE"""),1564.2857142857142)</f>
        <v>1564.285714</v>
      </c>
      <c r="AR11" s="9">
        <f t="shared" si="8"/>
        <v>21900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4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12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 t="str">
        <f>IFERROR(__xludf.DUMMYFUNCTION("""COMPUTED_VALUE"""),"[CM] Form G4 - Instagram")</f>
        <v>[CM] Form G4 - Instagram</v>
      </c>
      <c r="Y12" s="10">
        <f>IFERROR(__xludf.DUMMYFUNCTION("""COMPUTED_VALUE"""),232.81714285714148)</f>
        <v>232.8171429</v>
      </c>
      <c r="Z12" s="7">
        <f t="shared" si="5"/>
        <v>0.0008385837147</v>
      </c>
      <c r="AA12" s="7">
        <f t="shared" si="13"/>
        <v>1</v>
      </c>
      <c r="AB12" s="6">
        <f t="array" ref="AB12">XLOOKUP(X12,'Dados Funil'!A:A,'Dados Funil'!O:O,"")</f>
        <v>0.1777777778</v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IFERROR(__xludf.DUMMYFUNCTION("""COMPUTED_VALUE"""),"Form G4 Facebook")</f>
        <v>Form G4 Facebook</v>
      </c>
      <c r="AJ12" s="12">
        <f>IFERROR(__xludf.DUMMYFUNCTION("""COMPUTED_VALUE"""),115.38709677419351)</f>
        <v>115.3870968</v>
      </c>
      <c r="AK12" s="13">
        <f>IFERROR(__xludf.DUMMYFUNCTION("""COMPUTED_VALUE"""),0.2642857142857143)</f>
        <v>0.2642857143</v>
      </c>
      <c r="AL12" s="9">
        <f>IFERROR(__xludf.DUMMYFUNCTION("""COMPUTED_VALUE"""),3549.0769230769224)</f>
        <v>3549.076923</v>
      </c>
      <c r="AM12" s="9">
        <f t="shared" si="7"/>
        <v>108229.6732</v>
      </c>
      <c r="AN12" s="9" t="str">
        <f>IFERROR(__xludf.DUMMYFUNCTION("""COMPUTED_VALUE"""),"Form G4 Facebook")</f>
        <v>Form G4 Facebook</v>
      </c>
      <c r="AO12" s="12">
        <f>IFERROR(__xludf.DUMMYFUNCTION("""COMPUTED_VALUE"""),204.0)</f>
        <v>204</v>
      </c>
      <c r="AP12" s="13">
        <f>IFERROR(__xludf.DUMMYFUNCTION("""COMPUTED_VALUE"""),0.29411764705882354)</f>
        <v>0.2941176471</v>
      </c>
      <c r="AQ12" s="14">
        <f>IFERROR(__xludf.DUMMYFUNCTION("""COMPUTED_VALUE"""),2020.85)</f>
        <v>2020.85</v>
      </c>
      <c r="AR12" s="9">
        <f t="shared" si="8"/>
        <v>121251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4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12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IFERROR(__xludf.DUMMYFUNCTION("""COMPUTED_VALUE"""),"[IM] Link de Indicação")</f>
        <v>[IM] Link de Indicação</v>
      </c>
      <c r="AJ13" s="12">
        <f>IFERROR(__xludf.DUMMYFUNCTION("""COMPUTED_VALUE"""),46.96774193548385)</f>
        <v>46.96774194</v>
      </c>
      <c r="AK13" s="13">
        <f>IFERROR(__xludf.DUMMYFUNCTION("""COMPUTED_VALUE"""),0.3076923076923077)</f>
        <v>0.3076923077</v>
      </c>
      <c r="AL13" s="9">
        <f>IFERROR(__xludf.DUMMYFUNCTION("""COMPUTED_VALUE"""),4565.568)</f>
        <v>4565.568</v>
      </c>
      <c r="AM13" s="9">
        <f t="shared" si="7"/>
        <v>65979.82142</v>
      </c>
      <c r="AN13" s="9" t="str">
        <f>IFERROR(__xludf.DUMMYFUNCTION("""COMPUTED_VALUE"""),"[IM] Link de Indicação")</f>
        <v>[IM] Link de Indicação</v>
      </c>
      <c r="AO13" s="12">
        <f>IFERROR(__xludf.DUMMYFUNCTION("""COMPUTED_VALUE"""),61.0)</f>
        <v>61</v>
      </c>
      <c r="AP13" s="13">
        <f>IFERROR(__xludf.DUMMYFUNCTION("""COMPUTED_VALUE"""),0.3114754098360656)</f>
        <v>0.3114754098</v>
      </c>
      <c r="AQ13" s="14">
        <f>IFERROR(__xludf.DUMMYFUNCTION("""COMPUTED_VALUE"""),8023.736842105263)</f>
        <v>8023.736842</v>
      </c>
      <c r="AR13" s="9">
        <f t="shared" si="8"/>
        <v>152451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4" t="str">
        <f t="array" ref="Q14">XLOOKUP(L14,'Dados Funil'!A:A,'Dados Funil'!AN:AN,"")</f>
        <v/>
      </c>
      <c r="R14" s="4"/>
      <c r="S14" s="4"/>
      <c r="T14" s="7" t="str">
        <f t="shared" si="4"/>
        <v/>
      </c>
      <c r="U14" s="4" t="str">
        <f t="shared" si="12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IFERROR(__xludf.DUMMYFUNCTION("""COMPUTED_VALUE"""),"[CM] Form G4 - Instagram")</f>
        <v>[CM] Form G4 - Instagram</v>
      </c>
      <c r="AJ14" s="12">
        <f>IFERROR(__xludf.DUMMYFUNCTION("""COMPUTED_VALUE"""),17.50634287785429)</f>
        <v>17.50634288</v>
      </c>
      <c r="AK14" s="13">
        <f>IFERROR(__xludf.DUMMYFUNCTION("""COMPUTED_VALUE"""),0.276)</f>
        <v>0.276</v>
      </c>
      <c r="AL14" s="9">
        <f>IFERROR(__xludf.DUMMYFUNCTION("""COMPUTED_VALUE"""),7275.535714285716)</f>
        <v>7275.535714</v>
      </c>
      <c r="AM14" s="9">
        <f t="shared" si="7"/>
        <v>35153.5743</v>
      </c>
      <c r="AN14" s="9" t="str">
        <f>IFERROR(__xludf.DUMMYFUNCTION("""COMPUTED_VALUE"""),"[CM] Form G4 - Instagram")</f>
        <v>[CM] Form G4 - Instagram</v>
      </c>
      <c r="AO14" s="12">
        <f>IFERROR(__xludf.DUMMYFUNCTION("""COMPUTED_VALUE"""),18.0)</f>
        <v>18</v>
      </c>
      <c r="AP14" s="13">
        <f>IFERROR(__xludf.DUMMYFUNCTION("""COMPUTED_VALUE"""),0.2777777777777778)</f>
        <v>0.2777777778</v>
      </c>
      <c r="AQ14" s="14">
        <f>IFERROR(__xludf.DUMMYFUNCTION("""COMPUTED_VALUE"""),0.0)</f>
        <v>0</v>
      </c>
      <c r="AR14" s="9">
        <f t="shared" si="8"/>
        <v>0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2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I15" s="9" t="str">
        <f>IFERROR(__xludf.DUMMYFUNCTION("""COMPUTED_VALUE"""),"[CM] Form G4 - Outros")</f>
        <v>[CM] Form G4 - Outros</v>
      </c>
      <c r="AJ15" s="12">
        <f>IFERROR(__xludf.DUMMYFUNCTION("""COMPUTED_VALUE"""),11.670895251902861)</f>
        <v>11.67089525</v>
      </c>
      <c r="AK15" s="13">
        <f>IFERROR(__xludf.DUMMYFUNCTION("""COMPUTED_VALUE"""),0.276)</f>
        <v>0.276</v>
      </c>
      <c r="AL15" s="9">
        <f>IFERROR(__xludf.DUMMYFUNCTION("""COMPUTED_VALUE"""),7275.535714285715)</f>
        <v>7275.535714</v>
      </c>
      <c r="AM15" s="9">
        <f t="shared" si="7"/>
        <v>23435.7162</v>
      </c>
      <c r="AN15" s="9" t="str">
        <f>IFERROR(__xludf.DUMMYFUNCTION("""COMPUTED_VALUE"""),"[CM] Form G4 - Outros")</f>
        <v>[CM] Form G4 - Outros</v>
      </c>
      <c r="AO15" s="12">
        <f>IFERROR(__xludf.DUMMYFUNCTION("""COMPUTED_VALUE"""),11.0)</f>
        <v>11</v>
      </c>
      <c r="AP15" s="13">
        <f>IFERROR(__xludf.DUMMYFUNCTION("""COMPUTED_VALUE"""),0.36363636363636365)</f>
        <v>0.3636363636</v>
      </c>
      <c r="AQ15" s="14">
        <f>IFERROR(__xludf.DUMMYFUNCTION("""COMPUTED_VALUE"""),39510.0)</f>
        <v>39510</v>
      </c>
      <c r="AR15" s="9">
        <f t="shared" si="8"/>
        <v>158040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2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I16" s="9" t="str">
        <f>IFERROR(__xludf.DUMMYFUNCTION("""COMPUTED_VALUE"""),"Aplicativo G4 - Indicação")</f>
        <v>Aplicativo G4 - Indicação</v>
      </c>
      <c r="AJ16" s="12">
        <f>IFERROR(__xludf.DUMMYFUNCTION("""COMPUTED_VALUE"""),32.92258064516128)</f>
        <v>32.92258065</v>
      </c>
      <c r="AK16" s="13">
        <f>IFERROR(__xludf.DUMMYFUNCTION("""COMPUTED_VALUE"""),0.16049382716049382)</f>
        <v>0.1604938272</v>
      </c>
      <c r="AL16" s="9">
        <f>IFERROR(__xludf.DUMMYFUNCTION("""COMPUTED_VALUE"""),4357.692307692308)</f>
        <v>4357.692308</v>
      </c>
      <c r="AM16" s="9">
        <f t="shared" si="7"/>
        <v>23025.48387</v>
      </c>
      <c r="AN16" s="9" t="str">
        <f>IFERROR(__xludf.DUMMYFUNCTION("""COMPUTED_VALUE"""),"Aplicativo G4 - Indicação")</f>
        <v>Aplicativo G4 - Indicação</v>
      </c>
      <c r="AO16" s="12">
        <f>IFERROR(__xludf.DUMMYFUNCTION("""COMPUTED_VALUE"""),9.0)</f>
        <v>9</v>
      </c>
      <c r="AP16" s="13">
        <f>IFERROR(__xludf.DUMMYFUNCTION("""COMPUTED_VALUE"""),0.8888888888888888)</f>
        <v>0.8888888889</v>
      </c>
      <c r="AQ16" s="14">
        <f>IFERROR(__xludf.DUMMYFUNCTION("""COMPUTED_VALUE"""),7875.0)</f>
        <v>7875</v>
      </c>
      <c r="AR16" s="9">
        <f t="shared" si="8"/>
        <v>63000</v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2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I17" s="9" t="str">
        <f>IFERROR(__xludf.DUMMYFUNCTION("""COMPUTED_VALUE"""),"Indicação - Outros")</f>
        <v>Indicação - Outros</v>
      </c>
      <c r="AJ17" s="12">
        <f>IFERROR(__xludf.DUMMYFUNCTION("""COMPUTED_VALUE"""),6.297290322580642)</f>
        <v>6.297290323</v>
      </c>
      <c r="AK17" s="13">
        <f>IFERROR(__xludf.DUMMYFUNCTION("""COMPUTED_VALUE"""),0.19469026548672566)</f>
        <v>0.1946902655</v>
      </c>
      <c r="AL17" s="9">
        <f>IFERROR(__xludf.DUMMYFUNCTION("""COMPUTED_VALUE"""),17561.09090909091)</f>
        <v>17561.09091</v>
      </c>
      <c r="AM17" s="9">
        <f t="shared" si="7"/>
        <v>21530.26843</v>
      </c>
      <c r="AN17" s="9" t="str">
        <f>IFERROR(__xludf.DUMMYFUNCTION("""COMPUTED_VALUE"""),"Indicação - Outros")</f>
        <v>Indicação - Outros</v>
      </c>
      <c r="AO17" s="12">
        <f>IFERROR(__xludf.DUMMYFUNCTION("""COMPUTED_VALUE"""),2.0)</f>
        <v>2</v>
      </c>
      <c r="AP17" s="13">
        <f>IFERROR(__xludf.DUMMYFUNCTION("""COMPUTED_VALUE"""),0.5)</f>
        <v>0.5</v>
      </c>
      <c r="AQ17" s="14">
        <f>IFERROR(__xludf.DUMMYFUNCTION("""COMPUTED_VALUE"""),0.0)</f>
        <v>0</v>
      </c>
      <c r="AR17" s="9">
        <f t="shared" si="8"/>
        <v>0</v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2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M18" s="9">
        <f t="shared" si="7"/>
        <v>0</v>
      </c>
      <c r="AR18" s="9">
        <f t="shared" si="8"/>
        <v>0</v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2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M19" s="9">
        <f t="shared" si="7"/>
        <v>0</v>
      </c>
      <c r="AR19" s="9">
        <f t="shared" si="8"/>
        <v>0</v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2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M20" s="9">
        <f t="shared" si="7"/>
        <v>0</v>
      </c>
      <c r="AR20" s="9">
        <f t="shared" si="8"/>
        <v>0</v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2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M21" s="9">
        <f t="shared" si="7"/>
        <v>0</v>
      </c>
      <c r="AR21" s="9">
        <f t="shared" si="8"/>
        <v>0</v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2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M22" s="9">
        <f t="shared" si="7"/>
        <v>0</v>
      </c>
      <c r="AR22" s="9">
        <f t="shared" si="8"/>
        <v>0</v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2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M23" s="9">
        <f t="shared" si="7"/>
        <v>0</v>
      </c>
      <c r="AR23" s="9">
        <f t="shared" si="8"/>
        <v>0</v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2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M24" s="9">
        <f t="shared" si="7"/>
        <v>0</v>
      </c>
      <c r="AR24" s="9">
        <f t="shared" si="8"/>
        <v>0</v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2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M25" s="9">
        <f t="shared" si="7"/>
        <v>0</v>
      </c>
      <c r="AR25" s="9">
        <f t="shared" si="8"/>
        <v>0</v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2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M26" s="9">
        <f t="shared" si="7"/>
        <v>0</v>
      </c>
      <c r="AR26" s="9">
        <f t="shared" si="8"/>
        <v>0</v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2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M27" s="9">
        <f t="shared" si="7"/>
        <v>0</v>
      </c>
      <c r="AR27" s="9">
        <f t="shared" si="8"/>
        <v>0</v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2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M28" s="9">
        <f t="shared" si="7"/>
        <v>0</v>
      </c>
      <c r="AR28" s="9">
        <f t="shared" si="8"/>
        <v>0</v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2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M29" s="9">
        <f t="shared" si="7"/>
        <v>0</v>
      </c>
      <c r="AR29" s="9">
        <f t="shared" si="8"/>
        <v>0</v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2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M30" s="9">
        <f t="shared" si="7"/>
        <v>0</v>
      </c>
      <c r="AR30" s="9">
        <f t="shared" si="8"/>
        <v>0</v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2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M31" s="9">
        <f t="shared" si="7"/>
        <v>0</v>
      </c>
      <c r="AR31" s="9">
        <f t="shared" si="8"/>
        <v>0</v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2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M32" s="9">
        <f t="shared" si="7"/>
        <v>0</v>
      </c>
      <c r="AR32" s="9">
        <f t="shared" si="8"/>
        <v>0</v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2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M33" s="9">
        <f t="shared" si="7"/>
        <v>0</v>
      </c>
      <c r="AR33" s="9">
        <f t="shared" si="8"/>
        <v>0</v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2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M34" s="9">
        <f t="shared" si="7"/>
        <v>0</v>
      </c>
      <c r="AR34" s="9">
        <f t="shared" si="8"/>
        <v>0</v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2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M35" s="9">
        <f t="shared" si="7"/>
        <v>0</v>
      </c>
      <c r="AR35" s="9">
        <f t="shared" si="8"/>
        <v>0</v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2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2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2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2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2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2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2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2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2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2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2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2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2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2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2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2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2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2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2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2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2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2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2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2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2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2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2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2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2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2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2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2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2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2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2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2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2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2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2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2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2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2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2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2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2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2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2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2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2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2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2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2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2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2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2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2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2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2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2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2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2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2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2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2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2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2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2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2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2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2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2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2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2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2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2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2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2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2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2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2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2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2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2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2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2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2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2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2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2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2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2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2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2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2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2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2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2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2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2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2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2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2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2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2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2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2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2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2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2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2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2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2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2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2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2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2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2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2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2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2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2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2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2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2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2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2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2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2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2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2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2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2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2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2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2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2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2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2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2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2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2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2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2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2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2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2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2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2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2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2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2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2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2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2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2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2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2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2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2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2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2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2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2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2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2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2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2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2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2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2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2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2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2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2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2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2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2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2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2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2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2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2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2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2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2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2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2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2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2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2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2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2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2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2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2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2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2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2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2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2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2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2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2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2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2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2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2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2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2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2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2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2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2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2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2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2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2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2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2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2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2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2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2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2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2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2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2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2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2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2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2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2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2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2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2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2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2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2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2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2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2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2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2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2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2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2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2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2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2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2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2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2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2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2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2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2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2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2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2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2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2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2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2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2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2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2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2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2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2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2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2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2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2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2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2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2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2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2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2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2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2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2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2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2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2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2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2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2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2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2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2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2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2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2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2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2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2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2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2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2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2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2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2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2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2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2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2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2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2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2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2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2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2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2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2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2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2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2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2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2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2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2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2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2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2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2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2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2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2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2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2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2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2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2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2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2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2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2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2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2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2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2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2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2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2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2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2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2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2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2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2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2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2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2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2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2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2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2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2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2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2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2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2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2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2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2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2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2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2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2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2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2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2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2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2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2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2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2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2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2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2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2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2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2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2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2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2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2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2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2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2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2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2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2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2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2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2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2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2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2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2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2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2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2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2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2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2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2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2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2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2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2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2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2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2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2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2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2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2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2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2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2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2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2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2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2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2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2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2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2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2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2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2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2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2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2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2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2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2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2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2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2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2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2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2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2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2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2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2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2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2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2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2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2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2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2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2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2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2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2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2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2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2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2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2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2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2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2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2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2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2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2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2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2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2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2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2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2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2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2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2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2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2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2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2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2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2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2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2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2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2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2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2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2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2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2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2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2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2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2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2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2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2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2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2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2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2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2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2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2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2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2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2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2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2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2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2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2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2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2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2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2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2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2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2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2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2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2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2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2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2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2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2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2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2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2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2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2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2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2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2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2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2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2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2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2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2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2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2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2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2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2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2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2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2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2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2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2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2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2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2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2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2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2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2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2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2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2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2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2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2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2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2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2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2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2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2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2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2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2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2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2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2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2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2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2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2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2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2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2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2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2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2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2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2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2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2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2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2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2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2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2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2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2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2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2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2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2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2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2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2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2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2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2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2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2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2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2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2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2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2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2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2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2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2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2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2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2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2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2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2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2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2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2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2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2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2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2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2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2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2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2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2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2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2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2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2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2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2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2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2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2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2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2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2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2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2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2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2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2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2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2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2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2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2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2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2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2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2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2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2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2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2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2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2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2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2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2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2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2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2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2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2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2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2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2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2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2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2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2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2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2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2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2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2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2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2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2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2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2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2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2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2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2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2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2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2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2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2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2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2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2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2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2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2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2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2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2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2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2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2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2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2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2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2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2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2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2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2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2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2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2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2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2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2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2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2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2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2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2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2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2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2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2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2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2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2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2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2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2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2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2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2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2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2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2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2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2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2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2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2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2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2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2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2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2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2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2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2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2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2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2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2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2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2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2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2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2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2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2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2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2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2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2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2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2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2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2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2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2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2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2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2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2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2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2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2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2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2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2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2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2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2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2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2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2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2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2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2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2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2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2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2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2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2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2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2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2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2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2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2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2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2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2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2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2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2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2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2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2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2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2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2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2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2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2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2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2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2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2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2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2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2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2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2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2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2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2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2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2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2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2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2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2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2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2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2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2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2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2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2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2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2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2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2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2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2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2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2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2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2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2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2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2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2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2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2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2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2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2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2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2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2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2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2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2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2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2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2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2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2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2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2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2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2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2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2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2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2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2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2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2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2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2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2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2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2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2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2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2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2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2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2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2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2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2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2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2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2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2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2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2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2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2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2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2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2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2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2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2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2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2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2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2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2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2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2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2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2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2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2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2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2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2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2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2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2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2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2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2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2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2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2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2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2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2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2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2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2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2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2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2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2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2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2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98</v>
      </c>
      <c r="B1" s="15" t="s">
        <v>99</v>
      </c>
      <c r="C1" s="15" t="s">
        <v>100</v>
      </c>
      <c r="D1" s="15" t="s">
        <v>101</v>
      </c>
      <c r="E1" s="16" t="s">
        <v>102</v>
      </c>
      <c r="F1" s="15" t="s">
        <v>103</v>
      </c>
      <c r="G1" s="15" t="s">
        <v>104</v>
      </c>
      <c r="H1" s="17" t="s">
        <v>105</v>
      </c>
      <c r="I1" s="15" t="s">
        <v>87</v>
      </c>
      <c r="J1" s="15" t="s">
        <v>92</v>
      </c>
      <c r="K1" s="15" t="s">
        <v>56</v>
      </c>
      <c r="L1" s="15" t="s">
        <v>57</v>
      </c>
      <c r="M1" s="16" t="s">
        <v>106</v>
      </c>
      <c r="N1" s="15" t="s">
        <v>107</v>
      </c>
      <c r="O1" s="15" t="s">
        <v>108</v>
      </c>
      <c r="P1" s="15" t="s">
        <v>109</v>
      </c>
      <c r="Q1" s="15" t="s">
        <v>110</v>
      </c>
      <c r="R1" s="15" t="s">
        <v>111</v>
      </c>
      <c r="S1" s="15" t="s">
        <v>112</v>
      </c>
      <c r="T1" s="15" t="s">
        <v>113</v>
      </c>
      <c r="U1" s="15" t="s">
        <v>114</v>
      </c>
      <c r="V1" s="15" t="s">
        <v>115</v>
      </c>
      <c r="W1" s="15" t="s">
        <v>116</v>
      </c>
      <c r="X1" s="15" t="s">
        <v>117</v>
      </c>
      <c r="Y1" s="15" t="s">
        <v>118</v>
      </c>
      <c r="Z1" s="15" t="s">
        <v>119</v>
      </c>
      <c r="AA1" s="15" t="s">
        <v>120</v>
      </c>
      <c r="AB1" s="15" t="s">
        <v>121</v>
      </c>
      <c r="AC1" s="15" t="s">
        <v>122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128</v>
      </c>
      <c r="AJ1" s="15" t="s">
        <v>129</v>
      </c>
      <c r="AK1" s="15" t="s">
        <v>89</v>
      </c>
      <c r="AL1" s="15" t="s">
        <v>94</v>
      </c>
      <c r="AM1" s="15" t="s">
        <v>67</v>
      </c>
      <c r="AN1" s="15" t="s">
        <v>68</v>
      </c>
      <c r="AO1" s="15" t="s">
        <v>130</v>
      </c>
      <c r="AP1" s="15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8">
        <f>IFERROR(__xludf.DUMMYFUNCTION("""COMPUTED_VALUE"""),632.2580645161288)</f>
        <v>632.2580645</v>
      </c>
      <c r="C2" s="19">
        <f>IFERROR(__xludf.DUMMYFUNCTION("""COMPUTED_VALUE"""),708.0)</f>
        <v>708</v>
      </c>
      <c r="D2" s="20">
        <f>IFERROR(__xludf.DUMMYFUNCTION("""COMPUTED_VALUE"""),75.7419354838712)</f>
        <v>75.74193548</v>
      </c>
      <c r="E2" s="21">
        <f>IFERROR(__xludf.DUMMYFUNCTION("""COMPUTED_VALUE"""),0.11979591836734735)</f>
        <v>0.1197959184</v>
      </c>
      <c r="F2" s="22">
        <f>IFERROR(__xludf.DUMMYFUNCTION("""COMPUTED_VALUE"""),0.8)</f>
        <v>0.8</v>
      </c>
      <c r="G2" s="22">
        <f>IFERROR(__xludf.DUMMYFUNCTION("""COMPUTED_VALUE"""),0.7669491525423728)</f>
        <v>0.7669491525</v>
      </c>
      <c r="H2" s="23">
        <f>IFERROR(__xludf.DUMMYFUNCTION("""COMPUTED_VALUE"""),-3.305084745762721)</f>
        <v>-3.305084746</v>
      </c>
      <c r="I2" s="18">
        <f>IFERROR(__xludf.DUMMYFUNCTION("""COMPUTED_VALUE"""),505.806451612903)</f>
        <v>505.8064516</v>
      </c>
      <c r="J2" s="19">
        <f>IFERROR(__xludf.DUMMYFUNCTION("""COMPUTED_VALUE"""),543.0)</f>
        <v>543</v>
      </c>
      <c r="K2" s="20">
        <f>IFERROR(__xludf.DUMMYFUNCTION("""COMPUTED_VALUE"""),37.193548387096996)</f>
        <v>37.19354839</v>
      </c>
      <c r="L2" s="21">
        <f>IFERROR(__xludf.DUMMYFUNCTION("""COMPUTED_VALUE"""),0.0735331632653066)</f>
        <v>0.07353316327</v>
      </c>
      <c r="M2" s="24">
        <f>IFERROR(__xludf.DUMMYFUNCTION("""COMPUTED_VALUE"""),0.3619368879216539)</f>
        <v>0.3619368879</v>
      </c>
      <c r="N2" s="22">
        <f>IFERROR(__xludf.DUMMYFUNCTION("""COMPUTED_VALUE"""),0.3425414364640884)</f>
        <v>0.3425414365</v>
      </c>
      <c r="O2" s="25">
        <f>IFERROR(__xludf.DUMMYFUNCTION("""COMPUTED_VALUE"""),-1.9395451457565493)</f>
        <v>-1.939545146</v>
      </c>
      <c r="P2" s="18">
        <f>IFERROR(__xludf.DUMMYFUNCTION("""COMPUTED_VALUE"""),202.68465723612616)</f>
        <v>202.6846572</v>
      </c>
      <c r="Q2" s="19">
        <f>IFERROR(__xludf.DUMMYFUNCTION("""COMPUTED_VALUE"""),186.0)</f>
        <v>186</v>
      </c>
      <c r="R2" s="20">
        <f>IFERROR(__xludf.DUMMYFUNCTION("""COMPUTED_VALUE"""),-16.684657236126156)</f>
        <v>-16.68465724</v>
      </c>
      <c r="S2" s="26">
        <f>IFERROR(__xludf.DUMMYFUNCTION("""COMPUTED_VALUE"""),-0.08231830402776197)</f>
        <v>-0.08231830403</v>
      </c>
      <c r="T2" s="22">
        <f>IFERROR(__xludf.DUMMYFUNCTION("""COMPUTED_VALUE"""),0.18)</f>
        <v>0.18</v>
      </c>
      <c r="U2" s="22">
        <f>IFERROR(__xludf.DUMMYFUNCTION("""COMPUTED_VALUE"""),0.10215053763440861)</f>
        <v>0.1021505376</v>
      </c>
      <c r="V2" s="23">
        <f>IFERROR(__xludf.DUMMYFUNCTION("""COMPUTED_VALUE"""),-7.784946236559138)</f>
        <v>-7.784946237</v>
      </c>
      <c r="W2" s="18">
        <f>IFERROR(__xludf.DUMMYFUNCTION("""COMPUTED_VALUE"""),36.483238302502706)</f>
        <v>36.4832383</v>
      </c>
      <c r="X2" s="19">
        <f>IFERROR(__xludf.DUMMYFUNCTION("""COMPUTED_VALUE"""),19.0)</f>
        <v>19</v>
      </c>
      <c r="Y2" s="20">
        <f>IFERROR(__xludf.DUMMYFUNCTION("""COMPUTED_VALUE"""),-17.483238302502706)</f>
        <v>-17.4832383</v>
      </c>
      <c r="Z2" s="27">
        <f>IFERROR(__xludf.DUMMYFUNCTION("""COMPUTED_VALUE"""),-0.47921289655099986)</f>
        <v>-0.4792128966</v>
      </c>
      <c r="AA2" s="18">
        <f>IFERROR(__xludf.DUMMYFUNCTION("""COMPUTED_VALUE"""),28000.0)</f>
        <v>28000</v>
      </c>
      <c r="AB2" s="19">
        <f>IFERROR(__xludf.DUMMYFUNCTION("""COMPUTED_VALUE"""),34776.15789473684)</f>
        <v>34776.15789</v>
      </c>
      <c r="AC2" s="20">
        <f>IFERROR(__xludf.DUMMYFUNCTION("""COMPUTED_VALUE"""),6776.15789473684)</f>
        <v>6776.157895</v>
      </c>
      <c r="AD2" s="27">
        <f>IFERROR(__xludf.DUMMYFUNCTION("""COMPUTED_VALUE"""),0.24200563909774428)</f>
        <v>0.2420056391</v>
      </c>
      <c r="AE2" s="18">
        <f>IFERROR(__xludf.DUMMYFUNCTION("""COMPUTED_VALUE"""),755932.6976278563)</f>
        <v>755932.6976</v>
      </c>
      <c r="AF2" s="19">
        <f>IFERROR(__xludf.DUMMYFUNCTION("""COMPUTED_VALUE"""),660747.0)</f>
        <v>660747</v>
      </c>
      <c r="AG2" s="20">
        <f>IFERROR(__xludf.DUMMYFUNCTION("""COMPUTED_VALUE"""),-95185.69762785628)</f>
        <v>-95185.69763</v>
      </c>
      <c r="AH2" s="28">
        <f>IFERROR(__xludf.DUMMYFUNCTION("""COMPUTED_VALUE"""),-0.1259182172256239)</f>
        <v>-0.1259182172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"),67847.05445610626)</f>
        <v>67847.05446</v>
      </c>
      <c r="AJ2" s="29">
        <f>IFERROR(__xludf.DUMMYFUNCTION("""COMPUTED_VALUE"""),-329772.9199129487)</f>
        <v>-329772.9199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"),5040.0)</f>
        <v>5040</v>
      </c>
      <c r="AL2" s="30">
        <f>IFERROR(__xludf.DUMMYFUNCTION("""COMPUTED_VALUE"""),3552.4032258064517)</f>
        <v>3552.403226</v>
      </c>
      <c r="AM2" s="29">
        <f t="shared" ref="AM2:AM16" si="1">AL2-AK2</f>
        <v>-1487.596774</v>
      </c>
      <c r="AN2" s="31">
        <f t="shared" ref="AN2:AN16" si="2">AM2/AK2</f>
        <v>-0.2951580901</v>
      </c>
      <c r="AO2" s="10">
        <f t="shared" ref="AO2:AO16" si="3">J2*(N2-M2)*AK2</f>
        <v>-53079.91991</v>
      </c>
      <c r="AP2" s="10">
        <f t="shared" ref="AP2:AP16" si="4">J2*N2*AM2</f>
        <v>-276693</v>
      </c>
      <c r="AQ2" s="10">
        <f>SUMIFS(AP2:AP16,AP2:AP16,"&lt;"&amp;0)</f>
        <v>-1192905.447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IFERROR(__xludf.DUMMYFUNCTION("""COMPUTED_VALUE"""),"Form G4 Outros - Orgânico")</f>
        <v>Form G4 Outros - Orgânico</v>
      </c>
      <c r="B3" s="18">
        <f>IFERROR(__xludf.DUMMYFUNCTION("""COMPUTED_VALUE"""),263.01935483870955)</f>
        <v>263.0193548</v>
      </c>
      <c r="C3" s="19">
        <f>IFERROR(__xludf.DUMMYFUNCTION("""COMPUTED_VALUE"""),262.0)</f>
        <v>262</v>
      </c>
      <c r="D3" s="20">
        <f>IFERROR(__xludf.DUMMYFUNCTION("""COMPUTED_VALUE"""),-1.0193548387095461)</f>
        <v>-1.019354839</v>
      </c>
      <c r="E3" s="21">
        <f>IFERROR(__xludf.DUMMYFUNCTION("""COMPUTED_VALUE"""),-0.0038755886970167712)</f>
        <v>-0.003875588697</v>
      </c>
      <c r="F3" s="22">
        <f>IFERROR(__xludf.DUMMYFUNCTION("""COMPUTED_VALUE"""),0.5817307692307692)</f>
        <v>0.5817307692</v>
      </c>
      <c r="G3" s="22">
        <f>IFERROR(__xludf.DUMMYFUNCTION("""COMPUTED_VALUE"""),0.6297709923664122)</f>
        <v>0.6297709924</v>
      </c>
      <c r="H3" s="23">
        <f>IFERROR(__xludf.DUMMYFUNCTION("""COMPUTED_VALUE"""),4.804022313564305)</f>
        <v>4.804022314</v>
      </c>
      <c r="I3" s="18">
        <f>IFERROR(__xludf.DUMMYFUNCTION("""COMPUTED_VALUE"""),153.00645161290313)</f>
        <v>153.0064516</v>
      </c>
      <c r="J3" s="19">
        <f>IFERROR(__xludf.DUMMYFUNCTION("""COMPUTED_VALUE"""),165.0)</f>
        <v>165</v>
      </c>
      <c r="K3" s="20">
        <f>IFERROR(__xludf.DUMMYFUNCTION("""COMPUTED_VALUE"""),11.993548387096865)</f>
        <v>11.99354839</v>
      </c>
      <c r="L3" s="21">
        <f>IFERROR(__xludf.DUMMYFUNCTION("""COMPUTED_VALUE"""),0.07838589981447189)</f>
        <v>0.07838589981</v>
      </c>
      <c r="M3" s="24">
        <f>IFERROR(__xludf.DUMMYFUNCTION("""COMPUTED_VALUE"""),0.44214876033057854)</f>
        <v>0.4421487603</v>
      </c>
      <c r="N3" s="22">
        <f>IFERROR(__xludf.DUMMYFUNCTION("""COMPUTED_VALUE"""),0.5212121212121212)</f>
        <v>0.5212121212</v>
      </c>
      <c r="O3" s="25">
        <f>IFERROR(__xludf.DUMMYFUNCTION("""COMPUTED_VALUE"""),7.90633608815427)</f>
        <v>7.906336088</v>
      </c>
      <c r="P3" s="18">
        <f>IFERROR(__xludf.DUMMYFUNCTION("""COMPUTED_VALUE"""),74.89999999999998)</f>
        <v>74.9</v>
      </c>
      <c r="Q3" s="19">
        <f>IFERROR(__xludf.DUMMYFUNCTION("""COMPUTED_VALUE"""),86.0)</f>
        <v>86</v>
      </c>
      <c r="R3" s="20">
        <f>IFERROR(__xludf.DUMMYFUNCTION("""COMPUTED_VALUE"""),11.100000000000023)</f>
        <v>11.1</v>
      </c>
      <c r="S3" s="26">
        <f>IFERROR(__xludf.DUMMYFUNCTION("""COMPUTED_VALUE"""),0.148197596795728)</f>
        <v>0.1481975968</v>
      </c>
      <c r="T3" s="22">
        <f>IFERROR(__xludf.DUMMYFUNCTION("""COMPUTED_VALUE"""),0.23364485981308414)</f>
        <v>0.2336448598</v>
      </c>
      <c r="U3" s="22">
        <f>IFERROR(__xludf.DUMMYFUNCTION("""COMPUTED_VALUE"""),0.16279069767441862)</f>
        <v>0.1627906977</v>
      </c>
      <c r="V3" s="23">
        <f>IFERROR(__xludf.DUMMYFUNCTION("""COMPUTED_VALUE"""),-7.085416213866552)</f>
        <v>-7.085416214</v>
      </c>
      <c r="W3" s="18">
        <f>IFERROR(__xludf.DUMMYFUNCTION("""COMPUTED_VALUE"""),17.499999999999996)</f>
        <v>17.5</v>
      </c>
      <c r="X3" s="19">
        <f>IFERROR(__xludf.DUMMYFUNCTION("""COMPUTED_VALUE"""),14.0)</f>
        <v>14</v>
      </c>
      <c r="Y3" s="20">
        <f>IFERROR(__xludf.DUMMYFUNCTION("""COMPUTED_VALUE"""),-3.4999999999999964)</f>
        <v>-3.5</v>
      </c>
      <c r="Z3" s="27">
        <f>IFERROR(__xludf.DUMMYFUNCTION("""COMPUTED_VALUE"""),-0.19999999999999984)</f>
        <v>-0.2</v>
      </c>
      <c r="AA3" s="18">
        <f>IFERROR(__xludf.DUMMYFUNCTION("""COMPUTED_VALUE"""),23052.0)</f>
        <v>23052</v>
      </c>
      <c r="AB3" s="19">
        <f>IFERROR(__xludf.DUMMYFUNCTION("""COMPUTED_VALUE"""),34983.882114955355)</f>
        <v>34983.88211</v>
      </c>
      <c r="AC3" s="20">
        <f>IFERROR(__xludf.DUMMYFUNCTION("""COMPUTED_VALUE"""),11931.882114955355)</f>
        <v>11931.88211</v>
      </c>
      <c r="AD3" s="27">
        <f>IFERROR(__xludf.DUMMYFUNCTION("""COMPUTED_VALUE"""),0.5176072408014643)</f>
        <v>0.5176072408</v>
      </c>
      <c r="AE3" s="18">
        <f>IFERROR(__xludf.DUMMYFUNCTION("""COMPUTED_VALUE"""),298523.4)</f>
        <v>298523.4</v>
      </c>
      <c r="AF3" s="19">
        <f>IFERROR(__xludf.DUMMYFUNCTION("""COMPUTED_VALUE"""),489774.349609375)</f>
        <v>489774.3496</v>
      </c>
      <c r="AG3" s="20">
        <f>IFERROR(__xludf.DUMMYFUNCTION("""COMPUTED_VALUE"""),191250.94960937498)</f>
        <v>191250.9496</v>
      </c>
      <c r="AH3" s="28">
        <f>IFERROR(__xludf.DUMMYFUNCTION("""COMPUTED_VALUE"""),0.6406564765421235)</f>
        <v>0.6406564765</v>
      </c>
      <c r="AI3" s="29">
        <f>IFERROR(__xludf.DUMMYFUNCTION("""COMPUTED_VALUE"""),28561.495601173243)</f>
        <v>28561.4956</v>
      </c>
      <c r="AJ3" s="29">
        <f>IFERROR(__xludf.DUMMYFUNCTION("""COMPUTED_VALUE"""),96842.53142755672)</f>
        <v>96842.53143</v>
      </c>
      <c r="AK3" s="4">
        <f>IFERROR(__xludf.DUMMYFUNCTION("""COMPUTED_VALUE"""),5385.981308411216)</f>
        <v>5385.981308</v>
      </c>
      <c r="AL3" s="30">
        <f>IFERROR(__xludf.DUMMYFUNCTION("""COMPUTED_VALUE"""),5695.0505768531975)</f>
        <v>5695.050577</v>
      </c>
      <c r="AM3" s="29">
        <f t="shared" si="1"/>
        <v>309.0692684</v>
      </c>
      <c r="AN3" s="31">
        <f t="shared" si="2"/>
        <v>0.05738402173</v>
      </c>
      <c r="AO3" s="10">
        <f t="shared" si="3"/>
        <v>70262.57434</v>
      </c>
      <c r="AP3" s="10">
        <f t="shared" si="4"/>
        <v>26579.95709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IFERROR(__xludf.DUMMYFUNCTION("""COMPUTED_VALUE"""),"Form G4 Instagram Outros")</f>
        <v>Form G4 Instagram Outros</v>
      </c>
      <c r="B4" s="18">
        <f>IFERROR(__xludf.DUMMYFUNCTION("""COMPUTED_VALUE"""),189.67741935483863)</f>
        <v>189.6774194</v>
      </c>
      <c r="C4" s="19">
        <f>IFERROR(__xludf.DUMMYFUNCTION("""COMPUTED_VALUE"""),108.0)</f>
        <v>108</v>
      </c>
      <c r="D4" s="20">
        <f>IFERROR(__xludf.DUMMYFUNCTION("""COMPUTED_VALUE"""),-81.67741935483863)</f>
        <v>-81.67741935</v>
      </c>
      <c r="E4" s="21">
        <f>IFERROR(__xludf.DUMMYFUNCTION("""COMPUTED_VALUE"""),-0.43061224489795896)</f>
        <v>-0.4306122449</v>
      </c>
      <c r="F4" s="22">
        <f>IFERROR(__xludf.DUMMYFUNCTION("""COMPUTED_VALUE"""),0.81)</f>
        <v>0.81</v>
      </c>
      <c r="G4" s="22">
        <f>IFERROR(__xludf.DUMMYFUNCTION("""COMPUTED_VALUE"""),0.8703703703703703)</f>
        <v>0.8703703704</v>
      </c>
      <c r="H4" s="23">
        <f>IFERROR(__xludf.DUMMYFUNCTION("""COMPUTED_VALUE"""),6.037037037037029)</f>
        <v>6.037037037</v>
      </c>
      <c r="I4" s="18">
        <f>IFERROR(__xludf.DUMMYFUNCTION("""COMPUTED_VALUE"""),153.6387096774193)</f>
        <v>153.6387097</v>
      </c>
      <c r="J4" s="19">
        <f>IFERROR(__xludf.DUMMYFUNCTION("""COMPUTED_VALUE"""),94.0)</f>
        <v>94</v>
      </c>
      <c r="K4" s="20">
        <f>IFERROR(__xludf.DUMMYFUNCTION("""COMPUTED_VALUE"""),-59.638709677419314)</f>
        <v>-59.63870968</v>
      </c>
      <c r="L4" s="21">
        <f>IFERROR(__xludf.DUMMYFUNCTION("""COMPUTED_VALUE"""),-0.3881750230956579)</f>
        <v>-0.3881750231</v>
      </c>
      <c r="M4" s="24">
        <f>IFERROR(__xludf.DUMMYFUNCTION("""COMPUTED_VALUE"""),0.31)</f>
        <v>0.31</v>
      </c>
      <c r="N4" s="22">
        <f>IFERROR(__xludf.DUMMYFUNCTION("""COMPUTED_VALUE"""),0.40425531914893614)</f>
        <v>0.4042553191</v>
      </c>
      <c r="O4" s="25">
        <f>IFERROR(__xludf.DUMMYFUNCTION("""COMPUTED_VALUE"""),9.425531914893615)</f>
        <v>9.425531915</v>
      </c>
      <c r="P4" s="18">
        <f>IFERROR(__xludf.DUMMYFUNCTION("""COMPUTED_VALUE"""),52.731)</f>
        <v>52.731</v>
      </c>
      <c r="Q4" s="19">
        <f>IFERROR(__xludf.DUMMYFUNCTION("""COMPUTED_VALUE"""),38.0)</f>
        <v>38</v>
      </c>
      <c r="R4" s="20">
        <f>IFERROR(__xludf.DUMMYFUNCTION("""COMPUTED_VALUE"""),-14.731000000000002)</f>
        <v>-14.731</v>
      </c>
      <c r="S4" s="26">
        <f>IFERROR(__xludf.DUMMYFUNCTION("""COMPUTED_VALUE"""),-0.27936128652974535)</f>
        <v>-0.2793612865</v>
      </c>
      <c r="T4" s="22">
        <f>IFERROR(__xludf.DUMMYFUNCTION("""COMPUTED_VALUE"""),0.23)</f>
        <v>0.23</v>
      </c>
      <c r="U4" s="22">
        <f>IFERROR(__xludf.DUMMYFUNCTION("""COMPUTED_VALUE"""),0.13157894736842105)</f>
        <v>0.1315789474</v>
      </c>
      <c r="V4" s="23">
        <f>IFERROR(__xludf.DUMMYFUNCTION("""COMPUTED_VALUE"""),-9.842105263157897)</f>
        <v>-9.842105263</v>
      </c>
      <c r="W4" s="18">
        <f>IFERROR(__xludf.DUMMYFUNCTION("""COMPUTED_VALUE"""),12.12813)</f>
        <v>12.12813</v>
      </c>
      <c r="X4" s="19">
        <f>IFERROR(__xludf.DUMMYFUNCTION("""COMPUTED_VALUE"""),5.0)</f>
        <v>5</v>
      </c>
      <c r="Y4" s="20">
        <f>IFERROR(__xludf.DUMMYFUNCTION("""COMPUTED_VALUE"""),-7.1281300000000005)</f>
        <v>-7.12813</v>
      </c>
      <c r="Z4" s="27">
        <f>IFERROR(__xludf.DUMMYFUNCTION("""COMPUTED_VALUE"""),-0.5877352897767422)</f>
        <v>-0.5877352898</v>
      </c>
      <c r="AA4" s="18">
        <f>IFERROR(__xludf.DUMMYFUNCTION("""COMPUTED_VALUE"""),30000.0)</f>
        <v>30000</v>
      </c>
      <c r="AB4" s="19">
        <f>IFERROR(__xludf.DUMMYFUNCTION("""COMPUTED_VALUE"""),23353.8)</f>
        <v>23353.8</v>
      </c>
      <c r="AC4" s="20">
        <f>IFERROR(__xludf.DUMMYFUNCTION("""COMPUTED_VALUE"""),-6646.200000000001)</f>
        <v>-6646.2</v>
      </c>
      <c r="AD4" s="27">
        <f>IFERROR(__xludf.DUMMYFUNCTION("""COMPUTED_VALUE"""),-0.22154000000000001)</f>
        <v>-0.22154</v>
      </c>
      <c r="AE4" s="18">
        <f>IFERROR(__xludf.DUMMYFUNCTION("""COMPUTED_VALUE"""),269244.48600000003)</f>
        <v>269244.486</v>
      </c>
      <c r="AF4" s="19">
        <f>IFERROR(__xludf.DUMMYFUNCTION("""COMPUTED_VALUE"""),116769.0)</f>
        <v>116769</v>
      </c>
      <c r="AG4" s="20">
        <f>IFERROR(__xludf.DUMMYFUNCTION("""COMPUTED_VALUE"""),-152475.48600000003)</f>
        <v>-152475.486</v>
      </c>
      <c r="AH4" s="28">
        <f>IFERROR(__xludf.DUMMYFUNCTION("""COMPUTED_VALUE"""),-0.5663086671345983)</f>
        <v>-0.5663086671</v>
      </c>
      <c r="AI4" s="29">
        <f>IFERROR(__xludf.DUMMYFUNCTION("""COMPUTED_VALUE"""),-127567.19999999991)</f>
        <v>-127567.2</v>
      </c>
      <c r="AJ4" s="29">
        <f>IFERROR(__xludf.DUMMYFUNCTION("""COMPUTED_VALUE"""),-84297.0)</f>
        <v>-84297</v>
      </c>
      <c r="AK4" s="4">
        <f>IFERROR(__xludf.DUMMYFUNCTION("""COMPUTED_VALUE"""),6900.0)</f>
        <v>6900</v>
      </c>
      <c r="AL4" s="30">
        <f>IFERROR(__xludf.DUMMYFUNCTION("""COMPUTED_VALUE"""),3072.8684210526317)</f>
        <v>3072.868421</v>
      </c>
      <c r="AM4" s="29">
        <f t="shared" si="1"/>
        <v>-3827.131579</v>
      </c>
      <c r="AN4" s="31">
        <f t="shared" si="2"/>
        <v>-0.5546567506</v>
      </c>
      <c r="AO4" s="10">
        <f t="shared" si="3"/>
        <v>61134</v>
      </c>
      <c r="AP4" s="10">
        <f t="shared" si="4"/>
        <v>-145431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IFERROR(__xludf.DUMMYFUNCTION("""COMPUTED_VALUE"""),"[IM] Chat")</f>
        <v>[IM] Chat</v>
      </c>
      <c r="B5" s="18">
        <f>IFERROR(__xludf.DUMMYFUNCTION("""COMPUTED_VALUE"""),271.4193548387096)</f>
        <v>271.4193548</v>
      </c>
      <c r="C5" s="19">
        <f>IFERROR(__xludf.DUMMYFUNCTION("""COMPUTED_VALUE"""),330.0)</f>
        <v>330</v>
      </c>
      <c r="D5" s="20">
        <f>IFERROR(__xludf.DUMMYFUNCTION("""COMPUTED_VALUE"""),58.58064516129042)</f>
        <v>58.58064516</v>
      </c>
      <c r="E5" s="21">
        <f>IFERROR(__xludf.DUMMYFUNCTION("""COMPUTED_VALUE"""),0.21583075826004322)</f>
        <v>0.2158307583</v>
      </c>
      <c r="F5" s="22">
        <f>IFERROR(__xludf.DUMMYFUNCTION("""COMPUTED_VALUE"""),0.8146611341632088)</f>
        <v>0.8146611342</v>
      </c>
      <c r="G5" s="22">
        <f>IFERROR(__xludf.DUMMYFUNCTION("""COMPUTED_VALUE"""),0.7484848484848485)</f>
        <v>0.7484848485</v>
      </c>
      <c r="H5" s="23">
        <f>IFERROR(__xludf.DUMMYFUNCTION("""COMPUTED_VALUE"""),-6.617628567836031)</f>
        <v>-6.617628568</v>
      </c>
      <c r="I5" s="18">
        <f>IFERROR(__xludf.DUMMYFUNCTION("""COMPUTED_VALUE"""),221.11479944674957)</f>
        <v>221.1147994</v>
      </c>
      <c r="J5" s="19">
        <f>IFERROR(__xludf.DUMMYFUNCTION("""COMPUTED_VALUE"""),247.0)</f>
        <v>247</v>
      </c>
      <c r="K5" s="20">
        <f>IFERROR(__xludf.DUMMYFUNCTION("""COMPUTED_VALUE"""),25.885200553250428)</f>
        <v>25.88520055</v>
      </c>
      <c r="L5" s="21">
        <f>IFERROR(__xludf.DUMMYFUNCTION("""COMPUTED_VALUE"""),0.117066793439506)</f>
        <v>0.1170667934</v>
      </c>
      <c r="M5" s="24">
        <f>IFERROR(__xludf.DUMMYFUNCTION("""COMPUTED_VALUE"""),0.30390492359932086)</f>
        <v>0.3039049236</v>
      </c>
      <c r="N5" s="22">
        <f>IFERROR(__xludf.DUMMYFUNCTION("""COMPUTED_VALUE"""),0.27530364372469635)</f>
        <v>0.2753036437</v>
      </c>
      <c r="O5" s="25">
        <f>IFERROR(__xludf.DUMMYFUNCTION("""COMPUTED_VALUE"""),-2.8601279874624517)</f>
        <v>-2.860127987</v>
      </c>
      <c r="P5" s="18">
        <f>IFERROR(__xludf.DUMMYFUNCTION("""COMPUTED_VALUE"""),74.39764868603041)</f>
        <v>74.39764869</v>
      </c>
      <c r="Q5" s="19">
        <f>IFERROR(__xludf.DUMMYFUNCTION("""COMPUTED_VALUE"""),68.0)</f>
        <v>68</v>
      </c>
      <c r="R5" s="20">
        <f>IFERROR(__xludf.DUMMYFUNCTION("""COMPUTED_VALUE"""),-6.397648686030408)</f>
        <v>-6.397648686</v>
      </c>
      <c r="S5" s="26">
        <f>IFERROR(__xludf.DUMMYFUNCTION("""COMPUTED_VALUE"""),-0.08599261937738752)</f>
        <v>-0.08599261938</v>
      </c>
      <c r="T5" s="22">
        <f>IFERROR(__xludf.DUMMYFUNCTION("""COMPUTED_VALUE"""),0.1787709497206704)</f>
        <v>0.1787709497</v>
      </c>
      <c r="U5" s="22">
        <f>IFERROR(__xludf.DUMMYFUNCTION("""COMPUTED_VALUE"""),0.11764705882352941)</f>
        <v>0.1176470588</v>
      </c>
      <c r="V5" s="23">
        <f>IFERROR(__xludf.DUMMYFUNCTION("""COMPUTED_VALUE"""),-6.112389089714099)</f>
        <v>-6.11238909</v>
      </c>
      <c r="W5" s="18">
        <f>IFERROR(__xludf.DUMMYFUNCTION("""COMPUTED_VALUE"""),13.300138312586443)</f>
        <v>13.30013831</v>
      </c>
      <c r="X5" s="19">
        <f>IFERROR(__xludf.DUMMYFUNCTION("""COMPUTED_VALUE"""),8.0)</f>
        <v>8</v>
      </c>
      <c r="Y5" s="20">
        <f>IFERROR(__xludf.DUMMYFUNCTION("""COMPUTED_VALUE"""),-5.3001383125864425)</f>
        <v>-5.300138313</v>
      </c>
      <c r="Z5" s="27">
        <f>IFERROR(__xludf.DUMMYFUNCTION("""COMPUTED_VALUE"""),-0.3985024958402661)</f>
        <v>-0.3985024958</v>
      </c>
      <c r="AA5" s="18">
        <f>IFERROR(__xludf.DUMMYFUNCTION("""COMPUTED_VALUE"""),26828.0)</f>
        <v>26828</v>
      </c>
      <c r="AB5" s="19">
        <f>IFERROR(__xludf.DUMMYFUNCTION("""COMPUTED_VALUE"""),66261.8935546875)</f>
        <v>66261.89355</v>
      </c>
      <c r="AC5" s="20">
        <f>IFERROR(__xludf.DUMMYFUNCTION("""COMPUTED_VALUE"""),39433.8935546875)</f>
        <v>39433.89355</v>
      </c>
      <c r="AD5" s="27">
        <f>IFERROR(__xludf.DUMMYFUNCTION("""COMPUTED_VALUE"""),1.469878244919021)</f>
        <v>1.469878245</v>
      </c>
      <c r="AE5" s="18">
        <f>IFERROR(__xludf.DUMMYFUNCTION("""COMPUTED_VALUE"""),264043.92188105115)</f>
        <v>264043.9219</v>
      </c>
      <c r="AF5" s="19">
        <f>IFERROR(__xludf.DUMMYFUNCTION("""COMPUTED_VALUE"""),530095.1484375)</f>
        <v>530095.1484</v>
      </c>
      <c r="AG5" s="20">
        <f>IFERROR(__xludf.DUMMYFUNCTION("""COMPUTED_VALUE"""),266051.22655644885)</f>
        <v>266051.2266</v>
      </c>
      <c r="AH5" s="28">
        <f>IFERROR(__xludf.DUMMYFUNCTION("""COMPUTED_VALUE"""),1.0076021620232636)</f>
        <v>1.007602162</v>
      </c>
      <c r="AI5" s="29">
        <f>IFERROR(__xludf.DUMMYFUNCTION("""COMPUTED_VALUE"""),37728.93231606669)</f>
        <v>37728.93232</v>
      </c>
      <c r="AJ5" s="29">
        <f>IFERROR(__xludf.DUMMYFUNCTION("""COMPUTED_VALUE"""),170080.6968245968)</f>
        <v>170080.6968</v>
      </c>
      <c r="AK5" s="4">
        <f>IFERROR(__xludf.DUMMYFUNCTION("""COMPUTED_VALUE"""),4796.067039106146)</f>
        <v>4796.067039</v>
      </c>
      <c r="AL5" s="30">
        <f>IFERROR(__xludf.DUMMYFUNCTION("""COMPUTED_VALUE"""),7795.516888786765)</f>
        <v>7795.516889</v>
      </c>
      <c r="AM5" s="29">
        <f t="shared" si="1"/>
        <v>2999.44985</v>
      </c>
      <c r="AN5" s="31">
        <f t="shared" si="2"/>
        <v>0.6253978156</v>
      </c>
      <c r="AO5" s="10">
        <f t="shared" si="3"/>
        <v>-33881.89295</v>
      </c>
      <c r="AP5" s="10">
        <f t="shared" si="4"/>
        <v>203962.5898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IFERROR(__xludf.DUMMYFUNCTION("""COMPUTED_VALUE"""),"Form G4 Instagram Tallis")</f>
        <v>Form G4 Instagram Tallis</v>
      </c>
      <c r="B6" s="18">
        <f>IFERROR(__xludf.DUMMYFUNCTION("""COMPUTED_VALUE"""),180.6451612903225)</f>
        <v>180.6451613</v>
      </c>
      <c r="C6" s="19">
        <f>IFERROR(__xludf.DUMMYFUNCTION("""COMPUTED_VALUE"""),102.0)</f>
        <v>102</v>
      </c>
      <c r="D6" s="20">
        <f>IFERROR(__xludf.DUMMYFUNCTION("""COMPUTED_VALUE"""),-78.6451612903225)</f>
        <v>-78.64516129</v>
      </c>
      <c r="E6" s="21">
        <f>IFERROR(__xludf.DUMMYFUNCTION("""COMPUTED_VALUE"""),-0.4353571428571426)</f>
        <v>-0.4353571429</v>
      </c>
      <c r="F6" s="22">
        <f>IFERROR(__xludf.DUMMYFUNCTION("""COMPUTED_VALUE"""),0.7454545454545455)</f>
        <v>0.7454545455</v>
      </c>
      <c r="G6" s="22">
        <f>IFERROR(__xludf.DUMMYFUNCTION("""COMPUTED_VALUE"""),0.8235294117647058)</f>
        <v>0.8235294118</v>
      </c>
      <c r="H6" s="23">
        <f>IFERROR(__xludf.DUMMYFUNCTION("""COMPUTED_VALUE"""),7.807486631016037)</f>
        <v>7.807486631</v>
      </c>
      <c r="I6" s="18">
        <f>IFERROR(__xludf.DUMMYFUNCTION("""COMPUTED_VALUE"""),134.6627565982404)</f>
        <v>134.6627566</v>
      </c>
      <c r="J6" s="19">
        <f>IFERROR(__xludf.DUMMYFUNCTION("""COMPUTED_VALUE"""),84.0)</f>
        <v>84</v>
      </c>
      <c r="K6" s="20">
        <f>IFERROR(__xludf.DUMMYFUNCTION("""COMPUTED_VALUE"""),-50.662756598240406)</f>
        <v>-50.6627566</v>
      </c>
      <c r="L6" s="21">
        <f>IFERROR(__xludf.DUMMYFUNCTION("""COMPUTED_VALUE"""),-0.3762195121951217)</f>
        <v>-0.3762195122</v>
      </c>
      <c r="M6" s="24">
        <f>IFERROR(__xludf.DUMMYFUNCTION("""COMPUTED_VALUE"""),0.45365853658536587)</f>
        <v>0.4536585366</v>
      </c>
      <c r="N6" s="22">
        <f>IFERROR(__xludf.DUMMYFUNCTION("""COMPUTED_VALUE"""),0.5357142857142857)</f>
        <v>0.5357142857</v>
      </c>
      <c r="O6" s="25">
        <f>IFERROR(__xludf.DUMMYFUNCTION("""COMPUTED_VALUE"""),8.205574912891983)</f>
        <v>8.205574913</v>
      </c>
      <c r="P6" s="18">
        <f>IFERROR(__xludf.DUMMYFUNCTION("""COMPUTED_VALUE"""),67.63636363636363)</f>
        <v>67.63636364</v>
      </c>
      <c r="Q6" s="19">
        <f>IFERROR(__xludf.DUMMYFUNCTION("""COMPUTED_VALUE"""),45.0)</f>
        <v>45</v>
      </c>
      <c r="R6" s="20">
        <f>IFERROR(__xludf.DUMMYFUNCTION("""COMPUTED_VALUE"""),-22.636363636363626)</f>
        <v>-22.63636364</v>
      </c>
      <c r="S6" s="26">
        <f>IFERROR(__xludf.DUMMYFUNCTION("""COMPUTED_VALUE"""),-0.33467741935483863)</f>
        <v>-0.3346774194</v>
      </c>
      <c r="T6" s="22">
        <f>IFERROR(__xludf.DUMMYFUNCTION("""COMPUTED_VALUE"""),0.1989247311827957)</f>
        <v>0.1989247312</v>
      </c>
      <c r="U6" s="22">
        <f>IFERROR(__xludf.DUMMYFUNCTION("""COMPUTED_VALUE"""),0.06666666666666667)</f>
        <v>0.06666666667</v>
      </c>
      <c r="V6" s="23">
        <f>IFERROR(__xludf.DUMMYFUNCTION("""COMPUTED_VALUE"""),-13.225806451612904)</f>
        <v>-13.22580645</v>
      </c>
      <c r="W6" s="18">
        <f>IFERROR(__xludf.DUMMYFUNCTION("""COMPUTED_VALUE"""),13.454545454545453)</f>
        <v>13.45454545</v>
      </c>
      <c r="X6" s="19">
        <f>IFERROR(__xludf.DUMMYFUNCTION("""COMPUTED_VALUE"""),3.0)</f>
        <v>3</v>
      </c>
      <c r="Y6" s="20">
        <f>IFERROR(__xludf.DUMMYFUNCTION("""COMPUTED_VALUE"""),-10.454545454545453)</f>
        <v>-10.45454545</v>
      </c>
      <c r="Z6" s="27">
        <f>IFERROR(__xludf.DUMMYFUNCTION("""COMPUTED_VALUE"""),-0.777027027027027)</f>
        <v>-0.777027027</v>
      </c>
      <c r="AA6" s="18">
        <f>IFERROR(__xludf.DUMMYFUNCTION("""COMPUTED_VALUE"""),26077.0)</f>
        <v>26077</v>
      </c>
      <c r="AB6" s="19">
        <f>IFERROR(__xludf.DUMMYFUNCTION("""COMPUTED_VALUE"""),17521.0)</f>
        <v>17521</v>
      </c>
      <c r="AC6" s="20">
        <f>IFERROR(__xludf.DUMMYFUNCTION("""COMPUTED_VALUE"""),-8556.0)</f>
        <v>-8556</v>
      </c>
      <c r="AD6" s="27">
        <f>IFERROR(__xludf.DUMMYFUNCTION("""COMPUTED_VALUE"""),-0.32810522682823945)</f>
        <v>-0.3281052268</v>
      </c>
      <c r="AE6" s="18">
        <f>IFERROR(__xludf.DUMMYFUNCTION("""COMPUTED_VALUE"""),259632.09454545454)</f>
        <v>259632.0945</v>
      </c>
      <c r="AF6" s="19">
        <f>IFERROR(__xludf.DUMMYFUNCTION("""COMPUTED_VALUE"""),52563.0)</f>
        <v>52563</v>
      </c>
      <c r="AG6" s="20">
        <f>IFERROR(__xludf.DUMMYFUNCTION("""COMPUTED_VALUE"""),-207069.09454545454)</f>
        <v>-207069.0945</v>
      </c>
      <c r="AH6" s="28">
        <f>IFERROR(__xludf.DUMMYFUNCTION("""COMPUTED_VALUE"""),-0.7975481417579611)</f>
        <v>-0.7975481418</v>
      </c>
      <c r="AI6" s="29">
        <f>IFERROR(__xludf.DUMMYFUNCTION("""COMPUTED_VALUE"""),-119224.17083184308)</f>
        <v>-119224.1708</v>
      </c>
      <c r="AJ6" s="29">
        <f>IFERROR(__xludf.DUMMYFUNCTION("""COMPUTED_VALUE"""),-145113.38048780488)</f>
        <v>-145113.3805</v>
      </c>
      <c r="AK6" s="4">
        <f>IFERROR(__xludf.DUMMYFUNCTION("""COMPUTED_VALUE"""),5187.360215053764)</f>
        <v>5187.360215</v>
      </c>
      <c r="AL6" s="30">
        <f>IFERROR(__xludf.DUMMYFUNCTION("""COMPUTED_VALUE"""),1168.0666666666666)</f>
        <v>1168.066667</v>
      </c>
      <c r="AM6" s="29">
        <f t="shared" si="1"/>
        <v>-4019.293548</v>
      </c>
      <c r="AN6" s="31">
        <f t="shared" si="2"/>
        <v>-0.7748244544</v>
      </c>
      <c r="AO6" s="10">
        <f t="shared" si="3"/>
        <v>35754.82919</v>
      </c>
      <c r="AP6" s="10">
        <f t="shared" si="4"/>
        <v>-180868.2097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IFERROR(__xludf.DUMMYFUNCTION("""COMPUTED_VALUE"""),"[IM] Form Facebook Ads")</f>
        <v>[IM] Form Facebook Ads</v>
      </c>
      <c r="B7" s="18">
        <f>IFERROR(__xludf.DUMMYFUNCTION("""COMPUTED_VALUE"""),215.6451612903225)</f>
        <v>215.6451613</v>
      </c>
      <c r="C7" s="19">
        <f>IFERROR(__xludf.DUMMYFUNCTION("""COMPUTED_VALUE"""),174.0)</f>
        <v>174</v>
      </c>
      <c r="D7" s="20">
        <f>IFERROR(__xludf.DUMMYFUNCTION("""COMPUTED_VALUE"""),-41.645161290322505)</f>
        <v>-41.64516129</v>
      </c>
      <c r="E7" s="21">
        <f>IFERROR(__xludf.DUMMYFUNCTION("""COMPUTED_VALUE"""),-0.19311892296185462)</f>
        <v>-0.193118923</v>
      </c>
      <c r="F7" s="22">
        <f>IFERROR(__xludf.DUMMYFUNCTION("""COMPUTED_VALUE"""),0.8)</f>
        <v>0.8</v>
      </c>
      <c r="G7" s="22">
        <f>IFERROR(__xludf.DUMMYFUNCTION("""COMPUTED_VALUE"""),0.6436781609195402)</f>
        <v>0.6436781609</v>
      </c>
      <c r="H7" s="23">
        <f>IFERROR(__xludf.DUMMYFUNCTION("""COMPUTED_VALUE"""),-15.632183908045983)</f>
        <v>-15.63218391</v>
      </c>
      <c r="I7" s="18">
        <f>IFERROR(__xludf.DUMMYFUNCTION("""COMPUTED_VALUE"""),172.516129032258)</f>
        <v>172.516129</v>
      </c>
      <c r="J7" s="19">
        <f>IFERROR(__xludf.DUMMYFUNCTION("""COMPUTED_VALUE"""),112.0)</f>
        <v>112</v>
      </c>
      <c r="K7" s="20">
        <f>IFERROR(__xludf.DUMMYFUNCTION("""COMPUTED_VALUE"""),-60.51612903225799)</f>
        <v>-60.51612903</v>
      </c>
      <c r="L7" s="21">
        <f>IFERROR(__xludf.DUMMYFUNCTION("""COMPUTED_VALUE"""),-0.35078534031413583)</f>
        <v>-0.3507853403</v>
      </c>
      <c r="M7" s="24">
        <f>IFERROR(__xludf.DUMMYFUNCTION("""COMPUTED_VALUE"""),0.34)</f>
        <v>0.34</v>
      </c>
      <c r="N7" s="22">
        <f>IFERROR(__xludf.DUMMYFUNCTION("""COMPUTED_VALUE"""),0.3482142857142857)</f>
        <v>0.3482142857</v>
      </c>
      <c r="O7" s="25">
        <f>IFERROR(__xludf.DUMMYFUNCTION("""COMPUTED_VALUE"""),0.8214285714285674)</f>
        <v>0.8214285714</v>
      </c>
      <c r="P7" s="18">
        <f>IFERROR(__xludf.DUMMYFUNCTION("""COMPUTED_VALUE"""),64.93999999999998)</f>
        <v>64.94</v>
      </c>
      <c r="Q7" s="19">
        <f>IFERROR(__xludf.DUMMYFUNCTION("""COMPUTED_VALUE"""),39.0)</f>
        <v>39</v>
      </c>
      <c r="R7" s="20">
        <f>IFERROR(__xludf.DUMMYFUNCTION("""COMPUTED_VALUE"""),-25.939999999999984)</f>
        <v>-25.94</v>
      </c>
      <c r="S7" s="26">
        <f>IFERROR(__xludf.DUMMYFUNCTION("""COMPUTED_VALUE"""),-0.3994456421311979)</f>
        <v>-0.3994456421</v>
      </c>
      <c r="T7" s="22">
        <f>IFERROR(__xludf.DUMMYFUNCTION("""COMPUTED_VALUE"""),0.16)</f>
        <v>0.16</v>
      </c>
      <c r="U7" s="22">
        <f>IFERROR(__xludf.DUMMYFUNCTION("""COMPUTED_VALUE"""),0.05128205128205128)</f>
        <v>0.05128205128</v>
      </c>
      <c r="V7" s="23">
        <f>IFERROR(__xludf.DUMMYFUNCTION("""COMPUTED_VALUE"""),-10.871794871794872)</f>
        <v>-10.87179487</v>
      </c>
      <c r="W7" s="18">
        <f>IFERROR(__xludf.DUMMYFUNCTION("""COMPUTED_VALUE"""),10.390399999999998)</f>
        <v>10.3904</v>
      </c>
      <c r="X7" s="19">
        <f>IFERROR(__xludf.DUMMYFUNCTION("""COMPUTED_VALUE"""),2.0)</f>
        <v>2</v>
      </c>
      <c r="Y7" s="20">
        <f>IFERROR(__xludf.DUMMYFUNCTION("""COMPUTED_VALUE"""),-8.390399999999998)</f>
        <v>-8.3904</v>
      </c>
      <c r="Z7" s="27">
        <f>IFERROR(__xludf.DUMMYFUNCTION("""COMPUTED_VALUE"""),-0.8075146288882045)</f>
        <v>-0.8075146289</v>
      </c>
      <c r="AA7" s="18">
        <f>IFERROR(__xludf.DUMMYFUNCTION("""COMPUTED_VALUE"""),29000.0)</f>
        <v>29000</v>
      </c>
      <c r="AB7" s="19">
        <f>IFERROR(__xludf.DUMMYFUNCTION("""COMPUTED_VALUE"""),33442.5)</f>
        <v>33442.5</v>
      </c>
      <c r="AC7" s="20">
        <f>IFERROR(__xludf.DUMMYFUNCTION("""COMPUTED_VALUE"""),4442.5)</f>
        <v>4442.5</v>
      </c>
      <c r="AD7" s="27">
        <f>IFERROR(__xludf.DUMMYFUNCTION("""COMPUTED_VALUE"""),0.15318965517241379)</f>
        <v>0.1531896552</v>
      </c>
      <c r="AE7" s="18">
        <f>IFERROR(__xludf.DUMMYFUNCTION("""COMPUTED_VALUE"""),222977.98399999997)</f>
        <v>222977.984</v>
      </c>
      <c r="AF7" s="19">
        <f>IFERROR(__xludf.DUMMYFUNCTION("""COMPUTED_VALUE"""),66885.0)</f>
        <v>66885</v>
      </c>
      <c r="AG7" s="20">
        <f>IFERROR(__xludf.DUMMYFUNCTION("""COMPUTED_VALUE"""),-156092.98399999997)</f>
        <v>-156092.984</v>
      </c>
      <c r="AH7" s="28">
        <f>IFERROR(__xludf.DUMMYFUNCTION("""COMPUTED_VALUE"""),-0.7000376503538573)</f>
        <v>-0.7000376504</v>
      </c>
      <c r="AI7" s="29">
        <f>IFERROR(__xludf.DUMMYFUNCTION("""COMPUTED_VALUE"""),-95470.24516129021)</f>
        <v>-95470.24516</v>
      </c>
      <c r="AJ7" s="29">
        <f>IFERROR(__xludf.DUMMYFUNCTION("""COMPUTED_VALUE"""),-109806.19999999998)</f>
        <v>-109806.2</v>
      </c>
      <c r="AK7" s="4">
        <f>IFERROR(__xludf.DUMMYFUNCTION("""COMPUTED_VALUE"""),4640.0)</f>
        <v>4640</v>
      </c>
      <c r="AL7" s="30">
        <f>IFERROR(__xludf.DUMMYFUNCTION("""COMPUTED_VALUE"""),1715.0)</f>
        <v>1715</v>
      </c>
      <c r="AM7" s="29">
        <f t="shared" si="1"/>
        <v>-2925</v>
      </c>
      <c r="AN7" s="31">
        <f t="shared" si="2"/>
        <v>-0.630387931</v>
      </c>
      <c r="AO7" s="10">
        <f t="shared" si="3"/>
        <v>4268.8</v>
      </c>
      <c r="AP7" s="10">
        <f t="shared" si="4"/>
        <v>-114075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IFERROR(__xludf.DUMMYFUNCTION("""COMPUTED_VALUE"""),"[IM] Social DM")</f>
        <v>[IM] Social DM</v>
      </c>
      <c r="B8" s="18">
        <f>IFERROR(__xludf.DUMMYFUNCTION("""COMPUTED_VALUE"""),49.67741935483869)</f>
        <v>49.67741935</v>
      </c>
      <c r="C8" s="19">
        <f>IFERROR(__xludf.DUMMYFUNCTION("""COMPUTED_VALUE"""),64.0)</f>
        <v>64</v>
      </c>
      <c r="D8" s="20">
        <f>IFERROR(__xludf.DUMMYFUNCTION("""COMPUTED_VALUE"""),14.32258064516131)</f>
        <v>14.32258065</v>
      </c>
      <c r="E8" s="21">
        <f>IFERROR(__xludf.DUMMYFUNCTION("""COMPUTED_VALUE"""),0.2883116883116888)</f>
        <v>0.2883116883</v>
      </c>
      <c r="F8" s="22">
        <f>IFERROR(__xludf.DUMMYFUNCTION("""COMPUTED_VALUE"""),0.9411764705882353)</f>
        <v>0.9411764706</v>
      </c>
      <c r="G8" s="22">
        <f>IFERROR(__xludf.DUMMYFUNCTION("""COMPUTED_VALUE"""),1.0)</f>
        <v>1</v>
      </c>
      <c r="H8" s="23">
        <f>IFERROR(__xludf.DUMMYFUNCTION("""COMPUTED_VALUE"""),5.882352941176472)</f>
        <v>5.882352941</v>
      </c>
      <c r="I8" s="18">
        <f>IFERROR(__xludf.DUMMYFUNCTION("""COMPUTED_VALUE"""),46.75521821631877)</f>
        <v>46.75521822</v>
      </c>
      <c r="J8" s="19">
        <f>IFERROR(__xludf.DUMMYFUNCTION("""COMPUTED_VALUE"""),64.0)</f>
        <v>64</v>
      </c>
      <c r="K8" s="20">
        <f>IFERROR(__xludf.DUMMYFUNCTION("""COMPUTED_VALUE"""),17.244781783681233)</f>
        <v>17.24478178</v>
      </c>
      <c r="L8" s="21">
        <f>IFERROR(__xludf.DUMMYFUNCTION("""COMPUTED_VALUE"""),0.3688311688311694)</f>
        <v>0.3688311688</v>
      </c>
      <c r="M8" s="24">
        <f>IFERROR(__xludf.DUMMYFUNCTION("""COMPUTED_VALUE"""),0.4375)</f>
        <v>0.4375</v>
      </c>
      <c r="N8" s="22">
        <f>IFERROR(__xludf.DUMMYFUNCTION("""COMPUTED_VALUE"""),0.421875)</f>
        <v>0.421875</v>
      </c>
      <c r="O8" s="25">
        <f>IFERROR(__xludf.DUMMYFUNCTION("""COMPUTED_VALUE"""),-1.5625)</f>
        <v>-1.5625</v>
      </c>
      <c r="P8" s="18">
        <f>IFERROR(__xludf.DUMMYFUNCTION("""COMPUTED_VALUE"""),22.64705882352941)</f>
        <v>22.64705882</v>
      </c>
      <c r="Q8" s="19">
        <f>IFERROR(__xludf.DUMMYFUNCTION("""COMPUTED_VALUE"""),27.0)</f>
        <v>27</v>
      </c>
      <c r="R8" s="20">
        <f>IFERROR(__xludf.DUMMYFUNCTION("""COMPUTED_VALUE"""),4.3529411764705905)</f>
        <v>4.352941176</v>
      </c>
      <c r="S8" s="26">
        <f>IFERROR(__xludf.DUMMYFUNCTION("""COMPUTED_VALUE"""),0.19220779220779233)</f>
        <v>0.1922077922</v>
      </c>
      <c r="T8" s="22">
        <f>IFERROR(__xludf.DUMMYFUNCTION("""COMPUTED_VALUE"""),0.31)</f>
        <v>0.31</v>
      </c>
      <c r="U8" s="22">
        <f>IFERROR(__xludf.DUMMYFUNCTION("""COMPUTED_VALUE"""),0.2222222222222222)</f>
        <v>0.2222222222</v>
      </c>
      <c r="V8" s="23">
        <f>IFERROR(__xludf.DUMMYFUNCTION("""COMPUTED_VALUE"""),-8.777777777777779)</f>
        <v>-8.777777778</v>
      </c>
      <c r="W8" s="18">
        <f>IFERROR(__xludf.DUMMYFUNCTION("""COMPUTED_VALUE"""),7.020588235294117)</f>
        <v>7.020588235</v>
      </c>
      <c r="X8" s="19">
        <f>IFERROR(__xludf.DUMMYFUNCTION("""COMPUTED_VALUE"""),6.0)</f>
        <v>6</v>
      </c>
      <c r="Y8" s="20">
        <f>IFERROR(__xludf.DUMMYFUNCTION("""COMPUTED_VALUE"""),-1.0205882352941167)</f>
        <v>-1.020588235</v>
      </c>
      <c r="Z8" s="27">
        <f>IFERROR(__xludf.DUMMYFUNCTION("""COMPUTED_VALUE"""),-0.14537075827398396)</f>
        <v>-0.1453707583</v>
      </c>
      <c r="AA8" s="18">
        <f>IFERROR(__xludf.DUMMYFUNCTION("""COMPUTED_VALUE"""),39578.0)</f>
        <v>39578</v>
      </c>
      <c r="AB8" s="19">
        <f>IFERROR(__xludf.DUMMYFUNCTION("""COMPUTED_VALUE"""),27334.55000813802)</f>
        <v>27334.55001</v>
      </c>
      <c r="AC8" s="20">
        <f>IFERROR(__xludf.DUMMYFUNCTION("""COMPUTED_VALUE"""),-12243.44999186198)</f>
        <v>-12243.44999</v>
      </c>
      <c r="AD8" s="27">
        <f>IFERROR(__xludf.DUMMYFUNCTION("""COMPUTED_VALUE"""),-0.30934989114816264)</f>
        <v>-0.3093498911</v>
      </c>
      <c r="AE8" s="18">
        <f>IFERROR(__xludf.DUMMYFUNCTION("""COMPUTED_VALUE"""),205617.0224705882)</f>
        <v>205617.0225</v>
      </c>
      <c r="AF8" s="19">
        <f>IFERROR(__xludf.DUMMYFUNCTION("""COMPUTED_VALUE"""),164007.30004882812)</f>
        <v>164007.3</v>
      </c>
      <c r="AG8" s="20">
        <f>IFERROR(__xludf.DUMMYFUNCTION("""COMPUTED_VALUE"""),-41609.72242176009)</f>
        <v>-41609.72242</v>
      </c>
      <c r="AH8" s="28">
        <f>IFERROR(__xludf.DUMMYFUNCTION("""COMPUTED_VALUE"""),-0.2023651637485997)</f>
        <v>-0.2023651637</v>
      </c>
      <c r="AI8" s="29">
        <f>IFERROR(__xludf.DUMMYFUNCTION("""COMPUTED_VALUE"""),92565.95764705892)</f>
        <v>92565.95765</v>
      </c>
      <c r="AJ8" s="29">
        <f>IFERROR(__xludf.DUMMYFUNCTION("""COMPUTED_VALUE"""),-179529.73995117185)</f>
        <v>-179529.74</v>
      </c>
      <c r="AK8" s="4">
        <f>IFERROR(__xludf.DUMMYFUNCTION("""COMPUTED_VALUE"""),12269.179999999998)</f>
        <v>12269.18</v>
      </c>
      <c r="AL8" s="30">
        <f>IFERROR(__xludf.DUMMYFUNCTION("""COMPUTED_VALUE"""),6074.344446252893)</f>
        <v>6074.344446</v>
      </c>
      <c r="AM8" s="29">
        <f t="shared" si="1"/>
        <v>-6194.835554</v>
      </c>
      <c r="AN8" s="31">
        <f t="shared" si="2"/>
        <v>-0.5049103162</v>
      </c>
      <c r="AO8" s="10">
        <f t="shared" si="3"/>
        <v>-12269.18</v>
      </c>
      <c r="AP8" s="10">
        <f t="shared" si="4"/>
        <v>-167260.56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IFERROR(__xludf.DUMMYFUNCTION("""COMPUTED_VALUE"""),"Form G4 Google")</f>
        <v>Form G4 Google</v>
      </c>
      <c r="B9" s="18">
        <f>IFERROR(__xludf.DUMMYFUNCTION("""COMPUTED_VALUE"""),130.96774193548382)</f>
        <v>130.9677419</v>
      </c>
      <c r="C9" s="19">
        <f>IFERROR(__xludf.DUMMYFUNCTION("""COMPUTED_VALUE"""),125.0)</f>
        <v>125</v>
      </c>
      <c r="D9" s="20">
        <f>IFERROR(__xludf.DUMMYFUNCTION("""COMPUTED_VALUE"""),-5.967741935483815)</f>
        <v>-5.967741935</v>
      </c>
      <c r="E9" s="21">
        <f>IFERROR(__xludf.DUMMYFUNCTION("""COMPUTED_VALUE"""),-0.04556650246305378)</f>
        <v>-0.04556650246</v>
      </c>
      <c r="F9" s="22">
        <f>IFERROR(__xludf.DUMMYFUNCTION("""COMPUTED_VALUE"""),0.79)</f>
        <v>0.79</v>
      </c>
      <c r="G9" s="22">
        <f>IFERROR(__xludf.DUMMYFUNCTION("""COMPUTED_VALUE"""),0.768)</f>
        <v>0.768</v>
      </c>
      <c r="H9" s="23">
        <f>IFERROR(__xludf.DUMMYFUNCTION("""COMPUTED_VALUE"""),-2.200000000000002)</f>
        <v>-2.2</v>
      </c>
      <c r="I9" s="18">
        <f>IFERROR(__xludf.DUMMYFUNCTION("""COMPUTED_VALUE"""),103.46451612903223)</f>
        <v>103.4645161</v>
      </c>
      <c r="J9" s="19">
        <f>IFERROR(__xludf.DUMMYFUNCTION("""COMPUTED_VALUE"""),96.0)</f>
        <v>96</v>
      </c>
      <c r="K9" s="20">
        <f>IFERROR(__xludf.DUMMYFUNCTION("""COMPUTED_VALUE"""),-7.4645161290322335)</f>
        <v>-7.464516129</v>
      </c>
      <c r="L9" s="21">
        <f>IFERROR(__xludf.DUMMYFUNCTION("""COMPUTED_VALUE"""),-0.07214566315395625)</f>
        <v>-0.07214566315</v>
      </c>
      <c r="M9" s="24">
        <f>IFERROR(__xludf.DUMMYFUNCTION("""COMPUTED_VALUE"""),0.375)</f>
        <v>0.375</v>
      </c>
      <c r="N9" s="22">
        <f>IFERROR(__xludf.DUMMYFUNCTION("""COMPUTED_VALUE"""),0.4270833333333333)</f>
        <v>0.4270833333</v>
      </c>
      <c r="O9" s="25">
        <f>IFERROR(__xludf.DUMMYFUNCTION("""COMPUTED_VALUE"""),5.208333333333331)</f>
        <v>5.208333333</v>
      </c>
      <c r="P9" s="18">
        <f>IFERROR(__xludf.DUMMYFUNCTION("""COMPUTED_VALUE"""),42.95625)</f>
        <v>42.95625</v>
      </c>
      <c r="Q9" s="19">
        <f>IFERROR(__xludf.DUMMYFUNCTION("""COMPUTED_VALUE"""),41.0)</f>
        <v>41</v>
      </c>
      <c r="R9" s="20">
        <f>IFERROR(__xludf.DUMMYFUNCTION("""COMPUTED_VALUE"""),-1.9562499999999972)</f>
        <v>-1.95625</v>
      </c>
      <c r="S9" s="26">
        <f>IFERROR(__xludf.DUMMYFUNCTION("""COMPUTED_VALUE"""),-0.04554052087880104)</f>
        <v>-0.04554052088</v>
      </c>
      <c r="T9" s="22">
        <f>IFERROR(__xludf.DUMMYFUNCTION("""COMPUTED_VALUE"""),0.22)</f>
        <v>0.22</v>
      </c>
      <c r="U9" s="22">
        <f>IFERROR(__xludf.DUMMYFUNCTION("""COMPUTED_VALUE"""),0.0975609756097561)</f>
        <v>0.09756097561</v>
      </c>
      <c r="V9" s="23">
        <f>IFERROR(__xludf.DUMMYFUNCTION("""COMPUTED_VALUE"""),-12.24390243902439)</f>
        <v>-12.24390244</v>
      </c>
      <c r="W9" s="18">
        <f>IFERROR(__xludf.DUMMYFUNCTION("""COMPUTED_VALUE"""),9.450375)</f>
        <v>9.450375</v>
      </c>
      <c r="X9" s="19">
        <f>IFERROR(__xludf.DUMMYFUNCTION("""COMPUTED_VALUE"""),4.0)</f>
        <v>4</v>
      </c>
      <c r="Y9" s="20">
        <f>IFERROR(__xludf.DUMMYFUNCTION("""COMPUTED_VALUE"""),-5.450374999999999)</f>
        <v>-5.450375</v>
      </c>
      <c r="Z9" s="27">
        <f>IFERROR(__xludf.DUMMYFUNCTION("""COMPUTED_VALUE"""),-0.5767363728952555)</f>
        <v>-0.5767363729</v>
      </c>
      <c r="AA9" s="18">
        <f>IFERROR(__xludf.DUMMYFUNCTION("""COMPUTED_VALUE"""),22129.0)</f>
        <v>22129</v>
      </c>
      <c r="AB9" s="19">
        <f>IFERROR(__xludf.DUMMYFUNCTION("""COMPUTED_VALUE"""),26995.537506103516)</f>
        <v>26995.53751</v>
      </c>
      <c r="AC9" s="20">
        <f>IFERROR(__xludf.DUMMYFUNCTION("""COMPUTED_VALUE"""),4866.537506103516)</f>
        <v>4866.537506</v>
      </c>
      <c r="AD9" s="27">
        <f>IFERROR(__xludf.DUMMYFUNCTION("""COMPUTED_VALUE"""),0.2199167384926348)</f>
        <v>0.2199167385</v>
      </c>
      <c r="AE9" s="18">
        <f>IFERROR(__xludf.DUMMYFUNCTION("""COMPUTED_VALUE"""),154754.2377975)</f>
        <v>154754.2378</v>
      </c>
      <c r="AF9" s="19">
        <f>IFERROR(__xludf.DUMMYFUNCTION("""COMPUTED_VALUE"""),107982.15002441406)</f>
        <v>107982.15</v>
      </c>
      <c r="AG9" s="20">
        <f>IFERROR(__xludf.DUMMYFUNCTION("""COMPUTED_VALUE"""),-46772.08777308595)</f>
        <v>-46772.08777</v>
      </c>
      <c r="AH9" s="28">
        <f>IFERROR(__xludf.DUMMYFUNCTION("""COMPUTED_VALUE"""),-0.30223461689164505)</f>
        <v>-0.3022346169</v>
      </c>
      <c r="AI9" s="29">
        <f>IFERROR(__xludf.DUMMYFUNCTION("""COMPUTED_VALUE"""),-13627.53788709673)</f>
        <v>-13627.53789</v>
      </c>
      <c r="AJ9" s="29">
        <f>IFERROR(__xludf.DUMMYFUNCTION("""COMPUTED_VALUE"""),-67279.52997558595)</f>
        <v>-67279.52998</v>
      </c>
      <c r="AK9" s="4">
        <f>IFERROR(__xludf.DUMMYFUNCTION("""COMPUTED_VALUE"""),4868.38)</f>
        <v>4868.38</v>
      </c>
      <c r="AL9" s="30">
        <f>IFERROR(__xludf.DUMMYFUNCTION("""COMPUTED_VALUE"""),2633.710976205221)</f>
        <v>2633.710976</v>
      </c>
      <c r="AM9" s="29">
        <f t="shared" si="1"/>
        <v>-2234.669024</v>
      </c>
      <c r="AN9" s="31">
        <f t="shared" si="2"/>
        <v>-0.4590169674</v>
      </c>
      <c r="AO9" s="10">
        <f t="shared" si="3"/>
        <v>24341.9</v>
      </c>
      <c r="AP9" s="10">
        <f t="shared" si="4"/>
        <v>-91621.42998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Outros")</f>
        <v>[IM] Outros</v>
      </c>
      <c r="B10" s="18">
        <f>IFERROR(__xludf.DUMMYFUNCTION("""COMPUTED_VALUE"""),92.94193548387094)</f>
        <v>92.94193548</v>
      </c>
      <c r="C10" s="19">
        <f>IFERROR(__xludf.DUMMYFUNCTION("""COMPUTED_VALUE"""),20.0)</f>
        <v>20</v>
      </c>
      <c r="D10" s="20">
        <f>IFERROR(__xludf.DUMMYFUNCTION("""COMPUTED_VALUE"""),-72.94193548387094)</f>
        <v>-72.94193548</v>
      </c>
      <c r="E10" s="21">
        <f>IFERROR(__xludf.DUMMYFUNCTION("""COMPUTED_VALUE"""),-0.7848118839372483)</f>
        <v>-0.7848118839</v>
      </c>
      <c r="F10" s="22">
        <f>IFERROR(__xludf.DUMMYFUNCTION("""COMPUTED_VALUE"""),0.8367346938775511)</f>
        <v>0.8367346939</v>
      </c>
      <c r="G10" s="22">
        <f>IFERROR(__xludf.DUMMYFUNCTION("""COMPUTED_VALUE"""),0.6)</f>
        <v>0.6</v>
      </c>
      <c r="H10" s="23">
        <f>IFERROR(__xludf.DUMMYFUNCTION("""COMPUTED_VALUE"""),-23.67346938775511)</f>
        <v>-23.67346939</v>
      </c>
      <c r="I10" s="18">
        <f>IFERROR(__xludf.DUMMYFUNCTION("""COMPUTED_VALUE"""),77.76774193548385)</f>
        <v>77.76774194</v>
      </c>
      <c r="J10" s="19">
        <f>IFERROR(__xludf.DUMMYFUNCTION("""COMPUTED_VALUE"""),12.0)</f>
        <v>12</v>
      </c>
      <c r="K10" s="20">
        <f>IFERROR(__xludf.DUMMYFUNCTION("""COMPUTED_VALUE"""),-65.76774193548385)</f>
        <v>-65.76774194</v>
      </c>
      <c r="L10" s="21">
        <f>IFERROR(__xludf.DUMMYFUNCTION("""COMPUTED_VALUE"""),-0.8456943753111)</f>
        <v>-0.8456943753</v>
      </c>
      <c r="M10" s="24">
        <f>IFERROR(__xludf.DUMMYFUNCTION("""COMPUTED_VALUE"""),0.31097560975609756)</f>
        <v>0.3109756098</v>
      </c>
      <c r="N10" s="22">
        <f>IFERROR(__xludf.DUMMYFUNCTION("""COMPUTED_VALUE"""),0.5833333333333334)</f>
        <v>0.5833333333</v>
      </c>
      <c r="O10" s="25">
        <f>IFERROR(__xludf.DUMMYFUNCTION("""COMPUTED_VALUE"""),27.23577235772358)</f>
        <v>27.23577236</v>
      </c>
      <c r="P10" s="18">
        <f>IFERROR(__xludf.DUMMYFUNCTION("""COMPUTED_VALUE"""),26.775)</f>
        <v>26.775</v>
      </c>
      <c r="Q10" s="19">
        <f>IFERROR(__xludf.DUMMYFUNCTION("""COMPUTED_VALUE"""),7.0)</f>
        <v>7</v>
      </c>
      <c r="R10" s="20">
        <f>IFERROR(__xludf.DUMMYFUNCTION("""COMPUTED_VALUE"""),-19.775)</f>
        <v>-19.775</v>
      </c>
      <c r="S10" s="26">
        <f>IFERROR(__xludf.DUMMYFUNCTION("""COMPUTED_VALUE"""),-0.738562091503268)</f>
        <v>-0.7385620915</v>
      </c>
      <c r="T10" s="22">
        <f>IFERROR(__xludf.DUMMYFUNCTION("""COMPUTED_VALUE"""),0.3725490196078431)</f>
        <v>0.3725490196</v>
      </c>
      <c r="U10" s="22">
        <f>IFERROR(__xludf.DUMMYFUNCTION("""COMPUTED_VALUE"""),0.14285714285714285)</f>
        <v>0.1428571429</v>
      </c>
      <c r="V10" s="23">
        <f>IFERROR(__xludf.DUMMYFUNCTION("""COMPUTED_VALUE"""),-22.969187675070025)</f>
        <v>-22.96918768</v>
      </c>
      <c r="W10" s="18">
        <f>IFERROR(__xludf.DUMMYFUNCTION("""COMPUTED_VALUE"""),9.974999999999998)</f>
        <v>9.975</v>
      </c>
      <c r="X10" s="19">
        <f>IFERROR(__xludf.DUMMYFUNCTION("""COMPUTED_VALUE"""),1.0)</f>
        <v>1</v>
      </c>
      <c r="Y10" s="20">
        <f>IFERROR(__xludf.DUMMYFUNCTION("""COMPUTED_VALUE"""),-8.974999999999998)</f>
        <v>-8.975</v>
      </c>
      <c r="Z10" s="27">
        <f>IFERROR(__xludf.DUMMYFUNCTION("""COMPUTED_VALUE"""),-0.899749373433584)</f>
        <v>-0.8997493734</v>
      </c>
      <c r="AA10" s="18">
        <f>IFERROR(__xludf.DUMMYFUNCTION("""COMPUTED_VALUE"""),19221.0)</f>
        <v>19221</v>
      </c>
      <c r="AB10" s="19">
        <f>IFERROR(__xludf.DUMMYFUNCTION("""COMPUTED_VALUE"""),10030.0)</f>
        <v>10030</v>
      </c>
      <c r="AC10" s="20">
        <f>IFERROR(__xludf.DUMMYFUNCTION("""COMPUTED_VALUE"""),-9191.0)</f>
        <v>-9191</v>
      </c>
      <c r="AD10" s="27">
        <f>IFERROR(__xludf.DUMMYFUNCTION("""COMPUTED_VALUE"""),-0.4781749128557307)</f>
        <v>-0.4781749129</v>
      </c>
      <c r="AE10" s="18">
        <f>IFERROR(__xludf.DUMMYFUNCTION("""COMPUTED_VALUE"""),141879.8115)</f>
        <v>141879.8115</v>
      </c>
      <c r="AF10" s="19">
        <f>IFERROR(__xludf.DUMMYFUNCTION("""COMPUTED_VALUE"""),10030.0)</f>
        <v>10030</v>
      </c>
      <c r="AG10" s="20">
        <f>IFERROR(__xludf.DUMMYFUNCTION("""COMPUTED_VALUE"""),-131849.8115)</f>
        <v>-131849.8115</v>
      </c>
      <c r="AH10" s="28">
        <f>IFERROR(__xludf.DUMMYFUNCTION("""COMPUTED_VALUE"""),-0.9293063622374491)</f>
        <v>-0.9293063622</v>
      </c>
      <c r="AI10" s="29">
        <f>IFERROR(__xludf.DUMMYFUNCTION("""COMPUTED_VALUE"""),-146453.13162863883)</f>
        <v>-146453.1316</v>
      </c>
      <c r="AJ10" s="29">
        <f>IFERROR(__xludf.DUMMYFUNCTION("""COMPUTED_VALUE"""),-16691.878048780483)</f>
        <v>-16691.87805</v>
      </c>
      <c r="AK10" s="4">
        <f>IFERROR(__xludf.DUMMYFUNCTION("""COMPUTED_VALUE"""),7160.764705882352)</f>
        <v>7160.764706</v>
      </c>
      <c r="AL10" s="30">
        <f>IFERROR(__xludf.DUMMYFUNCTION("""COMPUTED_VALUE"""),1432.857142857143)</f>
        <v>1432.857143</v>
      </c>
      <c r="AM10" s="29">
        <f t="shared" si="1"/>
        <v>-5727.907563</v>
      </c>
      <c r="AN10" s="31">
        <f t="shared" si="2"/>
        <v>-0.7999016583</v>
      </c>
      <c r="AO10" s="10">
        <f t="shared" si="3"/>
        <v>23403.47489</v>
      </c>
      <c r="AP10" s="10">
        <f t="shared" si="4"/>
        <v>-40095.35294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IFERROR(__xludf.DUMMYFUNCTION("""COMPUTED_VALUE"""),"Form G4 Outros - Não Orgânico")</f>
        <v>Form G4 Outros - Não Orgânico</v>
      </c>
      <c r="B11" s="18">
        <f>IFERROR(__xludf.DUMMYFUNCTION("""COMPUTED_VALUE"""),97.50322580645158)</f>
        <v>97.50322581</v>
      </c>
      <c r="C11" s="19">
        <f>IFERROR(__xludf.DUMMYFUNCTION("""COMPUTED_VALUE"""),62.0)</f>
        <v>62</v>
      </c>
      <c r="D11" s="20">
        <f>IFERROR(__xludf.DUMMYFUNCTION("""COMPUTED_VALUE"""),-35.50322580645158)</f>
        <v>-35.50322581</v>
      </c>
      <c r="E11" s="21">
        <f>IFERROR(__xludf.DUMMYFUNCTION("""COMPUTED_VALUE"""),-0.364123602196784)</f>
        <v>-0.3641236022</v>
      </c>
      <c r="F11" s="22">
        <f>IFERROR(__xludf.DUMMYFUNCTION("""COMPUTED_VALUE"""),0.7165354330708661)</f>
        <v>0.7165354331</v>
      </c>
      <c r="G11" s="22">
        <f>IFERROR(__xludf.DUMMYFUNCTION("""COMPUTED_VALUE"""),0.7419354838709677)</f>
        <v>0.7419354839</v>
      </c>
      <c r="H11" s="23">
        <f>IFERROR(__xludf.DUMMYFUNCTION("""COMPUTED_VALUE"""),2.540005080010166)</f>
        <v>2.54000508</v>
      </c>
      <c r="I11" s="18">
        <f>IFERROR(__xludf.DUMMYFUNCTION("""COMPUTED_VALUE"""),69.86451612903222)</f>
        <v>69.86451613</v>
      </c>
      <c r="J11" s="19">
        <f>IFERROR(__xludf.DUMMYFUNCTION("""COMPUTED_VALUE"""),46.0)</f>
        <v>46</v>
      </c>
      <c r="K11" s="20">
        <f>IFERROR(__xludf.DUMMYFUNCTION("""COMPUTED_VALUE"""),-23.864516129032225)</f>
        <v>-23.86451613</v>
      </c>
      <c r="L11" s="21">
        <f>IFERROR(__xludf.DUMMYFUNCTION("""COMPUTED_VALUE"""),-0.3415827869609379)</f>
        <v>-0.341582787</v>
      </c>
      <c r="M11" s="24">
        <f>IFERROR(__xludf.DUMMYFUNCTION("""COMPUTED_VALUE"""),0.38461538461538464)</f>
        <v>0.3846153846</v>
      </c>
      <c r="N11" s="22">
        <f>IFERROR(__xludf.DUMMYFUNCTION("""COMPUTED_VALUE"""),0.30434782608695654)</f>
        <v>0.3043478261</v>
      </c>
      <c r="O11" s="25">
        <f>IFERROR(__xludf.DUMMYFUNCTION("""COMPUTED_VALUE"""),-8.02675585284281)</f>
        <v>-8.026755853</v>
      </c>
      <c r="P11" s="18">
        <f>IFERROR(__xludf.DUMMYFUNCTION("""COMPUTED_VALUE"""),29.749999999999996)</f>
        <v>29.75</v>
      </c>
      <c r="Q11" s="19">
        <f>IFERROR(__xludf.DUMMYFUNCTION("""COMPUTED_VALUE"""),14.0)</f>
        <v>14</v>
      </c>
      <c r="R11" s="20">
        <f>IFERROR(__xludf.DUMMYFUNCTION("""COMPUTED_VALUE"""),-15.749999999999996)</f>
        <v>-15.75</v>
      </c>
      <c r="S11" s="26">
        <f>IFERROR(__xludf.DUMMYFUNCTION("""COMPUTED_VALUE"""),-0.5294117647058822)</f>
        <v>-0.5294117647</v>
      </c>
      <c r="T11" s="22">
        <f>IFERROR(__xludf.DUMMYFUNCTION("""COMPUTED_VALUE"""),0.17142857142857143)</f>
        <v>0.1714285714</v>
      </c>
      <c r="U11" s="22">
        <f>IFERROR(__xludf.DUMMYFUNCTION("""COMPUTED_VALUE"""),0.07142857142857142)</f>
        <v>0.07142857143</v>
      </c>
      <c r="V11" s="23">
        <f>IFERROR(__xludf.DUMMYFUNCTION("""COMPUTED_VALUE"""),-10.0)</f>
        <v>-10</v>
      </c>
      <c r="W11" s="18">
        <f>IFERROR(__xludf.DUMMYFUNCTION("""COMPUTED_VALUE"""),5.099999999999999)</f>
        <v>5.1</v>
      </c>
      <c r="X11" s="19">
        <f>IFERROR(__xludf.DUMMYFUNCTION("""COMPUTED_VALUE"""),1.0)</f>
        <v>1</v>
      </c>
      <c r="Y11" s="20">
        <f>IFERROR(__xludf.DUMMYFUNCTION("""COMPUTED_VALUE"""),-4.099999999999999)</f>
        <v>-4.1</v>
      </c>
      <c r="Z11" s="27">
        <f>IFERROR(__xludf.DUMMYFUNCTION("""COMPUTED_VALUE"""),-0.8039215686274509)</f>
        <v>-0.8039215686</v>
      </c>
      <c r="AA11" s="18">
        <f>IFERROR(__xludf.DUMMYFUNCTION("""COMPUTED_VALUE"""),29454.0)</f>
        <v>29454</v>
      </c>
      <c r="AB11" s="19">
        <f>IFERROR(__xludf.DUMMYFUNCTION("""COMPUTED_VALUE"""),21900.0)</f>
        <v>21900</v>
      </c>
      <c r="AC11" s="20">
        <f>IFERROR(__xludf.DUMMYFUNCTION("""COMPUTED_VALUE"""),-7554.0)</f>
        <v>-7554</v>
      </c>
      <c r="AD11" s="27">
        <f>IFERROR(__xludf.DUMMYFUNCTION("""COMPUTED_VALUE"""),-0.2564677123650438)</f>
        <v>-0.2564677124</v>
      </c>
      <c r="AE11" s="18">
        <f>IFERROR(__xludf.DUMMYFUNCTION("""COMPUTED_VALUE"""),111159.396)</f>
        <v>111159.396</v>
      </c>
      <c r="AF11" s="19">
        <f>IFERROR(__xludf.DUMMYFUNCTION("""COMPUTED_VALUE"""),21900.0)</f>
        <v>21900</v>
      </c>
      <c r="AG11" s="20">
        <f>IFERROR(__xludf.DUMMYFUNCTION("""COMPUTED_VALUE"""),-89259.396)</f>
        <v>-89259.396</v>
      </c>
      <c r="AH11" s="28">
        <f>IFERROR(__xludf.DUMMYFUNCTION("""COMPUTED_VALUE"""),-0.8029856153590471)</f>
        <v>-0.8029856154</v>
      </c>
      <c r="AI11" s="29">
        <f>IFERROR(__xludf.DUMMYFUNCTION("""COMPUTED_VALUE"""),-46345.414817440564)</f>
        <v>-46345.41482</v>
      </c>
      <c r="AJ11" s="29">
        <f>IFERROR(__xludf.DUMMYFUNCTION("""COMPUTED_VALUE"""),-67433.010989011)</f>
        <v>-67433.01099</v>
      </c>
      <c r="AK11" s="4">
        <f>IFERROR(__xludf.DUMMYFUNCTION("""COMPUTED_VALUE"""),5049.257142857143)</f>
        <v>5049.257143</v>
      </c>
      <c r="AL11" s="30">
        <f>IFERROR(__xludf.DUMMYFUNCTION("""COMPUTED_VALUE"""),1564.2857142857142)</f>
        <v>1564.285714</v>
      </c>
      <c r="AM11" s="29">
        <f t="shared" si="1"/>
        <v>-3484.971429</v>
      </c>
      <c r="AN11" s="31">
        <f t="shared" si="2"/>
        <v>-0.6901948802</v>
      </c>
      <c r="AO11" s="10">
        <f t="shared" si="3"/>
        <v>-18643.41099</v>
      </c>
      <c r="AP11" s="10">
        <f t="shared" si="4"/>
        <v>-48789.6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Facebook")</f>
        <v>Form G4 Facebook</v>
      </c>
      <c r="B12" s="18">
        <f>IFERROR(__xludf.DUMMYFUNCTION("""COMPUTED_VALUE"""),158.0645161290322)</f>
        <v>158.0645161</v>
      </c>
      <c r="C12" s="19">
        <f>IFERROR(__xludf.DUMMYFUNCTION("""COMPUTED_VALUE"""),274.0)</f>
        <v>274</v>
      </c>
      <c r="D12" s="20">
        <f>IFERROR(__xludf.DUMMYFUNCTION("""COMPUTED_VALUE"""),115.9354838709678)</f>
        <v>115.9354839</v>
      </c>
      <c r="E12" s="21">
        <f>IFERROR(__xludf.DUMMYFUNCTION("""COMPUTED_VALUE"""),0.7334693877551027)</f>
        <v>0.7334693878</v>
      </c>
      <c r="F12" s="22">
        <f>IFERROR(__xludf.DUMMYFUNCTION("""COMPUTED_VALUE"""),0.73)</f>
        <v>0.73</v>
      </c>
      <c r="G12" s="22">
        <f>IFERROR(__xludf.DUMMYFUNCTION("""COMPUTED_VALUE"""),0.7445255474452555)</f>
        <v>0.7445255474</v>
      </c>
      <c r="H12" s="23">
        <f>IFERROR(__xludf.DUMMYFUNCTION("""COMPUTED_VALUE"""),1.4525547445255471)</f>
        <v>1.452554745</v>
      </c>
      <c r="I12" s="18">
        <f>IFERROR(__xludf.DUMMYFUNCTION("""COMPUTED_VALUE"""),115.38709677419351)</f>
        <v>115.3870968</v>
      </c>
      <c r="J12" s="19">
        <f>IFERROR(__xludf.DUMMYFUNCTION("""COMPUTED_VALUE"""),204.0)</f>
        <v>204</v>
      </c>
      <c r="K12" s="20">
        <f>IFERROR(__xludf.DUMMYFUNCTION("""COMPUTED_VALUE"""),88.61290322580649)</f>
        <v>88.61290323</v>
      </c>
      <c r="L12" s="21">
        <f>IFERROR(__xludf.DUMMYFUNCTION("""COMPUTED_VALUE"""),0.7679619793122735)</f>
        <v>0.7679619793</v>
      </c>
      <c r="M12" s="24">
        <f>IFERROR(__xludf.DUMMYFUNCTION("""COMPUTED_VALUE"""),0.2642857142857143)</f>
        <v>0.2642857143</v>
      </c>
      <c r="N12" s="22">
        <f>IFERROR(__xludf.DUMMYFUNCTION("""COMPUTED_VALUE"""),0.29411764705882354)</f>
        <v>0.2941176471</v>
      </c>
      <c r="O12" s="25">
        <f>IFERROR(__xludf.DUMMYFUNCTION("""COMPUTED_VALUE"""),2.983193277310925)</f>
        <v>2.983193277</v>
      </c>
      <c r="P12" s="18">
        <f>IFERROR(__xludf.DUMMYFUNCTION("""COMPUTED_VALUE"""),33.762499999999996)</f>
        <v>33.7625</v>
      </c>
      <c r="Q12" s="19">
        <f>IFERROR(__xludf.DUMMYFUNCTION("""COMPUTED_VALUE"""),60.0)</f>
        <v>60</v>
      </c>
      <c r="R12" s="20">
        <f>IFERROR(__xludf.DUMMYFUNCTION("""COMPUTED_VALUE"""),26.237500000000004)</f>
        <v>26.2375</v>
      </c>
      <c r="S12" s="26">
        <f>IFERROR(__xludf.DUMMYFUNCTION("""COMPUTED_VALUE"""),0.7771195853387637)</f>
        <v>0.7771195853</v>
      </c>
      <c r="T12" s="22">
        <f>IFERROR(__xludf.DUMMYFUNCTION("""COMPUTED_VALUE"""),0.15384615384615383)</f>
        <v>0.1538461538</v>
      </c>
      <c r="U12" s="22">
        <f>IFERROR(__xludf.DUMMYFUNCTION("""COMPUTED_VALUE"""),0.08333333333333333)</f>
        <v>0.08333333333</v>
      </c>
      <c r="V12" s="23">
        <f>IFERROR(__xludf.DUMMYFUNCTION("""COMPUTED_VALUE"""),-7.05128205128205)</f>
        <v>-7.051282051</v>
      </c>
      <c r="W12" s="18">
        <f>IFERROR(__xludf.DUMMYFUNCTION("""COMPUTED_VALUE"""),5.194230769230768)</f>
        <v>5.194230769</v>
      </c>
      <c r="X12" s="19">
        <f>IFERROR(__xludf.DUMMYFUNCTION("""COMPUTED_VALUE"""),5.0)</f>
        <v>5</v>
      </c>
      <c r="Y12" s="20">
        <f>IFERROR(__xludf.DUMMYFUNCTION("""COMPUTED_VALUE"""),-0.1942307692307681)</f>
        <v>-0.1942307692</v>
      </c>
      <c r="Z12" s="27">
        <f>IFERROR(__xludf.DUMMYFUNCTION("""COMPUTED_VALUE"""),-0.03739355794150294)</f>
        <v>-0.03739355794</v>
      </c>
      <c r="AA12" s="18">
        <f>IFERROR(__xludf.DUMMYFUNCTION("""COMPUTED_VALUE"""),23069.0)</f>
        <v>23069</v>
      </c>
      <c r="AB12" s="19">
        <f>IFERROR(__xludf.DUMMYFUNCTION("""COMPUTED_VALUE"""),24250.2)</f>
        <v>24250.2</v>
      </c>
      <c r="AC12" s="20">
        <f>IFERROR(__xludf.DUMMYFUNCTION("""COMPUTED_VALUE"""),1181.2000000000007)</f>
        <v>1181.2</v>
      </c>
      <c r="AD12" s="27">
        <f>IFERROR(__xludf.DUMMYFUNCTION("""COMPUTED_VALUE"""),0.05120291300013008)</f>
        <v>0.051202913</v>
      </c>
      <c r="AE12" s="18">
        <f>IFERROR(__xludf.DUMMYFUNCTION("""COMPUTED_VALUE"""),88671.0251153846)</f>
        <v>88671.02512</v>
      </c>
      <c r="AF12" s="19">
        <f>IFERROR(__xludf.DUMMYFUNCTION("""COMPUTED_VALUE"""),121251.0)</f>
        <v>121251</v>
      </c>
      <c r="AG12" s="20">
        <f>IFERROR(__xludf.DUMMYFUNCTION("""COMPUTED_VALUE"""),32579.974884615396)</f>
        <v>32579.97488</v>
      </c>
      <c r="AH12" s="28">
        <f>IFERROR(__xludf.DUMMYFUNCTION("""COMPUTED_VALUE"""),0.36742526481700394)</f>
        <v>0.3674252648</v>
      </c>
      <c r="AI12" s="29">
        <f>IFERROR(__xludf.DUMMYFUNCTION("""COMPUTED_VALUE"""),83116.27405175474)</f>
        <v>83116.27405</v>
      </c>
      <c r="AJ12" s="29">
        <f>IFERROR(__xludf.DUMMYFUNCTION("""COMPUTED_VALUE"""),-70094.94725274725)</f>
        <v>-70094.94725</v>
      </c>
      <c r="AK12" s="4">
        <f>IFERROR(__xludf.DUMMYFUNCTION("""COMPUTED_VALUE"""),3549.0769230769224)</f>
        <v>3549.076923</v>
      </c>
      <c r="AL12" s="30">
        <f>IFERROR(__xludf.DUMMYFUNCTION("""COMPUTED_VALUE"""),2020.85)</f>
        <v>2020.85</v>
      </c>
      <c r="AM12" s="29">
        <f t="shared" si="1"/>
        <v>-1528.226923</v>
      </c>
      <c r="AN12" s="31">
        <f t="shared" si="2"/>
        <v>-0.4305984221</v>
      </c>
      <c r="AO12" s="10">
        <f t="shared" si="3"/>
        <v>21598.66813</v>
      </c>
      <c r="AP12" s="10">
        <f t="shared" si="4"/>
        <v>-91693.61538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IFERROR(__xludf.DUMMYFUNCTION("""COMPUTED_VALUE"""),"[IM] Link de Indicação")</f>
        <v>[IM] Link de Indicação</v>
      </c>
      <c r="B13" s="18">
        <f>IFERROR(__xludf.DUMMYFUNCTION("""COMPUTED_VALUE"""),58.70967741935482)</f>
        <v>58.70967742</v>
      </c>
      <c r="C13" s="19">
        <f>IFERROR(__xludf.DUMMYFUNCTION("""COMPUTED_VALUE"""),74.0)</f>
        <v>74</v>
      </c>
      <c r="D13" s="20">
        <f>IFERROR(__xludf.DUMMYFUNCTION("""COMPUTED_VALUE"""),15.290322580645181)</f>
        <v>15.29032258</v>
      </c>
      <c r="E13" s="21">
        <f>IFERROR(__xludf.DUMMYFUNCTION("""COMPUTED_VALUE"""),0.26043956043956085)</f>
        <v>0.2604395604</v>
      </c>
      <c r="F13" s="22">
        <f>IFERROR(__xludf.DUMMYFUNCTION("""COMPUTED_VALUE"""),0.8)</f>
        <v>0.8</v>
      </c>
      <c r="G13" s="22">
        <f>IFERROR(__xludf.DUMMYFUNCTION("""COMPUTED_VALUE"""),0.8243243243243243)</f>
        <v>0.8243243243</v>
      </c>
      <c r="H13" s="23">
        <f>IFERROR(__xludf.DUMMYFUNCTION("""COMPUTED_VALUE"""),2.43243243243243)</f>
        <v>2.432432432</v>
      </c>
      <c r="I13" s="18">
        <f>IFERROR(__xludf.DUMMYFUNCTION("""COMPUTED_VALUE"""),46.96774193548385)</f>
        <v>46.96774194</v>
      </c>
      <c r="J13" s="19">
        <f>IFERROR(__xludf.DUMMYFUNCTION("""COMPUTED_VALUE"""),61.0)</f>
        <v>61</v>
      </c>
      <c r="K13" s="20">
        <f>IFERROR(__xludf.DUMMYFUNCTION("""COMPUTED_VALUE"""),14.03225806451615)</f>
        <v>14.03225806</v>
      </c>
      <c r="L13" s="21">
        <f>IFERROR(__xludf.DUMMYFUNCTION("""COMPUTED_VALUE"""),0.2987637362637368)</f>
        <v>0.2987637363</v>
      </c>
      <c r="M13" s="24">
        <f>IFERROR(__xludf.DUMMYFUNCTION("""COMPUTED_VALUE"""),0.3076923076923077)</f>
        <v>0.3076923077</v>
      </c>
      <c r="N13" s="22">
        <f>IFERROR(__xludf.DUMMYFUNCTION("""COMPUTED_VALUE"""),0.3114754098360656)</f>
        <v>0.3114754098</v>
      </c>
      <c r="O13" s="25">
        <f>IFERROR(__xludf.DUMMYFUNCTION("""COMPUTED_VALUE"""),0.3783102143757877)</f>
        <v>0.3783102144</v>
      </c>
      <c r="P13" s="18">
        <f>IFERROR(__xludf.DUMMYFUNCTION("""COMPUTED_VALUE"""),15.999999999999998)</f>
        <v>16</v>
      </c>
      <c r="Q13" s="19">
        <f>IFERROR(__xludf.DUMMYFUNCTION("""COMPUTED_VALUE"""),19.0)</f>
        <v>19</v>
      </c>
      <c r="R13" s="20">
        <f>IFERROR(__xludf.DUMMYFUNCTION("""COMPUTED_VALUE"""),3.0000000000000018)</f>
        <v>3</v>
      </c>
      <c r="S13" s="26">
        <f>IFERROR(__xludf.DUMMYFUNCTION("""COMPUTED_VALUE"""),0.18750000000000014)</f>
        <v>0.1875</v>
      </c>
      <c r="T13" s="22">
        <f>IFERROR(__xludf.DUMMYFUNCTION("""COMPUTED_VALUE"""),0.192)</f>
        <v>0.192</v>
      </c>
      <c r="U13" s="22">
        <f>IFERROR(__xludf.DUMMYFUNCTION("""COMPUTED_VALUE"""),0.2631578947368421)</f>
        <v>0.2631578947</v>
      </c>
      <c r="V13" s="23">
        <f>IFERROR(__xludf.DUMMYFUNCTION("""COMPUTED_VALUE"""),7.115789473684209)</f>
        <v>7.115789474</v>
      </c>
      <c r="W13" s="18">
        <f>IFERROR(__xludf.DUMMYFUNCTION("""COMPUTED_VALUE"""),3.0719999999999996)</f>
        <v>3.072</v>
      </c>
      <c r="X13" s="19">
        <f>IFERROR(__xludf.DUMMYFUNCTION("""COMPUTED_VALUE"""),5.0)</f>
        <v>5</v>
      </c>
      <c r="Y13" s="20">
        <f>IFERROR(__xludf.DUMMYFUNCTION("""COMPUTED_VALUE"""),1.9280000000000004)</f>
        <v>1.928</v>
      </c>
      <c r="Z13" s="27">
        <f>IFERROR(__xludf.DUMMYFUNCTION("""COMPUTED_VALUE"""),0.6276041666666669)</f>
        <v>0.6276041667</v>
      </c>
      <c r="AA13" s="18">
        <f>IFERROR(__xludf.DUMMYFUNCTION("""COMPUTED_VALUE"""),23779.0)</f>
        <v>23779</v>
      </c>
      <c r="AB13" s="19">
        <f>IFERROR(__xludf.DUMMYFUNCTION("""COMPUTED_VALUE"""),30490.2)</f>
        <v>30490.2</v>
      </c>
      <c r="AC13" s="20">
        <f>IFERROR(__xludf.DUMMYFUNCTION("""COMPUTED_VALUE"""),6711.200000000001)</f>
        <v>6711.2</v>
      </c>
      <c r="AD13" s="27">
        <f>IFERROR(__xludf.DUMMYFUNCTION("""COMPUTED_VALUE"""),0.28223222170823)</f>
        <v>0.2822322217</v>
      </c>
      <c r="AE13" s="18">
        <f>IFERROR(__xludf.DUMMYFUNCTION("""COMPUTED_VALUE"""),54056.32512)</f>
        <v>54056.32512</v>
      </c>
      <c r="AF13" s="19">
        <f>IFERROR(__xludf.DUMMYFUNCTION("""COMPUTED_VALUE"""),152451.0)</f>
        <v>152451</v>
      </c>
      <c r="AG13" s="20">
        <f>IFERROR(__xludf.DUMMYFUNCTION("""COMPUTED_VALUE"""),98394.67488)</f>
        <v>98394.67488</v>
      </c>
      <c r="AH13" s="28">
        <f>IFERROR(__xludf.DUMMYFUNCTION("""COMPUTED_VALUE"""),1.8202250090359084)</f>
        <v>1.820225009</v>
      </c>
      <c r="AI13" s="29">
        <f>IFERROR(__xludf.DUMMYFUNCTION("""COMPUTED_VALUE"""),19712.377965260577)</f>
        <v>19712.37797</v>
      </c>
      <c r="AJ13" s="29">
        <f>IFERROR(__xludf.DUMMYFUNCTION("""COMPUTED_VALUE"""),66758.8006153846)</f>
        <v>66758.80062</v>
      </c>
      <c r="AK13" s="4">
        <f>IFERROR(__xludf.DUMMYFUNCTION("""COMPUTED_VALUE"""),4565.568)</f>
        <v>4565.568</v>
      </c>
      <c r="AL13" s="30">
        <f>IFERROR(__xludf.DUMMYFUNCTION("""COMPUTED_VALUE"""),8023.736842105263)</f>
        <v>8023.736842</v>
      </c>
      <c r="AM13" s="29">
        <f t="shared" si="1"/>
        <v>3458.168842</v>
      </c>
      <c r="AN13" s="31">
        <f t="shared" si="2"/>
        <v>0.7574454793</v>
      </c>
      <c r="AO13" s="10">
        <f t="shared" si="3"/>
        <v>1053.592615</v>
      </c>
      <c r="AP13" s="10">
        <f t="shared" si="4"/>
        <v>65705.208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IFERROR(__xludf.DUMMYFUNCTION("""COMPUTED_VALUE"""),"[CM] Form G4 - Instagram")</f>
        <v>[CM] Form G4 - Instagram</v>
      </c>
      <c r="B14" s="18">
        <f>IFERROR(__xludf.DUMMYFUNCTION("""COMPUTED_VALUE"""),27.096774193548377)</f>
        <v>27.09677419</v>
      </c>
      <c r="C14" s="19">
        <f>IFERROR(__xludf.DUMMYFUNCTION("""COMPUTED_VALUE"""),29.0)</f>
        <v>29</v>
      </c>
      <c r="D14" s="20">
        <f>IFERROR(__xludf.DUMMYFUNCTION("""COMPUTED_VALUE"""),1.9032258064516228)</f>
        <v>1.903225806</v>
      </c>
      <c r="E14" s="21">
        <f>IFERROR(__xludf.DUMMYFUNCTION("""COMPUTED_VALUE"""),0.07023809523809563)</f>
        <v>0.07023809524</v>
      </c>
      <c r="F14" s="22">
        <f>IFERROR(__xludf.DUMMYFUNCTION("""COMPUTED_VALUE"""),0.6460674157303372)</f>
        <v>0.6460674157</v>
      </c>
      <c r="G14" s="22">
        <f>IFERROR(__xludf.DUMMYFUNCTION("""COMPUTED_VALUE"""),0.6206896551724138)</f>
        <v>0.6206896552</v>
      </c>
      <c r="H14" s="23">
        <f>IFERROR(__xludf.DUMMYFUNCTION("""COMPUTED_VALUE"""),-2.53777605579234)</f>
        <v>-2.537776056</v>
      </c>
      <c r="I14" s="18">
        <f>IFERROR(__xludf.DUMMYFUNCTION("""COMPUTED_VALUE"""),17.50634287785429)</f>
        <v>17.50634288</v>
      </c>
      <c r="J14" s="19">
        <f>IFERROR(__xludf.DUMMYFUNCTION("""COMPUTED_VALUE"""),18.0)</f>
        <v>18</v>
      </c>
      <c r="K14" s="20">
        <f>IFERROR(__xludf.DUMMYFUNCTION("""COMPUTED_VALUE"""),0.49365712214570934)</f>
        <v>0.4936571221</v>
      </c>
      <c r="L14" s="21">
        <f>IFERROR(__xludf.DUMMYFUNCTION("""COMPUTED_VALUE"""),0.028198757763975412)</f>
        <v>0.02819875776</v>
      </c>
      <c r="M14" s="24">
        <f>IFERROR(__xludf.DUMMYFUNCTION("""COMPUTED_VALUE"""),0.276)</f>
        <v>0.276</v>
      </c>
      <c r="N14" s="22">
        <f>IFERROR(__xludf.DUMMYFUNCTION("""COMPUTED_VALUE"""),0.2777777777777778)</f>
        <v>0.2777777778</v>
      </c>
      <c r="O14" s="25">
        <f>IFERROR(__xludf.DUMMYFUNCTION("""COMPUTED_VALUE"""),0.1777777777777767)</f>
        <v>0.1777777778</v>
      </c>
      <c r="P14" s="18">
        <f>IFERROR(__xludf.DUMMYFUNCTION("""COMPUTED_VALUE"""),5.349438202247191)</f>
        <v>5.349438202</v>
      </c>
      <c r="Q14" s="19">
        <f>IFERROR(__xludf.DUMMYFUNCTION("""COMPUTED_VALUE"""),5.0)</f>
        <v>5</v>
      </c>
      <c r="R14" s="20">
        <f>IFERROR(__xludf.DUMMYFUNCTION("""COMPUTED_VALUE"""),-0.3494382022471907)</f>
        <v>-0.3494382022</v>
      </c>
      <c r="S14" s="26">
        <f>IFERROR(__xludf.DUMMYFUNCTION("""COMPUTED_VALUE"""),-0.065322411258139)</f>
        <v>-0.06532241126</v>
      </c>
      <c r="T14" s="22">
        <f>IFERROR(__xludf.DUMMYFUNCTION("""COMPUTED_VALUE"""),0.1785714285714286)</f>
        <v>0.1785714286</v>
      </c>
      <c r="U14" s="22">
        <f>IFERROR(__xludf.DUMMYFUNCTION("""COMPUTED_VALUE"""),0.0)</f>
        <v>0</v>
      </c>
      <c r="V14" s="23">
        <f>IFERROR(__xludf.DUMMYFUNCTION("""COMPUTED_VALUE"""),-17.85714285714286)</f>
        <v>-17.85714286</v>
      </c>
      <c r="W14" s="18">
        <f>IFERROR(__xludf.DUMMYFUNCTION("""COMPUTED_VALUE"""),0.9552568218298556)</f>
        <v>0.9552568218</v>
      </c>
      <c r="X14" s="19">
        <f>IFERROR(__xludf.DUMMYFUNCTION("""COMPUTED_VALUE"""),0.0)</f>
        <v>0</v>
      </c>
      <c r="Y14" s="20">
        <f>IFERROR(__xludf.DUMMYFUNCTION("""COMPUTED_VALUE"""),-0.9552568218298556)</f>
        <v>-0.9552568218</v>
      </c>
      <c r="Z14" s="27">
        <f>IFERROR(__xludf.DUMMYFUNCTION("""COMPUTED_VALUE"""),-1.0)</f>
        <v>-1</v>
      </c>
      <c r="AA14" s="18">
        <f>IFERROR(__xludf.DUMMYFUNCTION("""COMPUTED_VALUE"""),40743.0)</f>
        <v>40743</v>
      </c>
      <c r="AB14" s="19">
        <f>IFERROR(__xludf.DUMMYFUNCTION("""COMPUTED_VALUE"""),0.0)</f>
        <v>0</v>
      </c>
      <c r="AC14" s="20">
        <f>IFERROR(__xludf.DUMMYFUNCTION("""COMPUTED_VALUE"""),-40743.0)</f>
        <v>-40743</v>
      </c>
      <c r="AD14" s="27">
        <f>IFERROR(__xludf.DUMMYFUNCTION("""COMPUTED_VALUE"""),-1.0)</f>
        <v>-1</v>
      </c>
      <c r="AE14" s="18">
        <f>IFERROR(__xludf.DUMMYFUNCTION("""COMPUTED_VALUE"""),28800.821231942224)</f>
        <v>28800.82123</v>
      </c>
      <c r="AF14" s="19">
        <f>IFERROR(__xludf.DUMMYFUNCTION("""COMPUTED_VALUE"""),0.0)</f>
        <v>0</v>
      </c>
      <c r="AG14" s="20">
        <f>IFERROR(__xludf.DUMMYFUNCTION("""COMPUTED_VALUE"""),-28800.821231942224)</f>
        <v>-28800.82123</v>
      </c>
      <c r="AH14" s="28">
        <f>IFERROR(__xludf.DUMMYFUNCTION("""COMPUTED_VALUE"""),-1.0)</f>
        <v>-1</v>
      </c>
      <c r="AI14" s="29">
        <f>IFERROR(__xludf.DUMMYFUNCTION("""COMPUTED_VALUE"""),991.2871262880014)</f>
        <v>991.2871263</v>
      </c>
      <c r="AJ14" s="29">
        <f>IFERROR(__xludf.DUMMYFUNCTION("""COMPUTED_VALUE"""),-36144.86142857143)</f>
        <v>-36144.86143</v>
      </c>
      <c r="AK14" s="4">
        <f>IFERROR(__xludf.DUMMYFUNCTION("""COMPUTED_VALUE"""),7275.535714285716)</f>
        <v>7275.535714</v>
      </c>
      <c r="AL14" s="30">
        <f>IFERROR(__xludf.DUMMYFUNCTION("""COMPUTED_VALUE"""),0.0)</f>
        <v>0</v>
      </c>
      <c r="AM14" s="29">
        <f t="shared" si="1"/>
        <v>-7275.535714</v>
      </c>
      <c r="AN14" s="31">
        <f t="shared" si="2"/>
        <v>-1</v>
      </c>
      <c r="AO14" s="10">
        <f t="shared" si="3"/>
        <v>232.8171429</v>
      </c>
      <c r="AP14" s="10">
        <f t="shared" si="4"/>
        <v>-36377.67857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IFERROR(__xludf.DUMMYFUNCTION("""COMPUTED_VALUE"""),"[CM] Form G4 - Outros")</f>
        <v>[CM] Form G4 - Outros</v>
      </c>
      <c r="B15" s="18">
        <f>IFERROR(__xludf.DUMMYFUNCTION("""COMPUTED_VALUE"""),18.06451612903225)</f>
        <v>18.06451613</v>
      </c>
      <c r="C15" s="19">
        <f>IFERROR(__xludf.DUMMYFUNCTION("""COMPUTED_VALUE"""),19.0)</f>
        <v>19</v>
      </c>
      <c r="D15" s="20">
        <f>IFERROR(__xludf.DUMMYFUNCTION("""COMPUTED_VALUE"""),0.9354838709677509)</f>
        <v>0.935483871</v>
      </c>
      <c r="E15" s="21">
        <f>IFERROR(__xludf.DUMMYFUNCTION("""COMPUTED_VALUE"""),0.05178571428571481)</f>
        <v>0.05178571429</v>
      </c>
      <c r="F15" s="22">
        <f>IFERROR(__xludf.DUMMYFUNCTION("""COMPUTED_VALUE"""),0.6460674157303372)</f>
        <v>0.6460674157</v>
      </c>
      <c r="G15" s="22">
        <f>IFERROR(__xludf.DUMMYFUNCTION("""COMPUTED_VALUE"""),0.5789473684210527)</f>
        <v>0.5789473684</v>
      </c>
      <c r="H15" s="23">
        <f>IFERROR(__xludf.DUMMYFUNCTION("""COMPUTED_VALUE"""),-6.712004730928456)</f>
        <v>-6.712004731</v>
      </c>
      <c r="I15" s="18">
        <f>IFERROR(__xludf.DUMMYFUNCTION("""COMPUTED_VALUE"""),11.670895251902861)</f>
        <v>11.67089525</v>
      </c>
      <c r="J15" s="19">
        <f>IFERROR(__xludf.DUMMYFUNCTION("""COMPUTED_VALUE"""),11.0)</f>
        <v>11</v>
      </c>
      <c r="K15" s="20">
        <f>IFERROR(__xludf.DUMMYFUNCTION("""COMPUTED_VALUE"""),-0.670895251902861)</f>
        <v>-0.6708952519</v>
      </c>
      <c r="L15" s="21">
        <f>IFERROR(__xludf.DUMMYFUNCTION("""COMPUTED_VALUE"""),-0.057484472049689254)</f>
        <v>-0.05748447205</v>
      </c>
      <c r="M15" s="24">
        <f>IFERROR(__xludf.DUMMYFUNCTION("""COMPUTED_VALUE"""),0.276)</f>
        <v>0.276</v>
      </c>
      <c r="N15" s="22">
        <f>IFERROR(__xludf.DUMMYFUNCTION("""COMPUTED_VALUE"""),0.36363636363636365)</f>
        <v>0.3636363636</v>
      </c>
      <c r="O15" s="25">
        <f>IFERROR(__xludf.DUMMYFUNCTION("""COMPUTED_VALUE"""),8.763636363636362)</f>
        <v>8.763636364</v>
      </c>
      <c r="P15" s="18">
        <f>IFERROR(__xludf.DUMMYFUNCTION("""COMPUTED_VALUE"""),3.566292134831461)</f>
        <v>3.566292135</v>
      </c>
      <c r="Q15" s="19">
        <f>IFERROR(__xludf.DUMMYFUNCTION("""COMPUTED_VALUE"""),4.0)</f>
        <v>4</v>
      </c>
      <c r="R15" s="20">
        <f>IFERROR(__xludf.DUMMYFUNCTION("""COMPUTED_VALUE"""),0.4337078651685391)</f>
        <v>0.4337078652</v>
      </c>
      <c r="S15" s="26">
        <f>IFERROR(__xludf.DUMMYFUNCTION("""COMPUTED_VALUE"""),0.12161310649023307)</f>
        <v>0.1216131065</v>
      </c>
      <c r="T15" s="22">
        <f>IFERROR(__xludf.DUMMYFUNCTION("""COMPUTED_VALUE"""),0.1785714285714286)</f>
        <v>0.1785714286</v>
      </c>
      <c r="U15" s="22">
        <f>IFERROR(__xludf.DUMMYFUNCTION("""COMPUTED_VALUE"""),0.5)</f>
        <v>0.5</v>
      </c>
      <c r="V15" s="23">
        <f>IFERROR(__xludf.DUMMYFUNCTION("""COMPUTED_VALUE"""),32.14285714285714)</f>
        <v>32.14285714</v>
      </c>
      <c r="W15" s="18">
        <f>IFERROR(__xludf.DUMMYFUNCTION("""COMPUTED_VALUE"""),0.6368378812199038)</f>
        <v>0.6368378812</v>
      </c>
      <c r="X15" s="19">
        <f>IFERROR(__xludf.DUMMYFUNCTION("""COMPUTED_VALUE"""),2.0)</f>
        <v>2</v>
      </c>
      <c r="Y15" s="20">
        <f>IFERROR(__xludf.DUMMYFUNCTION("""COMPUTED_VALUE"""),1.3631621187800962)</f>
        <v>1.363162119</v>
      </c>
      <c r="Z15" s="27">
        <f>IFERROR(__xludf.DUMMYFUNCTION("""COMPUTED_VALUE"""),2.140516698172652)</f>
        <v>2.140516698</v>
      </c>
      <c r="AA15" s="18">
        <f>IFERROR(__xludf.DUMMYFUNCTION("""COMPUTED_VALUE"""),40743.0)</f>
        <v>40743</v>
      </c>
      <c r="AB15" s="19">
        <f>IFERROR(__xludf.DUMMYFUNCTION("""COMPUTED_VALUE"""),79020.0)</f>
        <v>79020</v>
      </c>
      <c r="AC15" s="20">
        <f>IFERROR(__xludf.DUMMYFUNCTION("""COMPUTED_VALUE"""),38277.0)</f>
        <v>38277</v>
      </c>
      <c r="AD15" s="27">
        <f>IFERROR(__xludf.DUMMYFUNCTION("""COMPUTED_VALUE"""),0.9394742655180031)</f>
        <v>0.9394742655</v>
      </c>
      <c r="AE15" s="18">
        <f>IFERROR(__xludf.DUMMYFUNCTION("""COMPUTED_VALUE"""),19200.54748796148)</f>
        <v>19200.54749</v>
      </c>
      <c r="AF15" s="19">
        <f>IFERROR(__xludf.DUMMYFUNCTION("""COMPUTED_VALUE"""),158040.0)</f>
        <v>158040</v>
      </c>
      <c r="AG15" s="20">
        <f>IFERROR(__xludf.DUMMYFUNCTION("""COMPUTED_VALUE"""),138839.45251203852)</f>
        <v>138839.4525</v>
      </c>
      <c r="AH15" s="28">
        <f>IFERROR(__xludf.DUMMYFUNCTION("""COMPUTED_VALUE"""),7.231015292615444)</f>
        <v>7.231015293</v>
      </c>
      <c r="AI15" s="29">
        <f>IFERROR(__xludf.DUMMYFUNCTION("""COMPUTED_VALUE"""),-1347.1897729508576)</f>
        <v>-1347.189773</v>
      </c>
      <c r="AJ15" s="29">
        <f>IFERROR(__xludf.DUMMYFUNCTION("""COMPUTED_VALUE"""),135951.47357142856)</f>
        <v>135951.4736</v>
      </c>
      <c r="AK15" s="4">
        <f>IFERROR(__xludf.DUMMYFUNCTION("""COMPUTED_VALUE"""),7275.535714285715)</f>
        <v>7275.535714</v>
      </c>
      <c r="AL15" s="30">
        <f>IFERROR(__xludf.DUMMYFUNCTION("""COMPUTED_VALUE"""),39510.0)</f>
        <v>39510</v>
      </c>
      <c r="AM15" s="29">
        <f t="shared" si="1"/>
        <v>32234.46429</v>
      </c>
      <c r="AN15" s="31">
        <f t="shared" si="2"/>
        <v>4.430527943</v>
      </c>
      <c r="AO15" s="10">
        <f t="shared" si="3"/>
        <v>7013.616429</v>
      </c>
      <c r="AP15" s="10">
        <f t="shared" si="4"/>
        <v>128937.8571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IFERROR(__xludf.DUMMYFUNCTION("""COMPUTED_VALUE"""),"Aplicativo G4 - Indicação")</f>
        <v>Aplicativo G4 - Indicação</v>
      </c>
      <c r="B16" s="18">
        <f>IFERROR(__xludf.DUMMYFUNCTION("""COMPUTED_VALUE"""),43.896774193548374)</f>
        <v>43.89677419</v>
      </c>
      <c r="C16" s="19">
        <f>IFERROR(__xludf.DUMMYFUNCTION("""COMPUTED_VALUE"""),74.0)</f>
        <v>74</v>
      </c>
      <c r="D16" s="20">
        <f>IFERROR(__xludf.DUMMYFUNCTION("""COMPUTED_VALUE"""),30.103225806451626)</f>
        <v>30.10322581</v>
      </c>
      <c r="E16" s="21">
        <f>IFERROR(__xludf.DUMMYFUNCTION("""COMPUTED_VALUE"""),0.685773074661964)</f>
        <v>0.6857730747</v>
      </c>
      <c r="F16" s="22">
        <f>IFERROR(__xludf.DUMMYFUNCTION("""COMPUTED_VALUE"""),0.75)</f>
        <v>0.75</v>
      </c>
      <c r="G16" s="22">
        <f>IFERROR(__xludf.DUMMYFUNCTION("""COMPUTED_VALUE"""),0.12162162162162163)</f>
        <v>0.1216216216</v>
      </c>
      <c r="H16" s="23">
        <f>IFERROR(__xludf.DUMMYFUNCTION("""COMPUTED_VALUE"""),-62.83783783783784)</f>
        <v>-62.83783784</v>
      </c>
      <c r="I16" s="18">
        <f>IFERROR(__xludf.DUMMYFUNCTION("""COMPUTED_VALUE"""),32.92258064516128)</f>
        <v>32.92258065</v>
      </c>
      <c r="J16" s="19">
        <f>IFERROR(__xludf.DUMMYFUNCTION("""COMPUTED_VALUE"""),9.0)</f>
        <v>9</v>
      </c>
      <c r="K16" s="20">
        <f>IFERROR(__xludf.DUMMYFUNCTION("""COMPUTED_VALUE"""),-23.922580645161283)</f>
        <v>-23.92258065</v>
      </c>
      <c r="L16" s="21">
        <f>IFERROR(__xludf.DUMMYFUNCTION("""COMPUTED_VALUE"""),-0.7266313932980599)</f>
        <v>-0.7266313933</v>
      </c>
      <c r="M16" s="24">
        <f>IFERROR(__xludf.DUMMYFUNCTION("""COMPUTED_VALUE"""),0.16049382716049382)</f>
        <v>0.1604938272</v>
      </c>
      <c r="N16" s="22">
        <f>IFERROR(__xludf.DUMMYFUNCTION("""COMPUTED_VALUE"""),0.8888888888888888)</f>
        <v>0.8888888889</v>
      </c>
      <c r="O16" s="25">
        <f>IFERROR(__xludf.DUMMYFUNCTION("""COMPUTED_VALUE"""),72.83950617283949)</f>
        <v>72.83950617</v>
      </c>
      <c r="P16" s="18">
        <f>IFERROR(__xludf.DUMMYFUNCTION("""COMPUTED_VALUE"""),5.85)</f>
        <v>5.85</v>
      </c>
      <c r="Q16" s="19">
        <f>IFERROR(__xludf.DUMMYFUNCTION("""COMPUTED_VALUE"""),8.0)</f>
        <v>8</v>
      </c>
      <c r="R16" s="20">
        <f>IFERROR(__xludf.DUMMYFUNCTION("""COMPUTED_VALUE"""),2.1500000000000004)</f>
        <v>2.15</v>
      </c>
      <c r="S16" s="26">
        <f>IFERROR(__xludf.DUMMYFUNCTION("""COMPUTED_VALUE"""),0.3675213675213676)</f>
        <v>0.3675213675</v>
      </c>
      <c r="T16" s="22">
        <f>IFERROR(__xludf.DUMMYFUNCTION("""COMPUTED_VALUE"""),0.15384615384615383)</f>
        <v>0.1538461538</v>
      </c>
      <c r="U16" s="22">
        <f>IFERROR(__xludf.DUMMYFUNCTION("""COMPUTED_VALUE"""),0.125)</f>
        <v>0.125</v>
      </c>
      <c r="V16" s="23">
        <f>IFERROR(__xludf.DUMMYFUNCTION("""COMPUTED_VALUE"""),-2.884615384615383)</f>
        <v>-2.884615385</v>
      </c>
      <c r="W16" s="18">
        <f>IFERROR(__xludf.DUMMYFUNCTION("""COMPUTED_VALUE"""),0.8999999999999999)</f>
        <v>0.9</v>
      </c>
      <c r="X16" s="19">
        <f>IFERROR(__xludf.DUMMYFUNCTION("""COMPUTED_VALUE"""),1.0)</f>
        <v>1</v>
      </c>
      <c r="Y16" s="20">
        <f>IFERROR(__xludf.DUMMYFUNCTION("""COMPUTED_VALUE"""),0.10000000000000009)</f>
        <v>0.1</v>
      </c>
      <c r="Z16" s="27">
        <f>IFERROR(__xludf.DUMMYFUNCTION("""COMPUTED_VALUE"""),0.11111111111111122)</f>
        <v>0.1111111111</v>
      </c>
      <c r="AA16" s="18">
        <f>IFERROR(__xludf.DUMMYFUNCTION("""COMPUTED_VALUE"""),28325.0)</f>
        <v>28325</v>
      </c>
      <c r="AB16" s="19">
        <f>IFERROR(__xludf.DUMMYFUNCTION("""COMPUTED_VALUE"""),63000.0)</f>
        <v>63000</v>
      </c>
      <c r="AC16" s="20">
        <f>IFERROR(__xludf.DUMMYFUNCTION("""COMPUTED_VALUE"""),34675.0)</f>
        <v>34675</v>
      </c>
      <c r="AD16" s="27">
        <f>IFERROR(__xludf.DUMMYFUNCTION("""COMPUTED_VALUE"""),1.2241835834068844)</f>
        <v>1.224183583</v>
      </c>
      <c r="AE16" s="18">
        <f>IFERROR(__xludf.DUMMYFUNCTION("""COMPUTED_VALUE"""),18864.45)</f>
        <v>18864.45</v>
      </c>
      <c r="AF16" s="19">
        <f>IFERROR(__xludf.DUMMYFUNCTION("""COMPUTED_VALUE"""),63000.0)</f>
        <v>63000</v>
      </c>
      <c r="AG16" s="20">
        <f>IFERROR(__xludf.DUMMYFUNCTION("""COMPUTED_VALUE"""),44135.55)</f>
        <v>44135.55</v>
      </c>
      <c r="AH16" s="28">
        <f>IFERROR(__xludf.DUMMYFUNCTION("""COMPUTED_VALUE"""),2.339614990100427)</f>
        <v>2.33961499</v>
      </c>
      <c r="AI16" s="29">
        <f>IFERROR(__xludf.DUMMYFUNCTION("""COMPUTED_VALUE"""),-16731.03942652329)</f>
        <v>-16731.03943</v>
      </c>
      <c r="AJ16" s="29">
        <f>IFERROR(__xludf.DUMMYFUNCTION("""COMPUTED_VALUE"""),56705.555555555555)</f>
        <v>56705.55556</v>
      </c>
      <c r="AK16" s="4">
        <f>IFERROR(__xludf.DUMMYFUNCTION("""COMPUTED_VALUE"""),4357.692307692308)</f>
        <v>4357.692308</v>
      </c>
      <c r="AL16" s="30">
        <f>IFERROR(__xludf.DUMMYFUNCTION("""COMPUTED_VALUE"""),7875.0)</f>
        <v>7875</v>
      </c>
      <c r="AM16" s="29">
        <f t="shared" si="1"/>
        <v>3517.307692</v>
      </c>
      <c r="AN16" s="31">
        <f t="shared" si="2"/>
        <v>0.8071491615</v>
      </c>
      <c r="AO16" s="10">
        <f t="shared" si="3"/>
        <v>28567.09402</v>
      </c>
      <c r="AP16" s="10">
        <f t="shared" si="4"/>
        <v>28138.46154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IFERROR(__xludf.DUMMYFUNCTION("""COMPUTED_VALUE"""),"Indicação - Outros")</f>
        <v>Indicação - Outros</v>
      </c>
      <c r="B17" s="18">
        <f>IFERROR(__xludf.DUMMYFUNCTION("""COMPUTED_VALUE"""),7.496774193548383)</f>
        <v>7.496774194</v>
      </c>
      <c r="C17" s="19">
        <f>IFERROR(__xludf.DUMMYFUNCTION("""COMPUTED_VALUE"""),4.0)</f>
        <v>4</v>
      </c>
      <c r="D17" s="20">
        <f>IFERROR(__xludf.DUMMYFUNCTION("""COMPUTED_VALUE"""),-3.496774193548383)</f>
        <v>-3.496774194</v>
      </c>
      <c r="E17" s="21">
        <f>IFERROR(__xludf.DUMMYFUNCTION("""COMPUTED_VALUE"""),-0.46643717728055045)</f>
        <v>-0.4664371773</v>
      </c>
      <c r="F17" s="22">
        <f>IFERROR(__xludf.DUMMYFUNCTION("""COMPUTED_VALUE"""),0.84)</f>
        <v>0.84</v>
      </c>
      <c r="G17" s="22">
        <f>IFERROR(__xludf.DUMMYFUNCTION("""COMPUTED_VALUE"""),0.5)</f>
        <v>0.5</v>
      </c>
      <c r="H17" s="23">
        <f>IFERROR(__xludf.DUMMYFUNCTION("""COMPUTED_VALUE"""),-34.0)</f>
        <v>-34</v>
      </c>
      <c r="I17" s="18">
        <f>IFERROR(__xludf.DUMMYFUNCTION("""COMPUTED_VALUE"""),6.297290322580642)</f>
        <v>6.297290323</v>
      </c>
      <c r="J17" s="19">
        <f>IFERROR(__xludf.DUMMYFUNCTION("""COMPUTED_VALUE"""),2.0)</f>
        <v>2</v>
      </c>
      <c r="K17" s="20">
        <f>IFERROR(__xludf.DUMMYFUNCTION("""COMPUTED_VALUE"""),-4.297290322580642)</f>
        <v>-4.297290323</v>
      </c>
      <c r="L17" s="21">
        <f>IFERROR(__xludf.DUMMYFUNCTION("""COMPUTED_VALUE"""),-0.6824030817146134)</f>
        <v>-0.6824030817</v>
      </c>
      <c r="M17" s="24">
        <f>IFERROR(__xludf.DUMMYFUNCTION("""COMPUTED_VALUE"""),0.19469026548672566)</f>
        <v>0.1946902655</v>
      </c>
      <c r="N17" s="22">
        <f>IFERROR(__xludf.DUMMYFUNCTION("""COMPUTED_VALUE"""),0.5)</f>
        <v>0.5</v>
      </c>
      <c r="O17" s="25">
        <f>IFERROR(__xludf.DUMMYFUNCTION("""COMPUTED_VALUE"""),30.530973451327437)</f>
        <v>30.53097345</v>
      </c>
      <c r="P17" s="18">
        <f>IFERROR(__xludf.DUMMYFUNCTION("""COMPUTED_VALUE"""),1.3573805309734508)</f>
        <v>1.357380531</v>
      </c>
      <c r="Q17" s="19">
        <f>IFERROR(__xludf.DUMMYFUNCTION("""COMPUTED_VALUE"""),1.0)</f>
        <v>1</v>
      </c>
      <c r="R17" s="20">
        <f>IFERROR(__xludf.DUMMYFUNCTION("""COMPUTED_VALUE"""),-0.3573805309734508)</f>
        <v>-0.357380531</v>
      </c>
      <c r="S17" s="26">
        <f>IFERROR(__xludf.DUMMYFUNCTION("""COMPUTED_VALUE"""),-0.26328691388932324)</f>
        <v>-0.2632869139</v>
      </c>
      <c r="T17" s="22">
        <f>IFERROR(__xludf.DUMMYFUNCTION("""COMPUTED_VALUE"""),0.6363636363636365)</f>
        <v>0.6363636364</v>
      </c>
      <c r="U17" s="22">
        <f>IFERROR(__xludf.DUMMYFUNCTION("""COMPUTED_VALUE"""),0.0)</f>
        <v>0</v>
      </c>
      <c r="V17" s="23">
        <f>IFERROR(__xludf.DUMMYFUNCTION("""COMPUTED_VALUE"""),-63.63636363636365)</f>
        <v>-63.63636364</v>
      </c>
      <c r="W17" s="18">
        <f>IFERROR(__xludf.DUMMYFUNCTION("""COMPUTED_VALUE"""),0.8637876106194688)</f>
        <v>0.8637876106</v>
      </c>
      <c r="X17" s="19">
        <f>IFERROR(__xludf.DUMMYFUNCTION("""COMPUTED_VALUE"""),0.0)</f>
        <v>0</v>
      </c>
      <c r="Y17" s="20">
        <f>IFERROR(__xludf.DUMMYFUNCTION("""COMPUTED_VALUE"""),-0.8637876106194688)</f>
        <v>-0.8637876106</v>
      </c>
      <c r="Z17" s="27">
        <f>IFERROR(__xludf.DUMMYFUNCTION("""COMPUTED_VALUE"""),-1.0)</f>
        <v>-1</v>
      </c>
      <c r="AA17" s="18">
        <f>IFERROR(__xludf.DUMMYFUNCTION("""COMPUTED_VALUE"""),27596.0)</f>
        <v>27596</v>
      </c>
      <c r="AB17" s="19">
        <f>IFERROR(__xludf.DUMMYFUNCTION("""COMPUTED_VALUE"""),0.0)</f>
        <v>0</v>
      </c>
      <c r="AC17" s="20">
        <f>IFERROR(__xludf.DUMMYFUNCTION("""COMPUTED_VALUE"""),-27596.0)</f>
        <v>-27596</v>
      </c>
      <c r="AD17" s="27">
        <f>IFERROR(__xludf.DUMMYFUNCTION("""COMPUTED_VALUE"""),-1.0)</f>
        <v>-1</v>
      </c>
      <c r="AE17" s="18">
        <f>IFERROR(__xludf.DUMMYFUNCTION("""COMPUTED_VALUE"""),17639.441347964603)</f>
        <v>17639.44135</v>
      </c>
      <c r="AF17" s="19">
        <f>IFERROR(__xludf.DUMMYFUNCTION("""COMPUTED_VALUE"""),0.0)</f>
        <v>0</v>
      </c>
      <c r="AG17" s="20">
        <f>IFERROR(__xludf.DUMMYFUNCTION("""COMPUTED_VALUE"""),-17639.441347964603)</f>
        <v>-17639.44135</v>
      </c>
      <c r="AH17" s="28">
        <f>IFERROR(__xludf.DUMMYFUNCTION("""COMPUTED_VALUE"""),-1.0)</f>
        <v>-1</v>
      </c>
      <c r="AI17" s="29">
        <f>IFERROR(__xludf.DUMMYFUNCTION("""COMPUTED_VALUE"""),-14692.32152554952)</f>
        <v>-14692.32153</v>
      </c>
      <c r="AJ17" s="29">
        <f>IFERROR(__xludf.DUMMYFUNCTION("""COMPUTED_VALUE"""),-6837.946902654869)</f>
        <v>-6837.946903</v>
      </c>
      <c r="AK17" s="4">
        <f>IFERROR(__xludf.DUMMYFUNCTION("""COMPUTED_VALUE"""),17561.09090909091)</f>
        <v>17561.09091</v>
      </c>
      <c r="AL17" s="4">
        <f>IFERROR(__xludf.DUMMYFUNCTION("""COMPUTED_VALUE"""),0.0)</f>
        <v>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 t="str">
        <f>IFERROR(__xludf.DUMMYFUNCTION("""COMPUTED_VALUE"""),"[CM] Form G4")</f>
        <v>[CM] Form G4</v>
      </c>
      <c r="B18" s="18"/>
      <c r="C18" s="19">
        <f>IFERROR(__xludf.DUMMYFUNCTION("""COMPUTED_VALUE"""),0.0)</f>
        <v>0</v>
      </c>
      <c r="D18" s="20">
        <f>IFERROR(__xludf.DUMMYFUNCTION("""COMPUTED_VALUE"""),0.0)</f>
        <v>0</v>
      </c>
      <c r="E18" s="21" t="str">
        <f>IFERROR(__xludf.DUMMYFUNCTION("""COMPUTED_VALUE"""),"")</f>
        <v/>
      </c>
      <c r="F18" s="22"/>
      <c r="G18" s="22" t="str">
        <f>IFERROR(__xludf.DUMMYFUNCTION("""COMPUTED_VALUE"""),"")</f>
        <v/>
      </c>
      <c r="H18" s="23" t="str">
        <f>IFERROR(__xludf.DUMMYFUNCTION("""COMPUTED_VALUE"""),"")</f>
        <v/>
      </c>
      <c r="I18" s="18"/>
      <c r="J18" s="19">
        <f>IFERROR(__xludf.DUMMYFUNCTION("""COMPUTED_VALUE"""),0.0)</f>
        <v>0</v>
      </c>
      <c r="K18" s="20">
        <f>IFERROR(__xludf.DUMMYFUNCTION("""COMPUTED_VALUE"""),0.0)</f>
        <v>0</v>
      </c>
      <c r="L18" s="21" t="str">
        <f>IFERROR(__xludf.DUMMYFUNCTION("""COMPUTED_VALUE"""),"")</f>
        <v/>
      </c>
      <c r="M18" s="24"/>
      <c r="N18" s="22" t="str">
        <f>IFERROR(__xludf.DUMMYFUNCTION("""COMPUTED_VALUE"""),"")</f>
        <v/>
      </c>
      <c r="O18" s="25" t="str">
        <f>IFERROR(__xludf.DUMMYFUNCTION("""COMPUTED_VALUE"""),"")</f>
        <v/>
      </c>
      <c r="P18" s="18"/>
      <c r="Q18" s="19">
        <f>IFERROR(__xludf.DUMMYFUNCTION("""COMPUTED_VALUE"""),9.0)</f>
        <v>9</v>
      </c>
      <c r="R18" s="20">
        <f>IFERROR(__xludf.DUMMYFUNCTION("""COMPUTED_VALUE"""),9.0)</f>
        <v>9</v>
      </c>
      <c r="S18" s="26" t="str">
        <f>IFERROR(__xludf.DUMMYFUNCTION("""COMPUTED_VALUE"""),"")</f>
        <v/>
      </c>
      <c r="T18" s="22"/>
      <c r="U18" s="22">
        <f>IFERROR(__xludf.DUMMYFUNCTION("""COMPUTED_VALUE"""),0.2222222222222222)</f>
        <v>0.2222222222</v>
      </c>
      <c r="V18" s="23" t="str">
        <f>IFERROR(__xludf.DUMMYFUNCTION("""COMPUTED_VALUE"""),"")</f>
        <v/>
      </c>
      <c r="W18" s="18"/>
      <c r="X18" s="19">
        <f>IFERROR(__xludf.DUMMYFUNCTION("""COMPUTED_VALUE"""),2.0)</f>
        <v>2</v>
      </c>
      <c r="Y18" s="20">
        <f>IFERROR(__xludf.DUMMYFUNCTION("""COMPUTED_VALUE"""),2.0)</f>
        <v>2</v>
      </c>
      <c r="Z18" s="27" t="str">
        <f>IFERROR(__xludf.DUMMYFUNCTION("""COMPUTED_VALUE"""),"")</f>
        <v/>
      </c>
      <c r="AA18" s="18"/>
      <c r="AB18" s="19">
        <f>IFERROR(__xludf.DUMMYFUNCTION("""COMPUTED_VALUE"""),79020.0)</f>
        <v>79020</v>
      </c>
      <c r="AC18" s="20">
        <f>IFERROR(__xludf.DUMMYFUNCTION("""COMPUTED_VALUE"""),79020.0)</f>
        <v>79020</v>
      </c>
      <c r="AD18" s="27" t="str">
        <f>IFERROR(__xludf.DUMMYFUNCTION("""COMPUTED_VALUE"""),"")</f>
        <v/>
      </c>
      <c r="AE18" s="18"/>
      <c r="AF18" s="19">
        <f>IFERROR(__xludf.DUMMYFUNCTION("""COMPUTED_VALUE"""),158040.0)</f>
        <v>158040</v>
      </c>
      <c r="AG18" s="20">
        <f>IFERROR(__xludf.DUMMYFUNCTION("""COMPUTED_VALUE"""),158040.0)</f>
        <v>158040</v>
      </c>
      <c r="AH18" s="28" t="str">
        <f>IFERROR(__xludf.DUMMYFUNCTION("""COMPUTED_VALUE"""),"")</f>
        <v/>
      </c>
      <c r="AI18" s="29">
        <f>IFERROR(__xludf.DUMMYFUNCTION("""COMPUTED_VALUE"""),0.0)</f>
        <v>0</v>
      </c>
      <c r="AJ18" s="29">
        <f>IFERROR(__xludf.DUMMYFUNCTION("""COMPUTED_VALUE"""),0.0)</f>
        <v>0</v>
      </c>
      <c r="AK18" s="4"/>
      <c r="AL18" s="4">
        <f>IFERROR(__xludf.DUMMYFUNCTION("""COMPUTED_VALUE"""),17560.0)</f>
        <v>17560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 t="str">
        <f>IFERROR(__xludf.DUMMYFUNCTION("""COMPUTED_VALUE"""),"Form G4 Incompleto Instagram")</f>
        <v>Form G4 Incompleto Instagram</v>
      </c>
      <c r="B19" s="18"/>
      <c r="C19" s="19">
        <f>IFERROR(__xludf.DUMMYFUNCTION("""COMPUTED_VALUE"""),0.0)</f>
        <v>0</v>
      </c>
      <c r="D19" s="20">
        <f>IFERROR(__xludf.DUMMYFUNCTION("""COMPUTED_VALUE"""),0.0)</f>
        <v>0</v>
      </c>
      <c r="E19" s="21" t="str">
        <f>IFERROR(__xludf.DUMMYFUNCTION("""COMPUTED_VALUE"""),"")</f>
        <v/>
      </c>
      <c r="F19" s="22"/>
      <c r="G19" s="22" t="str">
        <f>IFERROR(__xludf.DUMMYFUNCTION("""COMPUTED_VALUE"""),"")</f>
        <v/>
      </c>
      <c r="H19" s="23" t="str">
        <f>IFERROR(__xludf.DUMMYFUNCTION("""COMPUTED_VALUE"""),"")</f>
        <v/>
      </c>
      <c r="I19" s="18"/>
      <c r="J19" s="19">
        <f>IFERROR(__xludf.DUMMYFUNCTION("""COMPUTED_VALUE"""),0.0)</f>
        <v>0</v>
      </c>
      <c r="K19" s="20">
        <f>IFERROR(__xludf.DUMMYFUNCTION("""COMPUTED_VALUE"""),0.0)</f>
        <v>0</v>
      </c>
      <c r="L19" s="21" t="str">
        <f>IFERROR(__xludf.DUMMYFUNCTION("""COMPUTED_VALUE"""),"")</f>
        <v/>
      </c>
      <c r="M19" s="24"/>
      <c r="N19" s="22" t="str">
        <f>IFERROR(__xludf.DUMMYFUNCTION("""COMPUTED_VALUE"""),"")</f>
        <v/>
      </c>
      <c r="O19" s="25" t="str">
        <f>IFERROR(__xludf.DUMMYFUNCTION("""COMPUTED_VALUE"""),"")</f>
        <v/>
      </c>
      <c r="P19" s="18"/>
      <c r="Q19" s="19">
        <f>IFERROR(__xludf.DUMMYFUNCTION("""COMPUTED_VALUE"""),1.0)</f>
        <v>1</v>
      </c>
      <c r="R19" s="20">
        <f>IFERROR(__xludf.DUMMYFUNCTION("""COMPUTED_VALUE"""),1.0)</f>
        <v>1</v>
      </c>
      <c r="S19" s="26" t="str">
        <f>IFERROR(__xludf.DUMMYFUNCTION("""COMPUTED_VALUE"""),"")</f>
        <v/>
      </c>
      <c r="T19" s="22"/>
      <c r="U19" s="22">
        <f>IFERROR(__xludf.DUMMYFUNCTION("""COMPUTED_VALUE"""),0.0)</f>
        <v>0</v>
      </c>
      <c r="V19" s="23" t="str">
        <f>IFERROR(__xludf.DUMMYFUNCTION("""COMPUTED_VALUE"""),"")</f>
        <v/>
      </c>
      <c r="W19" s="18"/>
      <c r="X19" s="19">
        <f>IFERROR(__xludf.DUMMYFUNCTION("""COMPUTED_VALUE"""),0.0)</f>
        <v>0</v>
      </c>
      <c r="Y19" s="20">
        <f>IFERROR(__xludf.DUMMYFUNCTION("""COMPUTED_VALUE"""),0.0)</f>
        <v>0</v>
      </c>
      <c r="Z19" s="27" t="str">
        <f>IFERROR(__xludf.DUMMYFUNCTION("""COMPUTED_VALUE"""),"")</f>
        <v/>
      </c>
      <c r="AA19" s="18"/>
      <c r="AB19" s="19">
        <f>IFERROR(__xludf.DUMMYFUNCTION("""COMPUTED_VALUE"""),0.0)</f>
        <v>0</v>
      </c>
      <c r="AC19" s="20">
        <f>IFERROR(__xludf.DUMMYFUNCTION("""COMPUTED_VALUE"""),0.0)</f>
        <v>0</v>
      </c>
      <c r="AD19" s="27" t="str">
        <f>IFERROR(__xludf.DUMMYFUNCTION("""COMPUTED_VALUE"""),"")</f>
        <v/>
      </c>
      <c r="AE19" s="18"/>
      <c r="AF19" s="19">
        <f>IFERROR(__xludf.DUMMYFUNCTION("""COMPUTED_VALUE"""),0.0)</f>
        <v>0</v>
      </c>
      <c r="AG19" s="20">
        <f>IFERROR(__xludf.DUMMYFUNCTION("""COMPUTED_VALUE"""),0.0)</f>
        <v>0</v>
      </c>
      <c r="AH19" s="28" t="str">
        <f>IFERROR(__xludf.DUMMYFUNCTION("""COMPUTED_VALUE"""),"")</f>
        <v/>
      </c>
      <c r="AI19" s="29">
        <f>IFERROR(__xludf.DUMMYFUNCTION("""COMPUTED_VALUE"""),0.0)</f>
        <v>0</v>
      </c>
      <c r="AJ19" s="29">
        <f>IFERROR(__xludf.DUMMYFUNCTION("""COMPUTED_VALUE"""),0.0)</f>
        <v>0</v>
      </c>
      <c r="AK19" s="4"/>
      <c r="AL19" s="4">
        <f>IFERROR(__xludf.DUMMYFUNCTION("""COMPUTED_VALUE"""),0.0)</f>
        <v>0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8"/>
      <c r="C20" s="19"/>
      <c r="D20" s="20"/>
      <c r="E20" s="21"/>
      <c r="F20" s="22"/>
      <c r="G20" s="22"/>
      <c r="H20" s="23"/>
      <c r="I20" s="18"/>
      <c r="J20" s="19"/>
      <c r="K20" s="20"/>
      <c r="L20" s="21"/>
      <c r="M20" s="24"/>
      <c r="N20" s="22"/>
      <c r="O20" s="25"/>
      <c r="P20" s="18"/>
      <c r="Q20" s="19"/>
      <c r="R20" s="20"/>
      <c r="S20" s="26"/>
      <c r="T20" s="22"/>
      <c r="U20" s="22"/>
      <c r="V20" s="23"/>
      <c r="W20" s="18"/>
      <c r="X20" s="19"/>
      <c r="Y20" s="20"/>
      <c r="Z20" s="27"/>
      <c r="AA20" s="18"/>
      <c r="AB20" s="19"/>
      <c r="AC20" s="20"/>
      <c r="AD20" s="27"/>
      <c r="AE20" s="18"/>
      <c r="AF20" s="19"/>
      <c r="AG20" s="20"/>
      <c r="AH20" s="28"/>
      <c r="AI20" s="29"/>
      <c r="AJ20" s="29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8"/>
      <c r="C21" s="19"/>
      <c r="D21" s="20"/>
      <c r="E21" s="21"/>
      <c r="F21" s="22"/>
      <c r="G21" s="22"/>
      <c r="H21" s="23"/>
      <c r="I21" s="18"/>
      <c r="J21" s="19"/>
      <c r="K21" s="20"/>
      <c r="L21" s="21"/>
      <c r="M21" s="24"/>
      <c r="N21" s="22"/>
      <c r="O21" s="25"/>
      <c r="P21" s="18"/>
      <c r="Q21" s="19"/>
      <c r="R21" s="20"/>
      <c r="S21" s="26"/>
      <c r="T21" s="22"/>
      <c r="U21" s="22"/>
      <c r="V21" s="23"/>
      <c r="W21" s="18"/>
      <c r="X21" s="19"/>
      <c r="Y21" s="20"/>
      <c r="Z21" s="27"/>
      <c r="AA21" s="18"/>
      <c r="AB21" s="19"/>
      <c r="AC21" s="20"/>
      <c r="AD21" s="27"/>
      <c r="AE21" s="18"/>
      <c r="AF21" s="19"/>
      <c r="AG21" s="20"/>
      <c r="AH21" s="28"/>
      <c r="AI21" s="29"/>
      <c r="AJ21" s="2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8"/>
      <c r="C22" s="19"/>
      <c r="D22" s="20"/>
      <c r="E22" s="21"/>
      <c r="F22" s="22"/>
      <c r="G22" s="22"/>
      <c r="H22" s="23"/>
      <c r="I22" s="18"/>
      <c r="J22" s="19"/>
      <c r="K22" s="20"/>
      <c r="L22" s="21"/>
      <c r="M22" s="24"/>
      <c r="N22" s="22"/>
      <c r="O22" s="25"/>
      <c r="P22" s="18"/>
      <c r="Q22" s="19"/>
      <c r="R22" s="20"/>
      <c r="S22" s="26"/>
      <c r="T22" s="22"/>
      <c r="U22" s="22"/>
      <c r="V22" s="23"/>
      <c r="W22" s="18"/>
      <c r="X22" s="19"/>
      <c r="Y22" s="20"/>
      <c r="Z22" s="27"/>
      <c r="AA22" s="18"/>
      <c r="AB22" s="19"/>
      <c r="AC22" s="20"/>
      <c r="AD22" s="27"/>
      <c r="AE22" s="18"/>
      <c r="AF22" s="19"/>
      <c r="AG22" s="20"/>
      <c r="AH22" s="28"/>
      <c r="AI22" s="29"/>
      <c r="AJ22" s="29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8"/>
      <c r="C23" s="19"/>
      <c r="D23" s="20"/>
      <c r="E23" s="21"/>
      <c r="F23" s="22"/>
      <c r="G23" s="22"/>
      <c r="H23" s="23"/>
      <c r="I23" s="18"/>
      <c r="J23" s="19"/>
      <c r="K23" s="20"/>
      <c r="L23" s="21"/>
      <c r="M23" s="24"/>
      <c r="N23" s="22"/>
      <c r="O23" s="25"/>
      <c r="P23" s="18"/>
      <c r="Q23" s="19"/>
      <c r="R23" s="20"/>
      <c r="S23" s="26"/>
      <c r="T23" s="22"/>
      <c r="U23" s="22"/>
      <c r="V23" s="23"/>
      <c r="W23" s="18"/>
      <c r="X23" s="19"/>
      <c r="Y23" s="20"/>
      <c r="Z23" s="27"/>
      <c r="AA23" s="18"/>
      <c r="AB23" s="19"/>
      <c r="AC23" s="20"/>
      <c r="AD23" s="27"/>
      <c r="AE23" s="18"/>
      <c r="AF23" s="19"/>
      <c r="AG23" s="20"/>
      <c r="AH23" s="28"/>
      <c r="AI23" s="29"/>
      <c r="AJ23" s="2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8"/>
      <c r="C24" s="19"/>
      <c r="D24" s="20"/>
      <c r="E24" s="21"/>
      <c r="F24" s="22"/>
      <c r="G24" s="22"/>
      <c r="H24" s="23"/>
      <c r="I24" s="18"/>
      <c r="J24" s="19"/>
      <c r="K24" s="20"/>
      <c r="L24" s="21"/>
      <c r="M24" s="24"/>
      <c r="N24" s="22"/>
      <c r="O24" s="25"/>
      <c r="P24" s="18"/>
      <c r="Q24" s="19"/>
      <c r="R24" s="20"/>
      <c r="S24" s="26"/>
      <c r="T24" s="22"/>
      <c r="U24" s="22"/>
      <c r="V24" s="23"/>
      <c r="W24" s="18"/>
      <c r="X24" s="19"/>
      <c r="Y24" s="20"/>
      <c r="Z24" s="27"/>
      <c r="AA24" s="18"/>
      <c r="AB24" s="19"/>
      <c r="AC24" s="20"/>
      <c r="AD24" s="27"/>
      <c r="AE24" s="18"/>
      <c r="AF24" s="19"/>
      <c r="AG24" s="20"/>
      <c r="AH24" s="28"/>
      <c r="AI24" s="29"/>
      <c r="AJ24" s="29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8"/>
      <c r="C25" s="19"/>
      <c r="D25" s="20"/>
      <c r="E25" s="21"/>
      <c r="F25" s="22"/>
      <c r="G25" s="22"/>
      <c r="H25" s="23"/>
      <c r="I25" s="18"/>
      <c r="J25" s="19"/>
      <c r="K25" s="20"/>
      <c r="L25" s="21"/>
      <c r="M25" s="24"/>
      <c r="N25" s="22"/>
      <c r="O25" s="25"/>
      <c r="P25" s="18"/>
      <c r="Q25" s="19"/>
      <c r="R25" s="20"/>
      <c r="S25" s="26"/>
      <c r="T25" s="22"/>
      <c r="U25" s="22"/>
      <c r="V25" s="23"/>
      <c r="W25" s="18"/>
      <c r="X25" s="19"/>
      <c r="Y25" s="20"/>
      <c r="Z25" s="27"/>
      <c r="AA25" s="18"/>
      <c r="AB25" s="19"/>
      <c r="AC25" s="20"/>
      <c r="AD25" s="27"/>
      <c r="AE25" s="18"/>
      <c r="AF25" s="19"/>
      <c r="AG25" s="20"/>
      <c r="AH25" s="28"/>
      <c r="AI25" s="29"/>
      <c r="AJ25" s="29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8"/>
      <c r="C26" s="19"/>
      <c r="D26" s="20"/>
      <c r="E26" s="21"/>
      <c r="F26" s="22"/>
      <c r="G26" s="22"/>
      <c r="H26" s="23"/>
      <c r="I26" s="18"/>
      <c r="J26" s="19"/>
      <c r="K26" s="20"/>
      <c r="L26" s="21"/>
      <c r="M26" s="24"/>
      <c r="N26" s="22"/>
      <c r="O26" s="25"/>
      <c r="P26" s="18"/>
      <c r="Q26" s="19"/>
      <c r="R26" s="20"/>
      <c r="S26" s="26"/>
      <c r="T26" s="22"/>
      <c r="U26" s="22"/>
      <c r="V26" s="23"/>
      <c r="W26" s="18"/>
      <c r="X26" s="19"/>
      <c r="Y26" s="20"/>
      <c r="Z26" s="27"/>
      <c r="AA26" s="18"/>
      <c r="AB26" s="19"/>
      <c r="AC26" s="20"/>
      <c r="AD26" s="27"/>
      <c r="AE26" s="18"/>
      <c r="AF26" s="19"/>
      <c r="AG26" s="20"/>
      <c r="AH26" s="28"/>
      <c r="AI26" s="29"/>
      <c r="AJ26" s="2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8"/>
      <c r="C27" s="19"/>
      <c r="D27" s="20"/>
      <c r="E27" s="21"/>
      <c r="F27" s="22"/>
      <c r="G27" s="22"/>
      <c r="H27" s="23"/>
      <c r="I27" s="18"/>
      <c r="J27" s="19"/>
      <c r="K27" s="20"/>
      <c r="L27" s="21"/>
      <c r="M27" s="24"/>
      <c r="N27" s="22"/>
      <c r="O27" s="25"/>
      <c r="P27" s="18"/>
      <c r="Q27" s="19"/>
      <c r="R27" s="20"/>
      <c r="S27" s="26"/>
      <c r="T27" s="22"/>
      <c r="U27" s="22"/>
      <c r="V27" s="23"/>
      <c r="W27" s="18"/>
      <c r="X27" s="19"/>
      <c r="Y27" s="20"/>
      <c r="Z27" s="27"/>
      <c r="AA27" s="18"/>
      <c r="AB27" s="19"/>
      <c r="AC27" s="20"/>
      <c r="AD27" s="27"/>
      <c r="AE27" s="18"/>
      <c r="AF27" s="19"/>
      <c r="AG27" s="20"/>
      <c r="AH27" s="28"/>
      <c r="AI27" s="29"/>
      <c r="AJ27" s="2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8"/>
      <c r="C28" s="19"/>
      <c r="D28" s="20"/>
      <c r="E28" s="21"/>
      <c r="F28" s="22"/>
      <c r="G28" s="22"/>
      <c r="H28" s="23"/>
      <c r="I28" s="18"/>
      <c r="J28" s="19"/>
      <c r="K28" s="20"/>
      <c r="L28" s="21"/>
      <c r="M28" s="24"/>
      <c r="N28" s="22"/>
      <c r="O28" s="25"/>
      <c r="P28" s="18"/>
      <c r="Q28" s="19"/>
      <c r="R28" s="20"/>
      <c r="S28" s="26"/>
      <c r="T28" s="22"/>
      <c r="U28" s="22"/>
      <c r="V28" s="23"/>
      <c r="W28" s="18"/>
      <c r="X28" s="19"/>
      <c r="Y28" s="20"/>
      <c r="Z28" s="27"/>
      <c r="AA28" s="18"/>
      <c r="AB28" s="19"/>
      <c r="AC28" s="20"/>
      <c r="AD28" s="27"/>
      <c r="AE28" s="18"/>
      <c r="AF28" s="19"/>
      <c r="AG28" s="20"/>
      <c r="AH28" s="28"/>
      <c r="AI28" s="29"/>
      <c r="AJ28" s="2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8"/>
      <c r="C29" s="19"/>
      <c r="D29" s="20"/>
      <c r="E29" s="21"/>
      <c r="F29" s="22"/>
      <c r="G29" s="22"/>
      <c r="H29" s="23"/>
      <c r="I29" s="18"/>
      <c r="J29" s="19"/>
      <c r="K29" s="20"/>
      <c r="L29" s="21"/>
      <c r="M29" s="24"/>
      <c r="N29" s="22"/>
      <c r="O29" s="25"/>
      <c r="P29" s="18"/>
      <c r="Q29" s="19"/>
      <c r="R29" s="20"/>
      <c r="S29" s="26"/>
      <c r="T29" s="22"/>
      <c r="U29" s="22"/>
      <c r="V29" s="23"/>
      <c r="W29" s="18"/>
      <c r="X29" s="19"/>
      <c r="Y29" s="20"/>
      <c r="Z29" s="27"/>
      <c r="AA29" s="18"/>
      <c r="AB29" s="19"/>
      <c r="AC29" s="20"/>
      <c r="AD29" s="27"/>
      <c r="AE29" s="18"/>
      <c r="AF29" s="19"/>
      <c r="AG29" s="20"/>
      <c r="AH29" s="28"/>
      <c r="AI29" s="29"/>
      <c r="AJ29" s="2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8"/>
      <c r="C30" s="19"/>
      <c r="D30" s="20"/>
      <c r="E30" s="21"/>
      <c r="F30" s="22"/>
      <c r="G30" s="22"/>
      <c r="H30" s="23"/>
      <c r="I30" s="18"/>
      <c r="J30" s="19"/>
      <c r="K30" s="20"/>
      <c r="L30" s="21"/>
      <c r="M30" s="24"/>
      <c r="N30" s="22"/>
      <c r="O30" s="25"/>
      <c r="P30" s="18"/>
      <c r="Q30" s="19"/>
      <c r="R30" s="20"/>
      <c r="S30" s="26"/>
      <c r="T30" s="22"/>
      <c r="U30" s="22"/>
      <c r="V30" s="23"/>
      <c r="W30" s="18"/>
      <c r="X30" s="19"/>
      <c r="Y30" s="20"/>
      <c r="Z30" s="27"/>
      <c r="AA30" s="18"/>
      <c r="AB30" s="19"/>
      <c r="AC30" s="20"/>
      <c r="AD30" s="27"/>
      <c r="AE30" s="18"/>
      <c r="AF30" s="19"/>
      <c r="AG30" s="20"/>
      <c r="AH30" s="28"/>
      <c r="AI30" s="29"/>
      <c r="AJ30" s="2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8"/>
      <c r="C31" s="19"/>
      <c r="D31" s="20"/>
      <c r="E31" s="21"/>
      <c r="F31" s="22"/>
      <c r="G31" s="22"/>
      <c r="H31" s="23"/>
      <c r="I31" s="18"/>
      <c r="J31" s="19"/>
      <c r="K31" s="20"/>
      <c r="L31" s="21"/>
      <c r="M31" s="24"/>
      <c r="N31" s="22"/>
      <c r="O31" s="25"/>
      <c r="P31" s="18"/>
      <c r="Q31" s="19"/>
      <c r="R31" s="20"/>
      <c r="S31" s="26"/>
      <c r="T31" s="22"/>
      <c r="U31" s="22"/>
      <c r="V31" s="23"/>
      <c r="W31" s="18"/>
      <c r="X31" s="19"/>
      <c r="Y31" s="20"/>
      <c r="Z31" s="27"/>
      <c r="AA31" s="18"/>
      <c r="AB31" s="19"/>
      <c r="AC31" s="20"/>
      <c r="AD31" s="27"/>
      <c r="AE31" s="18"/>
      <c r="AF31" s="19"/>
      <c r="AG31" s="20"/>
      <c r="AH31" s="28"/>
      <c r="AI31" s="29"/>
      <c r="AJ31" s="2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8"/>
      <c r="C32" s="19"/>
      <c r="D32" s="20"/>
      <c r="E32" s="21"/>
      <c r="F32" s="22"/>
      <c r="G32" s="22"/>
      <c r="H32" s="23"/>
      <c r="I32" s="18"/>
      <c r="J32" s="19"/>
      <c r="K32" s="20"/>
      <c r="L32" s="21"/>
      <c r="M32" s="24"/>
      <c r="N32" s="22"/>
      <c r="O32" s="25"/>
      <c r="P32" s="18"/>
      <c r="Q32" s="19"/>
      <c r="R32" s="20"/>
      <c r="S32" s="26"/>
      <c r="T32" s="22"/>
      <c r="U32" s="22"/>
      <c r="V32" s="23"/>
      <c r="W32" s="18"/>
      <c r="X32" s="19"/>
      <c r="Y32" s="20"/>
      <c r="Z32" s="27"/>
      <c r="AA32" s="18"/>
      <c r="AB32" s="19"/>
      <c r="AC32" s="20"/>
      <c r="AD32" s="27"/>
      <c r="AE32" s="18"/>
      <c r="AF32" s="19"/>
      <c r="AG32" s="20"/>
      <c r="AH32" s="28"/>
      <c r="AI32" s="29"/>
      <c r="AJ32" s="2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8"/>
      <c r="C33" s="19"/>
      <c r="D33" s="20"/>
      <c r="E33" s="21"/>
      <c r="F33" s="22"/>
      <c r="G33" s="22"/>
      <c r="H33" s="23"/>
      <c r="I33" s="18"/>
      <c r="J33" s="19"/>
      <c r="K33" s="20"/>
      <c r="L33" s="21"/>
      <c r="M33" s="24"/>
      <c r="N33" s="22"/>
      <c r="O33" s="25"/>
      <c r="P33" s="18"/>
      <c r="Q33" s="19"/>
      <c r="R33" s="20"/>
      <c r="S33" s="26"/>
      <c r="T33" s="22"/>
      <c r="U33" s="22"/>
      <c r="V33" s="23"/>
      <c r="W33" s="18"/>
      <c r="X33" s="19"/>
      <c r="Y33" s="20"/>
      <c r="Z33" s="27"/>
      <c r="AA33" s="18"/>
      <c r="AB33" s="19"/>
      <c r="AC33" s="20"/>
      <c r="AD33" s="27"/>
      <c r="AE33" s="18"/>
      <c r="AF33" s="19"/>
      <c r="AG33" s="20"/>
      <c r="AH33" s="28"/>
      <c r="AI33" s="29"/>
      <c r="AJ33" s="2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8"/>
      <c r="C34" s="19"/>
      <c r="D34" s="20"/>
      <c r="E34" s="21"/>
      <c r="F34" s="22"/>
      <c r="G34" s="22"/>
      <c r="H34" s="23"/>
      <c r="I34" s="18"/>
      <c r="J34" s="19"/>
      <c r="K34" s="20"/>
      <c r="L34" s="21"/>
      <c r="M34" s="24"/>
      <c r="N34" s="22"/>
      <c r="O34" s="25"/>
      <c r="P34" s="18"/>
      <c r="Q34" s="19"/>
      <c r="R34" s="20"/>
      <c r="S34" s="26"/>
      <c r="T34" s="22"/>
      <c r="U34" s="22"/>
      <c r="V34" s="23"/>
      <c r="W34" s="18"/>
      <c r="X34" s="19"/>
      <c r="Y34" s="20"/>
      <c r="Z34" s="27"/>
      <c r="AA34" s="18"/>
      <c r="AB34" s="19"/>
      <c r="AC34" s="20"/>
      <c r="AD34" s="27"/>
      <c r="AE34" s="18"/>
      <c r="AF34" s="19"/>
      <c r="AG34" s="20"/>
      <c r="AH34" s="28"/>
      <c r="AI34" s="29"/>
      <c r="AJ34" s="2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8"/>
      <c r="C35" s="19"/>
      <c r="D35" s="20"/>
      <c r="E35" s="21"/>
      <c r="F35" s="22"/>
      <c r="G35" s="22"/>
      <c r="H35" s="23"/>
      <c r="I35" s="18"/>
      <c r="J35" s="19"/>
      <c r="K35" s="20"/>
      <c r="L35" s="21"/>
      <c r="M35" s="24"/>
      <c r="N35" s="22"/>
      <c r="O35" s="25"/>
      <c r="P35" s="18"/>
      <c r="Q35" s="19"/>
      <c r="R35" s="20"/>
      <c r="S35" s="26"/>
      <c r="T35" s="22"/>
      <c r="U35" s="22"/>
      <c r="V35" s="23"/>
      <c r="W35" s="18"/>
      <c r="X35" s="19"/>
      <c r="Y35" s="20"/>
      <c r="Z35" s="27"/>
      <c r="AA35" s="18"/>
      <c r="AB35" s="19"/>
      <c r="AC35" s="20"/>
      <c r="AD35" s="27"/>
      <c r="AE35" s="18"/>
      <c r="AF35" s="19"/>
      <c r="AG35" s="20"/>
      <c r="AH35" s="28"/>
      <c r="AI35" s="29"/>
      <c r="AJ35" s="29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8"/>
      <c r="C36" s="19"/>
      <c r="D36" s="20"/>
      <c r="E36" s="21"/>
      <c r="F36" s="22"/>
      <c r="G36" s="22"/>
      <c r="H36" s="23"/>
      <c r="I36" s="18"/>
      <c r="J36" s="19"/>
      <c r="K36" s="20"/>
      <c r="L36" s="21"/>
      <c r="M36" s="24"/>
      <c r="N36" s="22"/>
      <c r="O36" s="25"/>
      <c r="P36" s="18"/>
      <c r="Q36" s="19"/>
      <c r="R36" s="20"/>
      <c r="S36" s="26"/>
      <c r="T36" s="22"/>
      <c r="U36" s="22"/>
      <c r="V36" s="23"/>
      <c r="W36" s="18"/>
      <c r="X36" s="19"/>
      <c r="Y36" s="20"/>
      <c r="Z36" s="27"/>
      <c r="AA36" s="18"/>
      <c r="AB36" s="19"/>
      <c r="AC36" s="20"/>
      <c r="AD36" s="27"/>
      <c r="AE36" s="18"/>
      <c r="AF36" s="19"/>
      <c r="AG36" s="20"/>
      <c r="AH36" s="28"/>
      <c r="AI36" s="29"/>
      <c r="AJ36" s="2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8"/>
      <c r="C37" s="19"/>
      <c r="D37" s="20"/>
      <c r="E37" s="21"/>
      <c r="F37" s="22"/>
      <c r="G37" s="22"/>
      <c r="H37" s="23"/>
      <c r="I37" s="18"/>
      <c r="J37" s="19"/>
      <c r="K37" s="20"/>
      <c r="L37" s="21"/>
      <c r="M37" s="24"/>
      <c r="N37" s="22"/>
      <c r="O37" s="25"/>
      <c r="P37" s="18"/>
      <c r="Q37" s="19"/>
      <c r="R37" s="20"/>
      <c r="S37" s="26"/>
      <c r="T37" s="22"/>
      <c r="U37" s="22"/>
      <c r="V37" s="23"/>
      <c r="W37" s="18"/>
      <c r="X37" s="19"/>
      <c r="Y37" s="20"/>
      <c r="Z37" s="27"/>
      <c r="AA37" s="18"/>
      <c r="AB37" s="19"/>
      <c r="AC37" s="20"/>
      <c r="AD37" s="27"/>
      <c r="AE37" s="18"/>
      <c r="AF37" s="19"/>
      <c r="AG37" s="20"/>
      <c r="AH37" s="28"/>
      <c r="AI37" s="29"/>
      <c r="AJ37" s="29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3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2">
        <f>IFERROR(__xludf.DUMMYFUNCTION("""COMPUTED_VALUE"""),271.4193548387096)</f>
        <v>271.4193548</v>
      </c>
      <c r="C2" s="12">
        <f>IFERROR(__xludf.DUMMYFUNCTION("""COMPUTED_VALUE"""),330.0)</f>
        <v>330</v>
      </c>
      <c r="D2" s="12">
        <f>IFERROR(__xludf.DUMMYFUNCTION("""COMPUTED_VALUE"""),58.58064516129042)</f>
        <v>58.58064516</v>
      </c>
      <c r="E2" s="13">
        <f>IFERROR(__xludf.DUMMYFUNCTION("""COMPUTED_VALUE"""),0.21583075826004322)</f>
        <v>0.2158307583</v>
      </c>
      <c r="F2" s="13">
        <f>IFERROR(__xludf.DUMMYFUNCTION("""COMPUTED_VALUE"""),0.8146611341632088)</f>
        <v>0.8146611342</v>
      </c>
      <c r="G2" s="13">
        <f>IFERROR(__xludf.DUMMYFUNCTION("""COMPUTED_VALUE"""),0.7484848484848485)</f>
        <v>0.7484848485</v>
      </c>
      <c r="H2" s="35">
        <f>IFERROR(__xludf.DUMMYFUNCTION("""COMPUTED_VALUE"""),-6.617628567836031)</f>
        <v>-6.617628568</v>
      </c>
      <c r="I2" s="12">
        <f>IFERROR(__xludf.DUMMYFUNCTION("""COMPUTED_VALUE"""),221.11479944674957)</f>
        <v>221.1147994</v>
      </c>
      <c r="J2" s="12">
        <f>IFERROR(__xludf.DUMMYFUNCTION("""COMPUTED_VALUE"""),247.0)</f>
        <v>247</v>
      </c>
      <c r="K2" s="12">
        <f>IFERROR(__xludf.DUMMYFUNCTION("""COMPUTED_VALUE"""),25.885200553250428)</f>
        <v>25.88520055</v>
      </c>
      <c r="L2" s="13">
        <f>IFERROR(__xludf.DUMMYFUNCTION("""COMPUTED_VALUE"""),0.117066793439506)</f>
        <v>0.1170667934</v>
      </c>
      <c r="M2" s="13">
        <f>IFERROR(__xludf.DUMMYFUNCTION("""COMPUTED_VALUE"""),0.33646616541353386)</f>
        <v>0.3364661654</v>
      </c>
      <c r="N2" s="13">
        <f>IFERROR(__xludf.DUMMYFUNCTION("""COMPUTED_VALUE"""),0.27530364372469635)</f>
        <v>0.2753036437</v>
      </c>
      <c r="O2" s="35">
        <f>IFERROR(__xludf.DUMMYFUNCTION("""COMPUTED_VALUE"""),-6.116252168883751)</f>
        <v>-6.116252169</v>
      </c>
      <c r="P2" s="12">
        <f>IFERROR(__xludf.DUMMYFUNCTION("""COMPUTED_VALUE"""),74.39764868603041)</f>
        <v>74.39764869</v>
      </c>
      <c r="Q2" s="12">
        <f>IFERROR(__xludf.DUMMYFUNCTION("""COMPUTED_VALUE"""),68.0)</f>
        <v>68</v>
      </c>
      <c r="R2" s="12">
        <f>IFERROR(__xludf.DUMMYFUNCTION("""COMPUTED_VALUE"""),-6.397648686030408)</f>
        <v>-6.397648686</v>
      </c>
      <c r="S2" s="13">
        <f>IFERROR(__xludf.DUMMYFUNCTION("""COMPUTED_VALUE"""),-0.08599261937738752)</f>
        <v>-0.08599261938</v>
      </c>
      <c r="T2" s="12">
        <f>IFERROR(__xludf.DUMMYFUNCTION("""COMPUTED_VALUE"""),264043.92188105115)</f>
        <v>264043.9219</v>
      </c>
      <c r="U2" s="36">
        <f>IFERROR(__xludf.DUMMYFUNCTION("""COMPUTED_VALUE"""),1194.1485714285718)</f>
        <v>1194.148571</v>
      </c>
      <c r="V2" s="36">
        <f>IFERROR(__xludf.DUMMYFUNCTION("""COMPUTED_VALUE"""),30910.775261806077)</f>
        <v>30910.77526</v>
      </c>
      <c r="W2" s="13">
        <f>IFERROR(__xludf.DUMMYFUNCTION("""COMPUTED_VALUE"""),0.11706679343950602)</f>
        <v>0.1170667934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2">
        <f>IFERROR(__xludf.DUMMYFUNCTION("""COMPUTED_VALUE"""),58.70967741935482)</f>
        <v>58.70967742</v>
      </c>
      <c r="C3" s="12">
        <f>IFERROR(__xludf.DUMMYFUNCTION("""COMPUTED_VALUE"""),74.0)</f>
        <v>74</v>
      </c>
      <c r="D3" s="12">
        <f>IFERROR(__xludf.DUMMYFUNCTION("""COMPUTED_VALUE"""),15.290322580645181)</f>
        <v>15.29032258</v>
      </c>
      <c r="E3" s="13">
        <f>IFERROR(__xludf.DUMMYFUNCTION("""COMPUTED_VALUE"""),0.26043956043956085)</f>
        <v>0.2604395604</v>
      </c>
      <c r="F3" s="13">
        <f>IFERROR(__xludf.DUMMYFUNCTION("""COMPUTED_VALUE"""),0.7999999999999999)</f>
        <v>0.8</v>
      </c>
      <c r="G3" s="13">
        <f>IFERROR(__xludf.DUMMYFUNCTION("""COMPUTED_VALUE"""),0.8243243243243243)</f>
        <v>0.8243243243</v>
      </c>
      <c r="H3" s="35">
        <f>IFERROR(__xludf.DUMMYFUNCTION("""COMPUTED_VALUE"""),2.432432432432441)</f>
        <v>2.432432432</v>
      </c>
      <c r="I3" s="12">
        <f>IFERROR(__xludf.DUMMYFUNCTION("""COMPUTED_VALUE"""),46.96774193548385)</f>
        <v>46.96774194</v>
      </c>
      <c r="J3" s="12">
        <f>IFERROR(__xludf.DUMMYFUNCTION("""COMPUTED_VALUE"""),61.0)</f>
        <v>61</v>
      </c>
      <c r="K3" s="12">
        <f>IFERROR(__xludf.DUMMYFUNCTION("""COMPUTED_VALUE"""),14.03225806451615)</f>
        <v>14.03225806</v>
      </c>
      <c r="L3" s="13">
        <f>IFERROR(__xludf.DUMMYFUNCTION("""COMPUTED_VALUE"""),0.2987637362637368)</f>
        <v>0.2987637363</v>
      </c>
      <c r="M3" s="13">
        <f>IFERROR(__xludf.DUMMYFUNCTION("""COMPUTED_VALUE"""),0.3406593406593408)</f>
        <v>0.3406593407</v>
      </c>
      <c r="N3" s="13">
        <f>IFERROR(__xludf.DUMMYFUNCTION("""COMPUTED_VALUE"""),0.3114754098360656)</f>
        <v>0.3114754098</v>
      </c>
      <c r="O3" s="35">
        <f>IFERROR(__xludf.DUMMYFUNCTION("""COMPUTED_VALUE"""),-2.9183930823275195)</f>
        <v>-2.918393082</v>
      </c>
      <c r="P3" s="12">
        <f>IFERROR(__xludf.DUMMYFUNCTION("""COMPUTED_VALUE"""),15.999999999999998)</f>
        <v>16</v>
      </c>
      <c r="Q3" s="12">
        <f>IFERROR(__xludf.DUMMYFUNCTION("""COMPUTED_VALUE"""),19.0)</f>
        <v>19</v>
      </c>
      <c r="R3" s="12">
        <f>IFERROR(__xludf.DUMMYFUNCTION("""COMPUTED_VALUE"""),3.0000000000000018)</f>
        <v>3</v>
      </c>
      <c r="S3" s="13">
        <f>IFERROR(__xludf.DUMMYFUNCTION("""COMPUTED_VALUE"""),0.18750000000000014)</f>
        <v>0.1875</v>
      </c>
      <c r="T3" s="12">
        <f>IFERROR(__xludf.DUMMYFUNCTION("""COMPUTED_VALUE"""),54056.32512)</f>
        <v>54056.32512</v>
      </c>
      <c r="U3" s="36">
        <f>IFERROR(__xludf.DUMMYFUNCTION("""COMPUTED_VALUE"""),1150.924504615385)</f>
        <v>1150.924505</v>
      </c>
      <c r="V3" s="36">
        <f>IFERROR(__xludf.DUMMYFUNCTION("""COMPUTED_VALUE"""),16150.069661538491)</f>
        <v>16150.06966</v>
      </c>
      <c r="W3" s="13">
        <f>IFERROR(__xludf.DUMMYFUNCTION("""COMPUTED_VALUE"""),0.2987637362637368)</f>
        <v>0.2987637363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2">
        <f>IFERROR(__xludf.DUMMYFUNCTION("""COMPUTED_VALUE"""),1029.6774193548383)</f>
        <v>1029.677419</v>
      </c>
      <c r="C4" s="12">
        <f>IFERROR(__xludf.DUMMYFUNCTION("""COMPUTED_VALUE"""),947.0)</f>
        <v>947</v>
      </c>
      <c r="D4" s="12">
        <f>IFERROR(__xludf.DUMMYFUNCTION("""COMPUTED_VALUE"""),-82.67741935483832)</f>
        <v>-82.67741935</v>
      </c>
      <c r="E4" s="13">
        <f>IFERROR(__xludf.DUMMYFUNCTION("""COMPUTED_VALUE"""),-0.0802944862155385)</f>
        <v>-0.08029448622</v>
      </c>
      <c r="F4" s="13">
        <f>IFERROR(__xludf.DUMMYFUNCTION("""COMPUTED_VALUE"""),0.7882218697919466)</f>
        <v>0.7882218698</v>
      </c>
      <c r="G4" s="13">
        <f>IFERROR(__xludf.DUMMYFUNCTION("""COMPUTED_VALUE"""),0.8796198521647307)</f>
        <v>0.8796198522</v>
      </c>
      <c r="H4" s="35">
        <f>IFERROR(__xludf.DUMMYFUNCTION("""COMPUTED_VALUE"""),9.139798237278407)</f>
        <v>9.139798237</v>
      </c>
      <c r="I4" s="12">
        <f>IFERROR(__xludf.DUMMYFUNCTION("""COMPUTED_VALUE"""),811.614260766417)</f>
        <v>811.6142608</v>
      </c>
      <c r="J4" s="12">
        <f>IFERROR(__xludf.DUMMYFUNCTION("""COMPUTED_VALUE"""),833.0)</f>
        <v>833</v>
      </c>
      <c r="K4" s="12">
        <f>IFERROR(__xludf.DUMMYFUNCTION("""COMPUTED_VALUE"""),21.385739233582967)</f>
        <v>21.38573923</v>
      </c>
      <c r="L4" s="13">
        <f>IFERROR(__xludf.DUMMYFUNCTION("""COMPUTED_VALUE"""),0.026349634632329106)</f>
        <v>0.02634963463</v>
      </c>
      <c r="M4" s="13">
        <f>IFERROR(__xludf.DUMMYFUNCTION("""COMPUTED_VALUE"""),0.4046275120457144)</f>
        <v>0.404627512</v>
      </c>
      <c r="N4" s="13" t="str">
        <f>IFERROR(__xludf.DUMMYFUNCTION("""COMPUTED_VALUE"""),"#REF!")</f>
        <v>#REF!</v>
      </c>
      <c r="O4" s="35" t="str">
        <f>IFERROR(__xludf.DUMMYFUNCTION("""COMPUTED_VALUE"""),"#REF!")</f>
        <v>#REF!</v>
      </c>
      <c r="P4" s="12">
        <f>IFERROR(__xludf.DUMMYFUNCTION("""COMPUTED_VALUE"""),328.401459074737)</f>
        <v>328.4014591</v>
      </c>
      <c r="Q4" s="12" t="str">
        <f>IFERROR(__xludf.DUMMYFUNCTION("""COMPUTED_VALUE"""),"#REF!")</f>
        <v>#REF!</v>
      </c>
      <c r="R4" s="9" t="str">
        <f>IFERROR(__xludf.DUMMYFUNCTION("""COMPUTED_VALUE"""),"#REF!")</f>
        <v>#REF!</v>
      </c>
      <c r="S4" s="13" t="str">
        <f>IFERROR(__xludf.DUMMYFUNCTION("""COMPUTED_VALUE"""),"#REF!")</f>
        <v>#REF!</v>
      </c>
      <c r="T4" s="12">
        <f>IFERROR(__xludf.DUMMYFUNCTION("""COMPUTED_VALUE"""),1313610.099405253)</f>
        <v>1313610.099</v>
      </c>
      <c r="U4" s="36">
        <f>IFERROR(__xludf.DUMMYFUNCTION("""COMPUTED_VALUE"""),1618.5153008090265)</f>
        <v>1618.515301</v>
      </c>
      <c r="V4" s="36">
        <f>IFERROR(__xludf.DUMMYFUNCTION("""COMPUTED_VALUE"""),-145794.37467794126)</f>
        <v>-145794.3747</v>
      </c>
      <c r="W4" s="13">
        <f>IFERROR(__xludf.DUMMYFUNCTION("""COMPUTED_VALUE"""),-0.11098755615836904)</f>
        <v>-0.1109875562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2">
        <f>IFERROR(__xludf.DUMMYFUNCTION("""COMPUTED_VALUE"""),632.2580645161288)</f>
        <v>632.2580645</v>
      </c>
      <c r="C5" s="12">
        <f>IFERROR(__xludf.DUMMYFUNCTION("""COMPUTED_VALUE"""),708.0)</f>
        <v>708</v>
      </c>
      <c r="D5" s="12">
        <f>IFERROR(__xludf.DUMMYFUNCTION("""COMPUTED_VALUE"""),75.7419354838712)</f>
        <v>75.74193548</v>
      </c>
      <c r="E5" s="13">
        <f>IFERROR(__xludf.DUMMYFUNCTION("""COMPUTED_VALUE"""),0.11979591836734735)</f>
        <v>0.1197959184</v>
      </c>
      <c r="F5" s="13">
        <f>IFERROR(__xludf.DUMMYFUNCTION("""COMPUTED_VALUE"""),0.7999999999999999)</f>
        <v>0.8</v>
      </c>
      <c r="G5" s="13">
        <f>IFERROR(__xludf.DUMMYFUNCTION("""COMPUTED_VALUE"""),0.7669491525423728)</f>
        <v>0.7669491525</v>
      </c>
      <c r="H5" s="35">
        <f>IFERROR(__xludf.DUMMYFUNCTION("""COMPUTED_VALUE"""),-3.3050847457627097)</f>
        <v>-3.305084746</v>
      </c>
      <c r="I5" s="12">
        <f>IFERROR(__xludf.DUMMYFUNCTION("""COMPUTED_VALUE"""),505.806451612903)</f>
        <v>505.8064516</v>
      </c>
      <c r="J5" s="12">
        <f>IFERROR(__xludf.DUMMYFUNCTION("""COMPUTED_VALUE"""),543.0)</f>
        <v>543</v>
      </c>
      <c r="K5" s="12">
        <f>IFERROR(__xludf.DUMMYFUNCTION("""COMPUTED_VALUE"""),37.193548387096996)</f>
        <v>37.19354839</v>
      </c>
      <c r="L5" s="13">
        <f>IFERROR(__xludf.DUMMYFUNCTION("""COMPUTED_VALUE"""),0.0735331632653066)</f>
        <v>0.07353316327</v>
      </c>
      <c r="M5" s="13">
        <f>IFERROR(__xludf.DUMMYFUNCTION("""COMPUTED_VALUE"""),0.4007158401989741)</f>
        <v>0.4007158402</v>
      </c>
      <c r="N5" s="13">
        <f>IFERROR(__xludf.DUMMYFUNCTION("""COMPUTED_VALUE"""),0.3425414364640884)</f>
        <v>0.3425414365</v>
      </c>
      <c r="O5" s="35">
        <f>IFERROR(__xludf.DUMMYFUNCTION("""COMPUTED_VALUE"""),-5.817440373488569)</f>
        <v>-5.817440373</v>
      </c>
      <c r="P5" s="12">
        <f>IFERROR(__xludf.DUMMYFUNCTION("""COMPUTED_VALUE"""),202.68465723612616)</f>
        <v>202.6846572</v>
      </c>
      <c r="Q5" s="12">
        <f>IFERROR(__xludf.DUMMYFUNCTION("""COMPUTED_VALUE"""),186.0)</f>
        <v>186</v>
      </c>
      <c r="R5" s="12">
        <f>IFERROR(__xludf.DUMMYFUNCTION("""COMPUTED_VALUE"""),-16.684657236126156)</f>
        <v>-16.68465724</v>
      </c>
      <c r="S5" s="13">
        <f>IFERROR(__xludf.DUMMYFUNCTION("""COMPUTED_VALUE"""),-0.08231830402776197)</f>
        <v>-0.08231830403</v>
      </c>
      <c r="T5" s="12">
        <f>IFERROR(__xludf.DUMMYFUNCTION("""COMPUTED_VALUE"""),755932.6976278563)</f>
        <v>755932.6976</v>
      </c>
      <c r="U5" s="36">
        <f>IFERROR(__xludf.DUMMYFUNCTION("""COMPUTED_VALUE"""),1494.509797606094)</f>
        <v>1494.509798</v>
      </c>
      <c r="V5" s="36">
        <f>IFERROR(__xludf.DUMMYFUNCTION("""COMPUTED_VALUE"""),55586.1224722528)</f>
        <v>55586.12247</v>
      </c>
      <c r="W5" s="13">
        <f>IFERROR(__xludf.DUMMYFUNCTION("""COMPUTED_VALUE"""),0.0735331632653066)</f>
        <v>0.07353316327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2">
        <f>IFERROR(__xludf.DUMMYFUNCTION("""COMPUTED_VALUE"""),159.0)</f>
        <v>159</v>
      </c>
      <c r="D6" s="9"/>
      <c r="E6" s="9"/>
      <c r="F6" s="9"/>
      <c r="G6" s="13">
        <f>IFERROR(__xludf.DUMMYFUNCTION("""COMPUTED_VALUE"""),0.8679245283018868)</f>
        <v>0.8679245283</v>
      </c>
      <c r="H6" s="9"/>
      <c r="I6" s="9"/>
      <c r="J6" s="12">
        <f>IFERROR(__xludf.DUMMYFUNCTION("""COMPUTED_VALUE"""),138.0)</f>
        <v>138</v>
      </c>
      <c r="K6" s="9"/>
      <c r="L6" s="9"/>
      <c r="M6" s="13">
        <f>IFERROR(__xludf.DUMMYFUNCTION("""COMPUTED_VALUE"""),0.4007158401989741)</f>
        <v>0.4007158402</v>
      </c>
      <c r="N6" s="13">
        <f>IFERROR(__xludf.DUMMYFUNCTION("""COMPUTED_VALUE"""),0.4057971014492754)</f>
        <v>0.4057971014</v>
      </c>
      <c r="O6" s="35">
        <f>IFERROR(__xludf.DUMMYFUNCTION("""COMPUTED_VALUE"""),0.5081261250301283)</f>
        <v>0.508126125</v>
      </c>
      <c r="P6" s="9"/>
      <c r="Q6" s="12">
        <f>IFERROR(__xludf.DUMMYFUNCTION("""COMPUTED_VALUE"""),56.0)</f>
        <v>56</v>
      </c>
      <c r="R6" s="9"/>
      <c r="S6" s="9"/>
      <c r="T6" s="9"/>
      <c r="U6" s="36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2">
        <f>IFERROR(__xludf.DUMMYFUNCTION("""COMPUTED_VALUE"""),133.0)</f>
        <v>133</v>
      </c>
      <c r="D7" s="9"/>
      <c r="E7" s="9"/>
      <c r="F7" s="9"/>
      <c r="G7" s="13">
        <f>IFERROR(__xludf.DUMMYFUNCTION("""COMPUTED_VALUE"""),0.849624060150376)</f>
        <v>0.8496240602</v>
      </c>
      <c r="H7" s="9"/>
      <c r="I7" s="9"/>
      <c r="J7" s="12">
        <f>IFERROR(__xludf.DUMMYFUNCTION("""COMPUTED_VALUE"""),113.0)</f>
        <v>113</v>
      </c>
      <c r="K7" s="9"/>
      <c r="L7" s="9"/>
      <c r="M7" s="9"/>
      <c r="N7" s="13">
        <f>IFERROR(__xludf.DUMMYFUNCTION("""COMPUTED_VALUE"""),0.40707964601769914)</f>
        <v>0.407079646</v>
      </c>
      <c r="O7" s="9"/>
      <c r="P7" s="9"/>
      <c r="Q7" s="12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2">
        <f>IFERROR(__xludf.DUMMYFUNCTION("""COMPUTED_VALUE"""),143.0)</f>
        <v>143</v>
      </c>
      <c r="D8" s="9"/>
      <c r="E8" s="9"/>
      <c r="F8" s="9"/>
      <c r="G8" s="13">
        <f>IFERROR(__xludf.DUMMYFUNCTION("""COMPUTED_VALUE"""),0.8321678321678322)</f>
        <v>0.8321678322</v>
      </c>
      <c r="H8" s="9"/>
      <c r="I8" s="9"/>
      <c r="J8" s="12">
        <f>IFERROR(__xludf.DUMMYFUNCTION("""COMPUTED_VALUE"""),119.0)</f>
        <v>119</v>
      </c>
      <c r="K8" s="9"/>
      <c r="L8" s="9"/>
      <c r="M8" s="13">
        <f>IFERROR(__xludf.DUMMYFUNCTION("""COMPUTED_VALUE"""),0.4007158401989741)</f>
        <v>0.4007158402</v>
      </c>
      <c r="N8" s="13">
        <f>IFERROR(__xludf.DUMMYFUNCTION("""COMPUTED_VALUE"""),0.3865546218487395)</f>
        <v>0.3865546218</v>
      </c>
      <c r="O8" s="35">
        <f>IFERROR(__xludf.DUMMYFUNCTION("""COMPUTED_VALUE"""),-1.4161218350234595)</f>
        <v>-1.416121835</v>
      </c>
      <c r="P8" s="9"/>
      <c r="Q8" s="12">
        <f>IFERROR(__xludf.DUMMYFUNCTION("""COMPUTED_VALUE"""),46.0)</f>
        <v>46</v>
      </c>
      <c r="R8" s="9"/>
      <c r="S8" s="9"/>
      <c r="T8" s="9"/>
      <c r="U8" s="36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2">
        <f>IFERROR(__xludf.DUMMYFUNCTION("""COMPUTED_VALUE"""),152.0)</f>
        <v>152</v>
      </c>
      <c r="D9" s="9"/>
      <c r="E9" s="9"/>
      <c r="F9" s="9"/>
      <c r="G9" s="13">
        <f>IFERROR(__xludf.DUMMYFUNCTION("""COMPUTED_VALUE"""),0.7894736842105263)</f>
        <v>0.7894736842</v>
      </c>
      <c r="H9" s="9"/>
      <c r="I9" s="9"/>
      <c r="J9" s="12">
        <f>IFERROR(__xludf.DUMMYFUNCTION("""COMPUTED_VALUE"""),120.0)</f>
        <v>120</v>
      </c>
      <c r="K9" s="9"/>
      <c r="L9" s="9"/>
      <c r="M9" s="13">
        <f>IFERROR(__xludf.DUMMYFUNCTION("""COMPUTED_VALUE"""),0.4007158401989741)</f>
        <v>0.4007158402</v>
      </c>
      <c r="N9" s="13">
        <f>IFERROR(__xludf.DUMMYFUNCTION("""COMPUTED_VALUE"""),0.375)</f>
        <v>0.375</v>
      </c>
      <c r="O9" s="35">
        <f>IFERROR(__xludf.DUMMYFUNCTION("""COMPUTED_VALUE"""),-2.5715840198974105)</f>
        <v>-2.57158402</v>
      </c>
      <c r="P9" s="9"/>
      <c r="Q9" s="12">
        <f>IFERROR(__xludf.DUMMYFUNCTION("""COMPUTED_VALUE"""),45.0)</f>
        <v>45</v>
      </c>
      <c r="R9" s="9"/>
      <c r="S9" s="9"/>
      <c r="T9" s="9"/>
      <c r="U9" s="36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2">
        <f>IFERROR(__xludf.DUMMYFUNCTION("""COMPUTED_VALUE"""),134.0)</f>
        <v>134</v>
      </c>
      <c r="D10" s="9"/>
      <c r="E10" s="9"/>
      <c r="F10" s="9"/>
      <c r="G10" s="13">
        <f>IFERROR(__xludf.DUMMYFUNCTION("""COMPUTED_VALUE"""),0.8507462686567164)</f>
        <v>0.8507462687</v>
      </c>
      <c r="H10" s="9"/>
      <c r="I10" s="9"/>
      <c r="J10" s="12">
        <f>IFERROR(__xludf.DUMMYFUNCTION("""COMPUTED_VALUE"""),114.0)</f>
        <v>114</v>
      </c>
      <c r="K10" s="9"/>
      <c r="L10" s="9"/>
      <c r="M10" s="13">
        <f>IFERROR(__xludf.DUMMYFUNCTION("""COMPUTED_VALUE"""),0.4007158401989741)</f>
        <v>0.4007158402</v>
      </c>
      <c r="N10" s="13">
        <f>IFERROR(__xludf.DUMMYFUNCTION("""COMPUTED_VALUE"""),0.38596491228070173)</f>
        <v>0.3859649123</v>
      </c>
      <c r="O10" s="35">
        <f>IFERROR(__xludf.DUMMYFUNCTION("""COMPUTED_VALUE"""),-1.4750927918272372)</f>
        <v>-1.475092792</v>
      </c>
      <c r="P10" s="9"/>
      <c r="Q10" s="12">
        <f>IFERROR(__xludf.DUMMYFUNCTION("""COMPUTED_VALUE"""),44.0)</f>
        <v>44</v>
      </c>
      <c r="R10" s="9"/>
      <c r="S10" s="9"/>
      <c r="T10" s="9"/>
      <c r="U10" s="36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2">
        <f>IFERROR(__xludf.DUMMYFUNCTION("""COMPUTED_VALUE"""),145.0)</f>
        <v>145</v>
      </c>
      <c r="D11" s="9"/>
      <c r="E11" s="9"/>
      <c r="F11" s="9"/>
      <c r="G11" s="13">
        <f>IFERROR(__xludf.DUMMYFUNCTION("""COMPUTED_VALUE"""),0.8068965517241379)</f>
        <v>0.8068965517</v>
      </c>
      <c r="H11" s="9"/>
      <c r="I11" s="9"/>
      <c r="J11" s="12">
        <f>IFERROR(__xludf.DUMMYFUNCTION("""COMPUTED_VALUE"""),117.0)</f>
        <v>117</v>
      </c>
      <c r="K11" s="9"/>
      <c r="L11" s="9"/>
      <c r="M11" s="13">
        <f>IFERROR(__xludf.DUMMYFUNCTION("""COMPUTED_VALUE"""),0.4007158401989741)</f>
        <v>0.4007158402</v>
      </c>
      <c r="N11" s="13">
        <f>IFERROR(__xludf.DUMMYFUNCTION("""COMPUTED_VALUE"""),0.3504273504273504)</f>
        <v>0.3504273504</v>
      </c>
      <c r="O11" s="35">
        <f>IFERROR(__xludf.DUMMYFUNCTION("""COMPUTED_VALUE"""),-5.028848977162371)</f>
        <v>-5.028848977</v>
      </c>
      <c r="P11" s="9"/>
      <c r="Q11" s="12">
        <f>IFERROR(__xludf.DUMMYFUNCTION("""COMPUTED_VALUE"""),41.0)</f>
        <v>41</v>
      </c>
      <c r="R11" s="9"/>
      <c r="S11" s="9"/>
      <c r="T11" s="9"/>
      <c r="U11" s="36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2">
        <f>IFERROR(__xludf.DUMMYFUNCTION("""COMPUTED_VALUE"""),124.0)</f>
        <v>124</v>
      </c>
      <c r="D12" s="9"/>
      <c r="E12" s="9"/>
      <c r="F12" s="9"/>
      <c r="G12" s="13">
        <f>IFERROR(__xludf.DUMMYFUNCTION("""COMPUTED_VALUE"""),0.9112903225806451)</f>
        <v>0.9112903226</v>
      </c>
      <c r="H12" s="9"/>
      <c r="I12" s="9"/>
      <c r="J12" s="12">
        <f>IFERROR(__xludf.DUMMYFUNCTION("""COMPUTED_VALUE"""),113.0)</f>
        <v>113</v>
      </c>
      <c r="K12" s="9"/>
      <c r="L12" s="9"/>
      <c r="M12" s="13">
        <f>IFERROR(__xludf.DUMMYFUNCTION("""COMPUTED_VALUE"""),0.4007158401989741)</f>
        <v>0.4007158402</v>
      </c>
      <c r="N12" s="13">
        <f>IFERROR(__xludf.DUMMYFUNCTION("""COMPUTED_VALUE"""),0.34513274336283184)</f>
        <v>0.3451327434</v>
      </c>
      <c r="O12" s="35">
        <f>IFERROR(__xludf.DUMMYFUNCTION("""COMPUTED_VALUE"""),-5.558309683614226)</f>
        <v>-5.558309684</v>
      </c>
      <c r="P12" s="9"/>
      <c r="Q12" s="12">
        <f>IFERROR(__xludf.DUMMYFUNCTION("""COMPUTED_VALUE"""),39.0)</f>
        <v>39</v>
      </c>
      <c r="R12" s="9"/>
      <c r="S12" s="9"/>
      <c r="T12" s="9"/>
      <c r="U12" s="36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2">
        <f>IFERROR(__xludf.DUMMYFUNCTION("""COMPUTED_VALUE"""),91.0)</f>
        <v>91</v>
      </c>
      <c r="D13" s="9"/>
      <c r="E13" s="9"/>
      <c r="F13" s="9"/>
      <c r="G13" s="13">
        <f>IFERROR(__xludf.DUMMYFUNCTION("""COMPUTED_VALUE"""),0.8901098901098901)</f>
        <v>0.8901098901</v>
      </c>
      <c r="H13" s="9"/>
      <c r="I13" s="9"/>
      <c r="J13" s="12">
        <f>IFERROR(__xludf.DUMMYFUNCTION("""COMPUTED_VALUE"""),81.0)</f>
        <v>81</v>
      </c>
      <c r="K13" s="9"/>
      <c r="L13" s="9"/>
      <c r="M13" s="13">
        <f>IFERROR(__xludf.DUMMYFUNCTION("""COMPUTED_VALUE"""),0.4007158401989741)</f>
        <v>0.4007158402</v>
      </c>
      <c r="N13" s="13">
        <f>IFERROR(__xludf.DUMMYFUNCTION("""COMPUTED_VALUE"""),0.37037037037037035)</f>
        <v>0.3703703704</v>
      </c>
      <c r="O13" s="35">
        <f>IFERROR(__xludf.DUMMYFUNCTION("""COMPUTED_VALUE"""),-3.0345469828603755)</f>
        <v>-3.034546983</v>
      </c>
      <c r="P13" s="9"/>
      <c r="Q13" s="12">
        <f>IFERROR(__xludf.DUMMYFUNCTION("""COMPUTED_VALUE"""),30.0)</f>
        <v>30</v>
      </c>
      <c r="R13" s="9"/>
      <c r="S13" s="9"/>
      <c r="T13" s="9"/>
      <c r="U13" s="36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2">
        <f>IFERROR(__xludf.DUMMYFUNCTION("""COMPUTED_VALUE"""),127.0)</f>
        <v>127</v>
      </c>
      <c r="D14" s="9"/>
      <c r="E14" s="9"/>
      <c r="F14" s="9"/>
      <c r="G14" s="13">
        <f>IFERROR(__xludf.DUMMYFUNCTION("""COMPUTED_VALUE"""),0.6850393700787402)</f>
        <v>0.6850393701</v>
      </c>
      <c r="H14" s="9"/>
      <c r="I14" s="9"/>
      <c r="J14" s="12">
        <f>IFERROR(__xludf.DUMMYFUNCTION("""COMPUTED_VALUE"""),87.0)</f>
        <v>87</v>
      </c>
      <c r="K14" s="9"/>
      <c r="L14" s="9"/>
      <c r="M14" s="13">
        <f>IFERROR(__xludf.DUMMYFUNCTION("""COMPUTED_VALUE"""),0.4007158401989741)</f>
        <v>0.4007158402</v>
      </c>
      <c r="N14" s="13">
        <f>IFERROR(__xludf.DUMMYFUNCTION("""COMPUTED_VALUE"""),0.3218390804597701)</f>
        <v>0.3218390805</v>
      </c>
      <c r="O14" s="35">
        <f>IFERROR(__xludf.DUMMYFUNCTION("""COMPUTED_VALUE"""),-7.887675973920399)</f>
        <v>-7.887675974</v>
      </c>
      <c r="P14" s="9"/>
      <c r="Q14" s="12">
        <f>IFERROR(__xludf.DUMMYFUNCTION("""COMPUTED_VALUE"""),28.0)</f>
        <v>28</v>
      </c>
      <c r="R14" s="9"/>
      <c r="S14" s="9"/>
      <c r="T14" s="9"/>
      <c r="U14" s="36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2">
        <f>IFERROR(__xludf.DUMMYFUNCTION("""COMPUTED_VALUE"""),141.0)</f>
        <v>141</v>
      </c>
      <c r="D15" s="9"/>
      <c r="E15" s="9"/>
      <c r="F15" s="9"/>
      <c r="G15" s="13">
        <f>IFERROR(__xludf.DUMMYFUNCTION("""COMPUTED_VALUE"""),0.8297872340425532)</f>
        <v>0.829787234</v>
      </c>
      <c r="H15" s="9"/>
      <c r="I15" s="9"/>
      <c r="J15" s="12">
        <f>IFERROR(__xludf.DUMMYFUNCTION("""COMPUTED_VALUE"""),117.0)</f>
        <v>117</v>
      </c>
      <c r="K15" s="9"/>
      <c r="L15" s="9"/>
      <c r="M15" s="13">
        <f>IFERROR(__xludf.DUMMYFUNCTION("""COMPUTED_VALUE"""),0.4007158401989741)</f>
        <v>0.4007158402</v>
      </c>
      <c r="N15" s="13">
        <f>IFERROR(__xludf.DUMMYFUNCTION("""COMPUTED_VALUE"""),0.2222222222222222)</f>
        <v>0.2222222222</v>
      </c>
      <c r="O15" s="35">
        <f>IFERROR(__xludf.DUMMYFUNCTION("""COMPUTED_VALUE"""),-17.84936179767519)</f>
        <v>-17.8493618</v>
      </c>
      <c r="P15" s="9"/>
      <c r="Q15" s="12">
        <f>IFERROR(__xludf.DUMMYFUNCTION("""COMPUTED_VALUE"""),26.0)</f>
        <v>26</v>
      </c>
      <c r="R15" s="9"/>
      <c r="S15" s="9"/>
      <c r="T15" s="9"/>
      <c r="U15" s="36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2">
        <f>IFERROR(__xludf.DUMMYFUNCTION("""COMPUTED_VALUE"""),65.0)</f>
        <v>65</v>
      </c>
      <c r="D16" s="9"/>
      <c r="E16" s="9"/>
      <c r="F16" s="9"/>
      <c r="G16" s="13">
        <f>IFERROR(__xludf.DUMMYFUNCTION("""COMPUTED_VALUE"""),0.8461538461538461)</f>
        <v>0.8461538462</v>
      </c>
      <c r="H16" s="9"/>
      <c r="I16" s="9"/>
      <c r="J16" s="12">
        <f>IFERROR(__xludf.DUMMYFUNCTION("""COMPUTED_VALUE"""),55.0)</f>
        <v>55</v>
      </c>
      <c r="K16" s="9"/>
      <c r="L16" s="9"/>
      <c r="M16" s="13">
        <f>IFERROR(__xludf.DUMMYFUNCTION("""COMPUTED_VALUE"""),0.4007158401989741)</f>
        <v>0.4007158402</v>
      </c>
      <c r="N16" s="13">
        <f>IFERROR(__xludf.DUMMYFUNCTION("""COMPUTED_VALUE"""),0.23636363636363636)</f>
        <v>0.2363636364</v>
      </c>
      <c r="O16" s="35">
        <f>IFERROR(__xludf.DUMMYFUNCTION("""COMPUTED_VALUE"""),-16.435220383533775)</f>
        <v>-16.43522038</v>
      </c>
      <c r="P16" s="9"/>
      <c r="Q16" s="12">
        <f>IFERROR(__xludf.DUMMYFUNCTION("""COMPUTED_VALUE"""),13.0)</f>
        <v>13</v>
      </c>
      <c r="R16" s="9"/>
      <c r="S16" s="9"/>
      <c r="T16" s="9"/>
      <c r="U16" s="36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2">
        <f>IFERROR(__xludf.DUMMYFUNCTION("""COMPUTED_VALUE"""),8.0)</f>
        <v>8</v>
      </c>
      <c r="D17" s="9"/>
      <c r="E17" s="9"/>
      <c r="F17" s="9"/>
      <c r="G17" s="13">
        <f>IFERROR(__xludf.DUMMYFUNCTION("""COMPUTED_VALUE"""),1.125)</f>
        <v>1.125</v>
      </c>
      <c r="H17" s="9"/>
      <c r="I17" s="9"/>
      <c r="J17" s="12">
        <f>IFERROR(__xludf.DUMMYFUNCTION("""COMPUTED_VALUE"""),9.0)</f>
        <v>9</v>
      </c>
      <c r="K17" s="9"/>
      <c r="L17" s="9"/>
      <c r="M17" s="13">
        <f>IFERROR(__xludf.DUMMYFUNCTION("""COMPUTED_VALUE"""),0.4007158401989741)</f>
        <v>0.4007158402</v>
      </c>
      <c r="N17" s="13">
        <f>IFERROR(__xludf.DUMMYFUNCTION("""COMPUTED_VALUE"""),0.8888888888888888)</f>
        <v>0.8888888889</v>
      </c>
      <c r="O17" s="35">
        <f>IFERROR(__xludf.DUMMYFUNCTION("""COMPUTED_VALUE"""),48.81730486899147)</f>
        <v>48.81730487</v>
      </c>
      <c r="P17" s="9"/>
      <c r="Q17" s="12">
        <f>IFERROR(__xludf.DUMMYFUNCTION("""COMPUTED_VALUE"""),8.0)</f>
        <v>8</v>
      </c>
      <c r="R17" s="9"/>
      <c r="S17" s="9"/>
      <c r="T17" s="9"/>
      <c r="U17" s="36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2">
        <f>IFERROR(__xludf.DUMMYFUNCTION("""COMPUTED_VALUE"""),9.0)</f>
        <v>9</v>
      </c>
      <c r="D18" s="9"/>
      <c r="E18" s="9"/>
      <c r="F18" s="9"/>
      <c r="G18" s="13">
        <f>IFERROR(__xludf.DUMMYFUNCTION("""COMPUTED_VALUE"""),1.0)</f>
        <v>1</v>
      </c>
      <c r="H18" s="9"/>
      <c r="I18" s="9"/>
      <c r="J18" s="12">
        <f>IFERROR(__xludf.DUMMYFUNCTION("""COMPUTED_VALUE"""),9.0)</f>
        <v>9</v>
      </c>
      <c r="K18" s="9"/>
      <c r="L18" s="9"/>
      <c r="M18" s="13">
        <f>IFERROR(__xludf.DUMMYFUNCTION("""COMPUTED_VALUE"""),0.4007158401989741)</f>
        <v>0.4007158402</v>
      </c>
      <c r="N18" s="13">
        <f>IFERROR(__xludf.DUMMYFUNCTION("""COMPUTED_VALUE"""),0.7777777777777778)</f>
        <v>0.7777777778</v>
      </c>
      <c r="O18" s="35">
        <f>IFERROR(__xludf.DUMMYFUNCTION("""COMPUTED_VALUE"""),37.70619375788037)</f>
        <v>37.70619376</v>
      </c>
      <c r="P18" s="9"/>
      <c r="Q18" s="12">
        <f>IFERROR(__xludf.DUMMYFUNCTION("""COMPUTED_VALUE"""),7.0)</f>
        <v>7</v>
      </c>
      <c r="R18" s="9"/>
      <c r="S18" s="9"/>
      <c r="T18" s="9"/>
      <c r="U18" s="36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2">
        <f>IFERROR(__xludf.DUMMYFUNCTION("""COMPUTED_VALUE"""),11.0)</f>
        <v>11</v>
      </c>
      <c r="D19" s="9"/>
      <c r="E19" s="9"/>
      <c r="F19" s="9"/>
      <c r="G19" s="13">
        <f>IFERROR(__xludf.DUMMYFUNCTION("""COMPUTED_VALUE"""),1.0)</f>
        <v>1</v>
      </c>
      <c r="H19" s="9"/>
      <c r="I19" s="9"/>
      <c r="J19" s="12">
        <f>IFERROR(__xludf.DUMMYFUNCTION("""COMPUTED_VALUE"""),11.0)</f>
        <v>11</v>
      </c>
      <c r="K19" s="9"/>
      <c r="L19" s="9"/>
      <c r="M19" s="13">
        <f>IFERROR(__xludf.DUMMYFUNCTION("""COMPUTED_VALUE"""),0.4007158401989741)</f>
        <v>0.4007158402</v>
      </c>
      <c r="N19" s="13">
        <f>IFERROR(__xludf.DUMMYFUNCTION("""COMPUTED_VALUE"""),0.5454545454545454)</f>
        <v>0.5454545455</v>
      </c>
      <c r="O19" s="35">
        <f>IFERROR(__xludf.DUMMYFUNCTION("""COMPUTED_VALUE"""),14.473870525557132)</f>
        <v>14.47387053</v>
      </c>
      <c r="P19" s="9"/>
      <c r="Q19" s="12">
        <f>IFERROR(__xludf.DUMMYFUNCTION("""COMPUTED_VALUE"""),6.0)</f>
        <v>6</v>
      </c>
      <c r="R19" s="9"/>
      <c r="S19" s="9"/>
      <c r="T19" s="9"/>
      <c r="U19" s="36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2">
        <f>IFERROR(__xludf.DUMMYFUNCTION("""COMPUTED_VALUE"""),1.0)</f>
        <v>1</v>
      </c>
      <c r="D20" s="9"/>
      <c r="E20" s="9"/>
      <c r="F20" s="9"/>
      <c r="G20" s="13">
        <f>IFERROR(__xludf.DUMMYFUNCTION("""COMPUTED_VALUE"""),1.0)</f>
        <v>1</v>
      </c>
      <c r="H20" s="9"/>
      <c r="I20" s="9"/>
      <c r="J20" s="12">
        <f>IFERROR(__xludf.DUMMYFUNCTION("""COMPUTED_VALUE"""),1.0)</f>
        <v>1</v>
      </c>
      <c r="K20" s="9"/>
      <c r="L20" s="9"/>
      <c r="M20" s="13">
        <f>IFERROR(__xludf.DUMMYFUNCTION("""COMPUTED_VALUE"""),0.4007158401989741)</f>
        <v>0.4007158402</v>
      </c>
      <c r="N20" s="13">
        <f>IFERROR(__xludf.DUMMYFUNCTION("""COMPUTED_VALUE"""),1.0)</f>
        <v>1</v>
      </c>
      <c r="O20" s="35">
        <f>IFERROR(__xludf.DUMMYFUNCTION("""COMPUTED_VALUE"""),59.92841598010259)</f>
        <v>59.92841598</v>
      </c>
      <c r="P20" s="9"/>
      <c r="Q20" s="12">
        <f>IFERROR(__xludf.DUMMYFUNCTION("""COMPUTED_VALUE"""),1.0)</f>
        <v>1</v>
      </c>
      <c r="R20" s="9"/>
      <c r="S20" s="9"/>
      <c r="T20" s="9"/>
      <c r="U20" s="36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2">
        <f>IFERROR(__xludf.DUMMYFUNCTION("""COMPUTED_VALUE"""),1.0)</f>
        <v>1</v>
      </c>
      <c r="D21" s="9"/>
      <c r="E21" s="9"/>
      <c r="F21" s="9"/>
      <c r="G21" s="13">
        <f>IFERROR(__xludf.DUMMYFUNCTION("""COMPUTED_VALUE"""),1.0)</f>
        <v>1</v>
      </c>
      <c r="H21" s="9"/>
      <c r="I21" s="9"/>
      <c r="J21" s="12">
        <f>IFERROR(__xludf.DUMMYFUNCTION("""COMPUTED_VALUE"""),1.0)</f>
        <v>1</v>
      </c>
      <c r="K21" s="9"/>
      <c r="L21" s="9"/>
      <c r="M21" s="13">
        <f>IFERROR(__xludf.DUMMYFUNCTION("""COMPUTED_VALUE"""),0.4007158401989741)</f>
        <v>0.4007158402</v>
      </c>
      <c r="N21" s="13">
        <f>IFERROR(__xludf.DUMMYFUNCTION("""COMPUTED_VALUE"""),1.0)</f>
        <v>1</v>
      </c>
      <c r="O21" s="35">
        <f>IFERROR(__xludf.DUMMYFUNCTION("""COMPUTED_VALUE"""),59.92841598010259)</f>
        <v>59.92841598</v>
      </c>
      <c r="P21" s="9"/>
      <c r="Q21" s="12">
        <f>IFERROR(__xludf.DUMMYFUNCTION("""COMPUTED_VALUE"""),1.0)</f>
        <v>1</v>
      </c>
      <c r="R21" s="9"/>
      <c r="S21" s="9"/>
      <c r="T21" s="9"/>
      <c r="U21" s="36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2">
        <f>IFERROR(__xludf.DUMMYFUNCTION("""COMPUTED_VALUE"""),1.0)</f>
        <v>1</v>
      </c>
      <c r="D22" s="9"/>
      <c r="E22" s="9"/>
      <c r="F22" s="9"/>
      <c r="G22" s="13">
        <f>IFERROR(__xludf.DUMMYFUNCTION("""COMPUTED_VALUE"""),0.0)</f>
        <v>0</v>
      </c>
      <c r="H22" s="9"/>
      <c r="I22" s="9"/>
      <c r="J22" s="12">
        <f>IFERROR(__xludf.DUMMYFUNCTION("""COMPUTED_VALUE"""),0.0)</f>
        <v>0</v>
      </c>
      <c r="K22" s="9"/>
      <c r="L22" s="9"/>
      <c r="M22" s="13">
        <f>IFERROR(__xludf.DUMMYFUNCTION("""COMPUTED_VALUE"""),0.4007158401989741)</f>
        <v>0.4007158402</v>
      </c>
      <c r="N22" s="13">
        <f>IFERROR(__xludf.DUMMYFUNCTION("""COMPUTED_VALUE"""),0.0)</f>
        <v>0</v>
      </c>
      <c r="O22" s="35">
        <f>IFERROR(__xludf.DUMMYFUNCTION("""COMPUTED_VALUE"""),-40.07158401989741)</f>
        <v>-40.07158402</v>
      </c>
      <c r="P22" s="9"/>
      <c r="Q22" s="12">
        <f>IFERROR(__xludf.DUMMYFUNCTION("""COMPUTED_VALUE"""),0.0)</f>
        <v>0</v>
      </c>
      <c r="R22" s="9"/>
      <c r="S22" s="9"/>
      <c r="T22" s="9"/>
      <c r="U22" s="36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2">
        <f>IFERROR(__xludf.DUMMYFUNCTION("""COMPUTED_VALUE"""),2.0)</f>
        <v>2</v>
      </c>
      <c r="D23" s="9"/>
      <c r="E23" s="9"/>
      <c r="F23" s="9"/>
      <c r="G23" s="13">
        <f>IFERROR(__xludf.DUMMYFUNCTION("""COMPUTED_VALUE"""),1.0)</f>
        <v>1</v>
      </c>
      <c r="H23" s="9"/>
      <c r="I23" s="9"/>
      <c r="J23" s="12">
        <f>IFERROR(__xludf.DUMMYFUNCTION("""COMPUTED_VALUE"""),2.0)</f>
        <v>2</v>
      </c>
      <c r="K23" s="9"/>
      <c r="L23" s="9"/>
      <c r="M23" s="13">
        <f>IFERROR(__xludf.DUMMYFUNCTION("""COMPUTED_VALUE"""),0.4007158401989741)</f>
        <v>0.4007158402</v>
      </c>
      <c r="N23" s="13">
        <f>IFERROR(__xludf.DUMMYFUNCTION("""COMPUTED_VALUE"""),0.0)</f>
        <v>0</v>
      </c>
      <c r="O23" s="35">
        <f>IFERROR(__xludf.DUMMYFUNCTION("""COMPUTED_VALUE"""),-40.07158401989741)</f>
        <v>-40.07158402</v>
      </c>
      <c r="P23" s="9"/>
      <c r="Q23" s="12">
        <f>IFERROR(__xludf.DUMMYFUNCTION("""COMPUTED_VALUE"""),0.0)</f>
        <v>0</v>
      </c>
      <c r="R23" s="9"/>
      <c r="S23" s="9"/>
      <c r="T23" s="9"/>
      <c r="U23" s="36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2">
        <f>IFERROR(__xludf.DUMMYFUNCTION("""COMPUTED_VALUE"""),1.0)</f>
        <v>1</v>
      </c>
      <c r="D24" s="9"/>
      <c r="E24" s="9"/>
      <c r="F24" s="9"/>
      <c r="G24" s="13">
        <f>IFERROR(__xludf.DUMMYFUNCTION("""COMPUTED_VALUE"""),0.0)</f>
        <v>0</v>
      </c>
      <c r="H24" s="9"/>
      <c r="I24" s="9"/>
      <c r="J24" s="12">
        <f>IFERROR(__xludf.DUMMYFUNCTION("""COMPUTED_VALUE"""),0.0)</f>
        <v>0</v>
      </c>
      <c r="K24" s="9"/>
      <c r="L24" s="9"/>
      <c r="M24" s="13">
        <f>IFERROR(__xludf.DUMMYFUNCTION("""COMPUTED_VALUE"""),0.4007158401989741)</f>
        <v>0.4007158402</v>
      </c>
      <c r="N24" s="13">
        <f>IFERROR(__xludf.DUMMYFUNCTION("""COMPUTED_VALUE"""),0.0)</f>
        <v>0</v>
      </c>
      <c r="O24" s="35">
        <f>IFERROR(__xludf.DUMMYFUNCTION("""COMPUTED_VALUE"""),-40.07158401989741)</f>
        <v>-40.07158402</v>
      </c>
      <c r="P24" s="9"/>
      <c r="Q24" s="12">
        <f>IFERROR(__xludf.DUMMYFUNCTION("""COMPUTED_VALUE"""),0.0)</f>
        <v>0</v>
      </c>
      <c r="R24" s="9"/>
      <c r="S24" s="9"/>
      <c r="T24" s="9"/>
      <c r="U24" s="36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2">
        <f>IFERROR(__xludf.DUMMYFUNCTION("""COMPUTED_VALUE"""),189.67741935483863)</f>
        <v>189.6774194</v>
      </c>
      <c r="C25" s="12">
        <f>IFERROR(__xludf.DUMMYFUNCTION("""COMPUTED_VALUE"""),108.0)</f>
        <v>108</v>
      </c>
      <c r="D25" s="12">
        <f>IFERROR(__xludf.DUMMYFUNCTION("""COMPUTED_VALUE"""),-81.67741935483863)</f>
        <v>-81.67741935</v>
      </c>
      <c r="E25" s="13">
        <f>IFERROR(__xludf.DUMMYFUNCTION("""COMPUTED_VALUE"""),-0.43061224489795896)</f>
        <v>-0.4306122449</v>
      </c>
      <c r="F25" s="13">
        <f>IFERROR(__xludf.DUMMYFUNCTION("""COMPUTED_VALUE"""),0.8100000000000002)</f>
        <v>0.81</v>
      </c>
      <c r="G25" s="13">
        <f>IFERROR(__xludf.DUMMYFUNCTION("""COMPUTED_VALUE"""),0.8703703703703703)</f>
        <v>0.8703703704</v>
      </c>
      <c r="H25" s="35">
        <f>IFERROR(__xludf.DUMMYFUNCTION("""COMPUTED_VALUE"""),6.0370370370370185)</f>
        <v>6.037037037</v>
      </c>
      <c r="I25" s="12">
        <f>IFERROR(__xludf.DUMMYFUNCTION("""COMPUTED_VALUE"""),153.6387096774193)</f>
        <v>153.6387097</v>
      </c>
      <c r="J25" s="12">
        <f>IFERROR(__xludf.DUMMYFUNCTION("""COMPUTED_VALUE"""),94.0)</f>
        <v>94</v>
      </c>
      <c r="K25" s="12">
        <f>IFERROR(__xludf.DUMMYFUNCTION("""COMPUTED_VALUE"""),-59.638709677419314)</f>
        <v>-59.63870968</v>
      </c>
      <c r="L25" s="13">
        <f>IFERROR(__xludf.DUMMYFUNCTION("""COMPUTED_VALUE"""),-0.3881750230956579)</f>
        <v>-0.3881750231</v>
      </c>
      <c r="M25" s="13">
        <f>IFERROR(__xludf.DUMMYFUNCTION("""COMPUTED_VALUE"""),0.3432142857142858)</f>
        <v>0.3432142857</v>
      </c>
      <c r="N25" s="13">
        <f>IFERROR(__xludf.DUMMYFUNCTION("""COMPUTED_VALUE"""),0.40425531914893614)</f>
        <v>0.4042553191</v>
      </c>
      <c r="O25" s="35">
        <f>IFERROR(__xludf.DUMMYFUNCTION("""COMPUTED_VALUE"""),6.104103343465034)</f>
        <v>6.104103343</v>
      </c>
      <c r="P25" s="12">
        <f>IFERROR(__xludf.DUMMYFUNCTION("""COMPUTED_VALUE"""),52.731)</f>
        <v>52.731</v>
      </c>
      <c r="Q25" s="12">
        <f>IFERROR(__xludf.DUMMYFUNCTION("""COMPUTED_VALUE"""),38.0)</f>
        <v>38</v>
      </c>
      <c r="R25" s="12">
        <f>IFERROR(__xludf.DUMMYFUNCTION("""COMPUTED_VALUE"""),-14.731000000000002)</f>
        <v>-14.731</v>
      </c>
      <c r="S25" s="13">
        <f>IFERROR(__xludf.DUMMYFUNCTION("""COMPUTED_VALUE"""),-0.27936128652974535)</f>
        <v>-0.2793612865</v>
      </c>
      <c r="T25" s="12">
        <f>IFERROR(__xludf.DUMMYFUNCTION("""COMPUTED_VALUE"""),269244.48600000003)</f>
        <v>269244.486</v>
      </c>
      <c r="U25" s="36">
        <f>IFERROR(__xludf.DUMMYFUNCTION("""COMPUTED_VALUE"""),1752.4521428571436)</f>
        <v>1752.452143</v>
      </c>
      <c r="V25" s="36">
        <f>IFERROR(__xludf.DUMMYFUNCTION("""COMPUTED_VALUE"""),-104513.98457142855)</f>
        <v>-104513.9846</v>
      </c>
      <c r="W25" s="13">
        <f>IFERROR(__xludf.DUMMYFUNCTION("""COMPUTED_VALUE"""),-0.3881750230956579)</f>
        <v>-0.3881750231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2">
        <f>IFERROR(__xludf.DUMMYFUNCTION("""COMPUTED_VALUE"""),38.0)</f>
        <v>38</v>
      </c>
      <c r="D26" s="9"/>
      <c r="E26" s="9"/>
      <c r="F26" s="9"/>
      <c r="G26" s="13">
        <f>IFERROR(__xludf.DUMMYFUNCTION("""COMPUTED_VALUE"""),0.9473684210526315)</f>
        <v>0.9473684211</v>
      </c>
      <c r="H26" s="9"/>
      <c r="I26" s="9"/>
      <c r="J26" s="12">
        <f>IFERROR(__xludf.DUMMYFUNCTION("""COMPUTED_VALUE"""),36.0)</f>
        <v>36</v>
      </c>
      <c r="K26" s="9"/>
      <c r="L26" s="9"/>
      <c r="M26" s="9"/>
      <c r="N26" s="13">
        <f>IFERROR(__xludf.DUMMYFUNCTION("""COMPUTED_VALUE"""),0.4722222222222222)</f>
        <v>0.4722222222</v>
      </c>
      <c r="O26" s="9"/>
      <c r="P26" s="9"/>
      <c r="Q26" s="12">
        <f>IFERROR(__xludf.DUMMYFUNCTION("""COMPUTED_VALUE"""),17.0)</f>
        <v>17</v>
      </c>
      <c r="R26" s="9"/>
      <c r="S26" s="9"/>
      <c r="T26" s="9"/>
      <c r="U26" s="36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2">
        <f>IFERROR(__xludf.DUMMYFUNCTION("""COMPUTED_VALUE"""),51.0)</f>
        <v>51</v>
      </c>
      <c r="D27" s="9"/>
      <c r="E27" s="9"/>
      <c r="F27" s="9"/>
      <c r="G27" s="13">
        <f>IFERROR(__xludf.DUMMYFUNCTION("""COMPUTED_VALUE"""),0.7450980392156863)</f>
        <v>0.7450980392</v>
      </c>
      <c r="H27" s="9"/>
      <c r="I27" s="9"/>
      <c r="J27" s="12">
        <f>IFERROR(__xludf.DUMMYFUNCTION("""COMPUTED_VALUE"""),38.0)</f>
        <v>38</v>
      </c>
      <c r="K27" s="9"/>
      <c r="L27" s="9"/>
      <c r="M27" s="9"/>
      <c r="N27" s="13">
        <f>IFERROR(__xludf.DUMMYFUNCTION("""COMPUTED_VALUE"""),0.4473684210526316)</f>
        <v>0.4473684211</v>
      </c>
      <c r="O27" s="9"/>
      <c r="P27" s="9"/>
      <c r="Q27" s="12">
        <f>IFERROR(__xludf.DUMMYFUNCTION("""COMPUTED_VALUE"""),17.0)</f>
        <v>17</v>
      </c>
      <c r="R27" s="9"/>
      <c r="S27" s="9"/>
      <c r="T27" s="9"/>
      <c r="U27" s="36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2">
        <f>IFERROR(__xludf.DUMMYFUNCTION("""COMPUTED_VALUE"""),53.0)</f>
        <v>53</v>
      </c>
      <c r="D28" s="9"/>
      <c r="E28" s="9"/>
      <c r="F28" s="9"/>
      <c r="G28" s="13">
        <f>IFERROR(__xludf.DUMMYFUNCTION("""COMPUTED_VALUE"""),0.8301886792452831)</f>
        <v>0.8301886792</v>
      </c>
      <c r="H28" s="9"/>
      <c r="I28" s="9"/>
      <c r="J28" s="12">
        <f>IFERROR(__xludf.DUMMYFUNCTION("""COMPUTED_VALUE"""),44.0)</f>
        <v>44</v>
      </c>
      <c r="K28" s="9"/>
      <c r="L28" s="9"/>
      <c r="M28" s="9"/>
      <c r="N28" s="13">
        <f>IFERROR(__xludf.DUMMYFUNCTION("""COMPUTED_VALUE"""),0.36363636363636365)</f>
        <v>0.3636363636</v>
      </c>
      <c r="O28" s="9"/>
      <c r="P28" s="9"/>
      <c r="Q28" s="12">
        <f>IFERROR(__xludf.DUMMYFUNCTION("""COMPUTED_VALUE"""),16.0)</f>
        <v>16</v>
      </c>
      <c r="R28" s="9"/>
      <c r="S28" s="9"/>
      <c r="T28" s="9"/>
      <c r="U28" s="36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2">
        <f>IFERROR(__xludf.DUMMYFUNCTION("""COMPUTED_VALUE"""),50.0)</f>
        <v>50</v>
      </c>
      <c r="D29" s="9"/>
      <c r="E29" s="9"/>
      <c r="F29" s="9"/>
      <c r="G29" s="13">
        <f>IFERROR(__xludf.DUMMYFUNCTION("""COMPUTED_VALUE"""),0.84)</f>
        <v>0.84</v>
      </c>
      <c r="H29" s="9"/>
      <c r="I29" s="9"/>
      <c r="J29" s="12">
        <f>IFERROR(__xludf.DUMMYFUNCTION("""COMPUTED_VALUE"""),42.0)</f>
        <v>42</v>
      </c>
      <c r="K29" s="9"/>
      <c r="L29" s="9"/>
      <c r="M29" s="9"/>
      <c r="N29" s="13">
        <f>IFERROR(__xludf.DUMMYFUNCTION("""COMPUTED_VALUE"""),0.3333333333333333)</f>
        <v>0.3333333333</v>
      </c>
      <c r="O29" s="9"/>
      <c r="P29" s="9"/>
      <c r="Q29" s="12">
        <f>IFERROR(__xludf.DUMMYFUNCTION("""COMPUTED_VALUE"""),14.0)</f>
        <v>14</v>
      </c>
      <c r="R29" s="9"/>
      <c r="S29" s="9"/>
      <c r="T29" s="9"/>
      <c r="U29" s="36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2">
        <f>IFERROR(__xludf.DUMMYFUNCTION("""COMPUTED_VALUE"""),40.0)</f>
        <v>40</v>
      </c>
      <c r="D30" s="9"/>
      <c r="E30" s="9"/>
      <c r="F30" s="9"/>
      <c r="G30" s="13">
        <f>IFERROR(__xludf.DUMMYFUNCTION("""COMPUTED_VALUE"""),0.8)</f>
        <v>0.8</v>
      </c>
      <c r="H30" s="9"/>
      <c r="I30" s="9"/>
      <c r="J30" s="12">
        <f>IFERROR(__xludf.DUMMYFUNCTION("""COMPUTED_VALUE"""),32.0)</f>
        <v>32</v>
      </c>
      <c r="K30" s="9"/>
      <c r="L30" s="9"/>
      <c r="M30" s="9"/>
      <c r="N30" s="13">
        <f>IFERROR(__xludf.DUMMYFUNCTION("""COMPUTED_VALUE"""),0.40625)</f>
        <v>0.40625</v>
      </c>
      <c r="O30" s="9"/>
      <c r="P30" s="9"/>
      <c r="Q30" s="12">
        <f>IFERROR(__xludf.DUMMYFUNCTION("""COMPUTED_VALUE"""),13.0)</f>
        <v>13</v>
      </c>
      <c r="R30" s="9"/>
      <c r="S30" s="9"/>
      <c r="T30" s="9"/>
      <c r="U30" s="36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2">
        <f>IFERROR(__xludf.DUMMYFUNCTION("""COMPUTED_VALUE"""),47.0)</f>
        <v>47</v>
      </c>
      <c r="D31" s="9"/>
      <c r="E31" s="9"/>
      <c r="F31" s="9"/>
      <c r="G31" s="13">
        <f>IFERROR(__xludf.DUMMYFUNCTION("""COMPUTED_VALUE"""),0.8936170212765957)</f>
        <v>0.8936170213</v>
      </c>
      <c r="H31" s="9"/>
      <c r="I31" s="9"/>
      <c r="J31" s="12">
        <f>IFERROR(__xludf.DUMMYFUNCTION("""COMPUTED_VALUE"""),42.0)</f>
        <v>42</v>
      </c>
      <c r="K31" s="9"/>
      <c r="L31" s="9"/>
      <c r="M31" s="9"/>
      <c r="N31" s="13">
        <f>IFERROR(__xludf.DUMMYFUNCTION("""COMPUTED_VALUE"""),0.2857142857142857)</f>
        <v>0.2857142857</v>
      </c>
      <c r="O31" s="9"/>
      <c r="P31" s="9"/>
      <c r="Q31" s="12">
        <f>IFERROR(__xludf.DUMMYFUNCTION("""COMPUTED_VALUE"""),12.0)</f>
        <v>12</v>
      </c>
      <c r="R31" s="9"/>
      <c r="S31" s="9"/>
      <c r="T31" s="9"/>
      <c r="U31" s="36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2">
        <f>IFERROR(__xludf.DUMMYFUNCTION("""COMPUTED_VALUE"""),42.0)</f>
        <v>42</v>
      </c>
      <c r="D32" s="9"/>
      <c r="E32" s="9"/>
      <c r="F32" s="9"/>
      <c r="G32" s="13">
        <f>IFERROR(__xludf.DUMMYFUNCTION("""COMPUTED_VALUE"""),0.7619047619047619)</f>
        <v>0.7619047619</v>
      </c>
      <c r="H32" s="9"/>
      <c r="I32" s="9"/>
      <c r="J32" s="12">
        <f>IFERROR(__xludf.DUMMYFUNCTION("""COMPUTED_VALUE"""),32.0)</f>
        <v>32</v>
      </c>
      <c r="K32" s="9"/>
      <c r="L32" s="9"/>
      <c r="M32" s="9"/>
      <c r="N32" s="13">
        <f>IFERROR(__xludf.DUMMYFUNCTION("""COMPUTED_VALUE"""),0.3125)</f>
        <v>0.3125</v>
      </c>
      <c r="O32" s="9"/>
      <c r="P32" s="9"/>
      <c r="Q32" s="12">
        <f>IFERROR(__xludf.DUMMYFUNCTION("""COMPUTED_VALUE"""),10.0)</f>
        <v>10</v>
      </c>
      <c r="R32" s="9"/>
      <c r="S32" s="9"/>
      <c r="T32" s="9"/>
      <c r="U32" s="36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2">
        <f>IFERROR(__xludf.DUMMYFUNCTION("""COMPUTED_VALUE"""),32.0)</f>
        <v>32</v>
      </c>
      <c r="D33" s="9"/>
      <c r="E33" s="9"/>
      <c r="F33" s="9"/>
      <c r="G33" s="13">
        <f>IFERROR(__xludf.DUMMYFUNCTION("""COMPUTED_VALUE"""),0.90625)</f>
        <v>0.90625</v>
      </c>
      <c r="H33" s="9"/>
      <c r="I33" s="9"/>
      <c r="J33" s="12">
        <f>IFERROR(__xludf.DUMMYFUNCTION("""COMPUTED_VALUE"""),29.0)</f>
        <v>29</v>
      </c>
      <c r="K33" s="9"/>
      <c r="L33" s="9"/>
      <c r="M33" s="9"/>
      <c r="N33" s="13">
        <f>IFERROR(__xludf.DUMMYFUNCTION("""COMPUTED_VALUE"""),0.27586206896551724)</f>
        <v>0.275862069</v>
      </c>
      <c r="O33" s="9"/>
      <c r="P33" s="9"/>
      <c r="Q33" s="12">
        <f>IFERROR(__xludf.DUMMYFUNCTION("""COMPUTED_VALUE"""),8.0)</f>
        <v>8</v>
      </c>
      <c r="R33" s="9"/>
      <c r="S33" s="9"/>
      <c r="T33" s="9"/>
      <c r="U33" s="36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2">
        <f>IFERROR(__xludf.DUMMYFUNCTION("""COMPUTED_VALUE"""),38.0)</f>
        <v>38</v>
      </c>
      <c r="D34" s="9"/>
      <c r="E34" s="9"/>
      <c r="F34" s="9"/>
      <c r="G34" s="13">
        <f>IFERROR(__xludf.DUMMYFUNCTION("""COMPUTED_VALUE"""),0.7631578947368421)</f>
        <v>0.7631578947</v>
      </c>
      <c r="H34" s="9"/>
      <c r="I34" s="9"/>
      <c r="J34" s="12">
        <f>IFERROR(__xludf.DUMMYFUNCTION("""COMPUTED_VALUE"""),29.0)</f>
        <v>29</v>
      </c>
      <c r="K34" s="9"/>
      <c r="L34" s="9"/>
      <c r="M34" s="9"/>
      <c r="N34" s="13">
        <f>IFERROR(__xludf.DUMMYFUNCTION("""COMPUTED_VALUE"""),0.2413793103448276)</f>
        <v>0.2413793103</v>
      </c>
      <c r="O34" s="9"/>
      <c r="P34" s="9"/>
      <c r="Q34" s="12">
        <f>IFERROR(__xludf.DUMMYFUNCTION("""COMPUTED_VALUE"""),7.0)</f>
        <v>7</v>
      </c>
      <c r="R34" s="9"/>
      <c r="S34" s="9"/>
      <c r="T34" s="9"/>
      <c r="U34" s="36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2">
        <f>IFERROR(__xludf.DUMMYFUNCTION("""COMPUTED_VALUE"""),11.0)</f>
        <v>11</v>
      </c>
      <c r="D35" s="9"/>
      <c r="E35" s="9"/>
      <c r="F35" s="9"/>
      <c r="G35" s="13">
        <f>IFERROR(__xludf.DUMMYFUNCTION("""COMPUTED_VALUE"""),1.0)</f>
        <v>1</v>
      </c>
      <c r="H35" s="9"/>
      <c r="I35" s="9"/>
      <c r="J35" s="12">
        <f>IFERROR(__xludf.DUMMYFUNCTION("""COMPUTED_VALUE"""),11.0)</f>
        <v>11</v>
      </c>
      <c r="K35" s="9"/>
      <c r="L35" s="9"/>
      <c r="M35" s="9"/>
      <c r="N35" s="13">
        <f>IFERROR(__xludf.DUMMYFUNCTION("""COMPUTED_VALUE"""),0.36363636363636365)</f>
        <v>0.3636363636</v>
      </c>
      <c r="O35" s="9"/>
      <c r="P35" s="9"/>
      <c r="Q35" s="12">
        <f>IFERROR(__xludf.DUMMYFUNCTION("""COMPUTED_VALUE"""),4.0)</f>
        <v>4</v>
      </c>
      <c r="R35" s="9"/>
      <c r="S35" s="9"/>
      <c r="T35" s="9"/>
      <c r="U35" s="36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2">
        <f>IFERROR(__xludf.DUMMYFUNCTION("""COMPUTED_VALUE"""),31.0)</f>
        <v>31</v>
      </c>
      <c r="D36" s="9"/>
      <c r="E36" s="9"/>
      <c r="F36" s="9"/>
      <c r="G36" s="13">
        <f>IFERROR(__xludf.DUMMYFUNCTION("""COMPUTED_VALUE"""),0.6774193548387096)</f>
        <v>0.6774193548</v>
      </c>
      <c r="H36" s="9"/>
      <c r="I36" s="9"/>
      <c r="J36" s="12">
        <f>IFERROR(__xludf.DUMMYFUNCTION("""COMPUTED_VALUE"""),21.0)</f>
        <v>21</v>
      </c>
      <c r="K36" s="9"/>
      <c r="L36" s="9"/>
      <c r="M36" s="9"/>
      <c r="N36" s="13">
        <f>IFERROR(__xludf.DUMMYFUNCTION("""COMPUTED_VALUE"""),0.14285714285714285)</f>
        <v>0.1428571429</v>
      </c>
      <c r="O36" s="9"/>
      <c r="P36" s="9"/>
      <c r="Q36" s="12">
        <f>IFERROR(__xludf.DUMMYFUNCTION("""COMPUTED_VALUE"""),3.0)</f>
        <v>3</v>
      </c>
      <c r="R36" s="9"/>
      <c r="S36" s="9"/>
      <c r="T36" s="9"/>
      <c r="U36" s="36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2">
        <f>IFERROR(__xludf.DUMMYFUNCTION("""COMPUTED_VALUE"""),4.0)</f>
        <v>4</v>
      </c>
      <c r="D37" s="9"/>
      <c r="E37" s="9"/>
      <c r="F37" s="9"/>
      <c r="G37" s="13">
        <f>IFERROR(__xludf.DUMMYFUNCTION("""COMPUTED_VALUE"""),1.25)</f>
        <v>1.25</v>
      </c>
      <c r="H37" s="9"/>
      <c r="I37" s="9"/>
      <c r="J37" s="12">
        <f>IFERROR(__xludf.DUMMYFUNCTION("""COMPUTED_VALUE"""),5.0)</f>
        <v>5</v>
      </c>
      <c r="K37" s="9"/>
      <c r="L37" s="9"/>
      <c r="M37" s="9"/>
      <c r="N37" s="13">
        <f>IFERROR(__xludf.DUMMYFUNCTION("""COMPUTED_VALUE"""),0.4)</f>
        <v>0.4</v>
      </c>
      <c r="O37" s="9"/>
      <c r="P37" s="9"/>
      <c r="Q37" s="12">
        <f>IFERROR(__xludf.DUMMYFUNCTION("""COMPUTED_VALUE"""),2.0)</f>
        <v>2</v>
      </c>
      <c r="R37" s="9"/>
      <c r="S37" s="9"/>
      <c r="T37" s="9"/>
      <c r="U37" s="36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2">
        <f>IFERROR(__xludf.DUMMYFUNCTION("""COMPUTED_VALUE"""),180.6451612903225)</f>
        <v>180.6451613</v>
      </c>
      <c r="C38" s="12">
        <f>IFERROR(__xludf.DUMMYFUNCTION("""COMPUTED_VALUE"""),102.0)</f>
        <v>102</v>
      </c>
      <c r="D38" s="12">
        <f>IFERROR(__xludf.DUMMYFUNCTION("""COMPUTED_VALUE"""),-78.6451612903225)</f>
        <v>-78.64516129</v>
      </c>
      <c r="E38" s="13">
        <f>IFERROR(__xludf.DUMMYFUNCTION("""COMPUTED_VALUE"""),-0.4353571428571426)</f>
        <v>-0.4353571429</v>
      </c>
      <c r="F38" s="13">
        <f>IFERROR(__xludf.DUMMYFUNCTION("""COMPUTED_VALUE"""),0.7454545454545454)</f>
        <v>0.7454545455</v>
      </c>
      <c r="G38" s="13">
        <f>IFERROR(__xludf.DUMMYFUNCTION("""COMPUTED_VALUE"""),0.8235294117647058)</f>
        <v>0.8235294118</v>
      </c>
      <c r="H38" s="35">
        <f>IFERROR(__xludf.DUMMYFUNCTION("""COMPUTED_VALUE"""),7.807486631016047)</f>
        <v>7.807486631</v>
      </c>
      <c r="I38" s="12">
        <f>IFERROR(__xludf.DUMMYFUNCTION("""COMPUTED_VALUE"""),134.6627565982404)</f>
        <v>134.6627566</v>
      </c>
      <c r="J38" s="12">
        <f>IFERROR(__xludf.DUMMYFUNCTION("""COMPUTED_VALUE"""),84.0)</f>
        <v>84</v>
      </c>
      <c r="K38" s="12">
        <f>IFERROR(__xludf.DUMMYFUNCTION("""COMPUTED_VALUE"""),-50.662756598240406)</f>
        <v>-50.6627566</v>
      </c>
      <c r="L38" s="13">
        <f>IFERROR(__xludf.DUMMYFUNCTION("""COMPUTED_VALUE"""),-0.3762195121951217)</f>
        <v>-0.3762195122</v>
      </c>
      <c r="M38" s="13">
        <f>IFERROR(__xludf.DUMMYFUNCTION("""COMPUTED_VALUE"""),0.5022648083623695)</f>
        <v>0.5022648084</v>
      </c>
      <c r="N38" s="13">
        <f>IFERROR(__xludf.DUMMYFUNCTION("""COMPUTED_VALUE"""),0.5357142857142857)</f>
        <v>0.5357142857</v>
      </c>
      <c r="O38" s="35">
        <f>IFERROR(__xludf.DUMMYFUNCTION("""COMPUTED_VALUE"""),3.344947735191617)</f>
        <v>3.344947735</v>
      </c>
      <c r="P38" s="12">
        <f>IFERROR(__xludf.DUMMYFUNCTION("""COMPUTED_VALUE"""),67.63636363636363)</f>
        <v>67.63636364</v>
      </c>
      <c r="Q38" s="12">
        <f>IFERROR(__xludf.DUMMYFUNCTION("""COMPUTED_VALUE"""),45.0)</f>
        <v>45</v>
      </c>
      <c r="R38" s="12">
        <f>IFERROR(__xludf.DUMMYFUNCTION("""COMPUTED_VALUE"""),-22.636363636363626)</f>
        <v>-22.63636364</v>
      </c>
      <c r="S38" s="13">
        <f>IFERROR(__xludf.DUMMYFUNCTION("""COMPUTED_VALUE"""),-0.33467741935483863)</f>
        <v>-0.3346774194</v>
      </c>
      <c r="T38" s="12">
        <f>IFERROR(__xludf.DUMMYFUNCTION("""COMPUTED_VALUE"""),259632.09454545454)</f>
        <v>259632.0945</v>
      </c>
      <c r="U38" s="36">
        <f>IFERROR(__xludf.DUMMYFUNCTION("""COMPUTED_VALUE"""),1928.0170783972135)</f>
        <v>1928.017078</v>
      </c>
      <c r="V38" s="36">
        <f>IFERROR(__xludf.DUMMYFUNCTION("""COMPUTED_VALUE"""),-97678.65996008861)</f>
        <v>-97678.65996</v>
      </c>
      <c r="W38" s="13">
        <f>IFERROR(__xludf.DUMMYFUNCTION("""COMPUTED_VALUE"""),-0.3762195121951216)</f>
        <v>-0.3762195122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2" t="str">
        <f>IFERROR(__xludf.DUMMYFUNCTION("""COMPUTED_VALUE"""),"#REF!")</f>
        <v>#REF!</v>
      </c>
      <c r="D39" s="9"/>
      <c r="E39" s="9"/>
      <c r="F39" s="9"/>
      <c r="G39" s="13" t="str">
        <f>IFERROR(__xludf.DUMMYFUNCTION("""COMPUTED_VALUE"""),"#REF!")</f>
        <v>#REF!</v>
      </c>
      <c r="H39" s="9"/>
      <c r="I39" s="9"/>
      <c r="J39" s="12" t="str">
        <f>IFERROR(__xludf.DUMMYFUNCTION("""COMPUTED_VALUE"""),"#REF!")</f>
        <v>#REF!</v>
      </c>
      <c r="K39" s="9"/>
      <c r="L39" s="9"/>
      <c r="M39" s="9"/>
      <c r="N39" s="13" t="str">
        <f>IFERROR(__xludf.DUMMYFUNCTION("""COMPUTED_VALUE"""),"#REF!")</f>
        <v>#REF!</v>
      </c>
      <c r="O39" s="9"/>
      <c r="P39" s="9"/>
      <c r="Q39" s="12" t="str">
        <f>IFERROR(__xludf.DUMMYFUNCTION("""COMPUTED_VALUE"""),"#REF!")</f>
        <v>#REF!</v>
      </c>
      <c r="R39" s="9"/>
      <c r="S39" s="9"/>
      <c r="T39" s="9"/>
      <c r="U39" s="36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6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6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6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6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6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6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6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6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6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6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2">
        <f>IFERROR(__xludf.DUMMYFUNCTION("""COMPUTED_VALUE"""),27.096774193548377)</f>
        <v>27.09677419</v>
      </c>
      <c r="C53" s="12">
        <f>IFERROR(__xludf.DUMMYFUNCTION("""COMPUTED_VALUE"""),29.0)</f>
        <v>29</v>
      </c>
      <c r="D53" s="12">
        <f>IFERROR(__xludf.DUMMYFUNCTION("""COMPUTED_VALUE"""),1.9032258064516228)</f>
        <v>1.903225806</v>
      </c>
      <c r="E53" s="13">
        <f>IFERROR(__xludf.DUMMYFUNCTION("""COMPUTED_VALUE"""),0.07023809523809563)</f>
        <v>0.07023809524</v>
      </c>
      <c r="F53" s="13">
        <f>IFERROR(__xludf.DUMMYFUNCTION("""COMPUTED_VALUE"""),0.6460674157303371)</f>
        <v>0.6460674157</v>
      </c>
      <c r="G53" s="13">
        <f>IFERROR(__xludf.DUMMYFUNCTION("""COMPUTED_VALUE"""),0.6206896551724138)</f>
        <v>0.6206896552</v>
      </c>
      <c r="H53" s="35">
        <f>IFERROR(__xludf.DUMMYFUNCTION("""COMPUTED_VALUE"""),-2.537776055792329)</f>
        <v>-2.537776056</v>
      </c>
      <c r="I53" s="12">
        <f>IFERROR(__xludf.DUMMYFUNCTION("""COMPUTED_VALUE"""),17.50634287785429)</f>
        <v>17.50634288</v>
      </c>
      <c r="J53" s="12">
        <f>IFERROR(__xludf.DUMMYFUNCTION("""COMPUTED_VALUE"""),18.0)</f>
        <v>18</v>
      </c>
      <c r="K53" s="12">
        <f>IFERROR(__xludf.DUMMYFUNCTION("""COMPUTED_VALUE"""),0.49365712214570934)</f>
        <v>0.4936571221</v>
      </c>
      <c r="L53" s="13">
        <f>IFERROR(__xludf.DUMMYFUNCTION("""COMPUTED_VALUE"""),0.028198757763975412)</f>
        <v>0.02819875776</v>
      </c>
      <c r="M53" s="13">
        <f>IFERROR(__xludf.DUMMYFUNCTION("""COMPUTED_VALUE"""),0.3055714285714286)</f>
        <v>0.3055714286</v>
      </c>
      <c r="N53" s="13">
        <f>IFERROR(__xludf.DUMMYFUNCTION("""COMPUTED_VALUE"""),0.2777777777777778)</f>
        <v>0.2777777778</v>
      </c>
      <c r="O53" s="35">
        <f>IFERROR(__xludf.DUMMYFUNCTION("""COMPUTED_VALUE"""),-2.7793650793650815)</f>
        <v>-2.779365079</v>
      </c>
      <c r="P53" s="12">
        <f>IFERROR(__xludf.DUMMYFUNCTION("""COMPUTED_VALUE"""),5.349438202247191)</f>
        <v>5.349438202</v>
      </c>
      <c r="Q53" s="12">
        <f>IFERROR(__xludf.DUMMYFUNCTION("""COMPUTED_VALUE"""),5.0)</f>
        <v>5</v>
      </c>
      <c r="R53" s="12">
        <f>IFERROR(__xludf.DUMMYFUNCTION("""COMPUTED_VALUE"""),-0.3494382022471907)</f>
        <v>-0.3494382022</v>
      </c>
      <c r="S53" s="13">
        <f>IFERROR(__xludf.DUMMYFUNCTION("""COMPUTED_VALUE"""),-0.065322411258139)</f>
        <v>-0.06532241126</v>
      </c>
      <c r="T53" s="12">
        <f>IFERROR(__xludf.DUMMYFUNCTION("""COMPUTED_VALUE"""),28800.821231942224)</f>
        <v>28800.82123</v>
      </c>
      <c r="U53" s="36">
        <f>IFERROR(__xludf.DUMMYFUNCTION("""COMPUTED_VALUE"""),1645.1649229591847)</f>
        <v>1645.164923</v>
      </c>
      <c r="V53" s="36">
        <f>IFERROR(__xludf.DUMMYFUNCTION("""COMPUTED_VALUE"""),812.1473813230987)</f>
        <v>812.1473813</v>
      </c>
      <c r="W53" s="13">
        <f>IFERROR(__xludf.DUMMYFUNCTION("""COMPUTED_VALUE"""),0.028198757763975412)</f>
        <v>0.02819875776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2">
        <f>IFERROR(__xludf.DUMMYFUNCTION("""COMPUTED_VALUE"""),13.0)</f>
        <v>13</v>
      </c>
      <c r="D54" s="9"/>
      <c r="E54" s="9"/>
      <c r="F54" s="9"/>
      <c r="G54" s="13">
        <f>IFERROR(__xludf.DUMMYFUNCTION("""COMPUTED_VALUE"""),0.5384615384615384)</f>
        <v>0.5384615385</v>
      </c>
      <c r="H54" s="9"/>
      <c r="I54" s="9"/>
      <c r="J54" s="12">
        <f>IFERROR(__xludf.DUMMYFUNCTION("""COMPUTED_VALUE"""),7.0)</f>
        <v>7</v>
      </c>
      <c r="K54" s="9"/>
      <c r="L54" s="9"/>
      <c r="M54" s="9"/>
      <c r="N54" s="13">
        <f>IFERROR(__xludf.DUMMYFUNCTION("""COMPUTED_VALUE"""),0.42857142857142855)</f>
        <v>0.4285714286</v>
      </c>
      <c r="O54" s="9"/>
      <c r="P54" s="9"/>
      <c r="Q54" s="12">
        <f>IFERROR(__xludf.DUMMYFUNCTION("""COMPUTED_VALUE"""),3.0)</f>
        <v>3</v>
      </c>
      <c r="R54" s="9"/>
      <c r="S54" s="9"/>
      <c r="T54" s="9"/>
      <c r="U54" s="36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2">
        <f>IFERROR(__xludf.DUMMYFUNCTION("""COMPUTED_VALUE"""),8.0)</f>
        <v>8</v>
      </c>
      <c r="D55" s="9"/>
      <c r="E55" s="9"/>
      <c r="F55" s="9"/>
      <c r="G55" s="13">
        <f>IFERROR(__xludf.DUMMYFUNCTION("""COMPUTED_VALUE"""),0.5)</f>
        <v>0.5</v>
      </c>
      <c r="H55" s="9"/>
      <c r="I55" s="9"/>
      <c r="J55" s="12">
        <f>IFERROR(__xludf.DUMMYFUNCTION("""COMPUTED_VALUE"""),4.0)</f>
        <v>4</v>
      </c>
      <c r="K55" s="9"/>
      <c r="L55" s="9"/>
      <c r="M55" s="9"/>
      <c r="N55" s="13">
        <f>IFERROR(__xludf.DUMMYFUNCTION("""COMPUTED_VALUE"""),0.5)</f>
        <v>0.5</v>
      </c>
      <c r="O55" s="9"/>
      <c r="P55" s="9"/>
      <c r="Q55" s="12">
        <f>IFERROR(__xludf.DUMMYFUNCTION("""COMPUTED_VALUE"""),2.0)</f>
        <v>2</v>
      </c>
      <c r="R55" s="9"/>
      <c r="S55" s="9"/>
      <c r="T55" s="9"/>
      <c r="U55" s="36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2">
        <f>IFERROR(__xludf.DUMMYFUNCTION("""COMPUTED_VALUE"""),8.0)</f>
        <v>8</v>
      </c>
      <c r="D56" s="9"/>
      <c r="E56" s="9"/>
      <c r="F56" s="9"/>
      <c r="G56" s="13">
        <f>IFERROR(__xludf.DUMMYFUNCTION("""COMPUTED_VALUE"""),0.75)</f>
        <v>0.75</v>
      </c>
      <c r="H56" s="9"/>
      <c r="I56" s="9"/>
      <c r="J56" s="12">
        <f>IFERROR(__xludf.DUMMYFUNCTION("""COMPUTED_VALUE"""),6.0)</f>
        <v>6</v>
      </c>
      <c r="K56" s="9"/>
      <c r="L56" s="9"/>
      <c r="M56" s="9"/>
      <c r="N56" s="13">
        <f>IFERROR(__xludf.DUMMYFUNCTION("""COMPUTED_VALUE"""),0.3333333333333333)</f>
        <v>0.3333333333</v>
      </c>
      <c r="O56" s="9"/>
      <c r="P56" s="9"/>
      <c r="Q56" s="12">
        <f>IFERROR(__xludf.DUMMYFUNCTION("""COMPUTED_VALUE"""),2.0)</f>
        <v>2</v>
      </c>
      <c r="R56" s="9"/>
      <c r="S56" s="9"/>
      <c r="T56" s="9"/>
      <c r="U56" s="36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2">
        <f>IFERROR(__xludf.DUMMYFUNCTION("""COMPUTED_VALUE"""),10.0)</f>
        <v>10</v>
      </c>
      <c r="D57" s="9"/>
      <c r="E57" s="9"/>
      <c r="F57" s="9"/>
      <c r="G57" s="13">
        <f>IFERROR(__xludf.DUMMYFUNCTION("""COMPUTED_VALUE"""),0.8)</f>
        <v>0.8</v>
      </c>
      <c r="H57" s="9"/>
      <c r="I57" s="9"/>
      <c r="J57" s="12">
        <f>IFERROR(__xludf.DUMMYFUNCTION("""COMPUTED_VALUE"""),8.0)</f>
        <v>8</v>
      </c>
      <c r="K57" s="9"/>
      <c r="L57" s="9"/>
      <c r="M57" s="9"/>
      <c r="N57" s="13">
        <f>IFERROR(__xludf.DUMMYFUNCTION("""COMPUTED_VALUE"""),0.25)</f>
        <v>0.25</v>
      </c>
      <c r="O57" s="9"/>
      <c r="P57" s="9"/>
      <c r="Q57" s="12">
        <f>IFERROR(__xludf.DUMMYFUNCTION("""COMPUTED_VALUE"""),2.0)</f>
        <v>2</v>
      </c>
      <c r="R57" s="9"/>
      <c r="S57" s="9"/>
      <c r="T57" s="9"/>
      <c r="U57" s="36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2">
        <f>IFERROR(__xludf.DUMMYFUNCTION("""COMPUTED_VALUE"""),8.0)</f>
        <v>8</v>
      </c>
      <c r="D58" s="9"/>
      <c r="E58" s="9"/>
      <c r="F58" s="9"/>
      <c r="G58" s="13">
        <f>IFERROR(__xludf.DUMMYFUNCTION("""COMPUTED_VALUE"""),1.0)</f>
        <v>1</v>
      </c>
      <c r="H58" s="9"/>
      <c r="I58" s="9"/>
      <c r="J58" s="12">
        <f>IFERROR(__xludf.DUMMYFUNCTION("""COMPUTED_VALUE"""),8.0)</f>
        <v>8</v>
      </c>
      <c r="K58" s="9"/>
      <c r="L58" s="9"/>
      <c r="M58" s="9"/>
      <c r="N58" s="13">
        <f>IFERROR(__xludf.DUMMYFUNCTION("""COMPUTED_VALUE"""),0.25)</f>
        <v>0.25</v>
      </c>
      <c r="O58" s="9"/>
      <c r="P58" s="9"/>
      <c r="Q58" s="12">
        <f>IFERROR(__xludf.DUMMYFUNCTION("""COMPUTED_VALUE"""),2.0)</f>
        <v>2</v>
      </c>
      <c r="R58" s="9"/>
      <c r="S58" s="9"/>
      <c r="T58" s="9"/>
      <c r="U58" s="36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2">
        <f>IFERROR(__xludf.DUMMYFUNCTION("""COMPUTED_VALUE"""),1.0)</f>
        <v>1</v>
      </c>
      <c r="D59" s="9"/>
      <c r="E59" s="9"/>
      <c r="F59" s="9"/>
      <c r="G59" s="13">
        <f>IFERROR(__xludf.DUMMYFUNCTION("""COMPUTED_VALUE"""),1.0)</f>
        <v>1</v>
      </c>
      <c r="H59" s="9"/>
      <c r="I59" s="9"/>
      <c r="J59" s="12">
        <f>IFERROR(__xludf.DUMMYFUNCTION("""COMPUTED_VALUE"""),1.0)</f>
        <v>1</v>
      </c>
      <c r="K59" s="9"/>
      <c r="L59" s="9"/>
      <c r="M59" s="9"/>
      <c r="N59" s="13">
        <f>IFERROR(__xludf.DUMMYFUNCTION("""COMPUTED_VALUE"""),1.0)</f>
        <v>1</v>
      </c>
      <c r="O59" s="9"/>
      <c r="P59" s="9"/>
      <c r="Q59" s="12">
        <f>IFERROR(__xludf.DUMMYFUNCTION("""COMPUTED_VALUE"""),1.0)</f>
        <v>1</v>
      </c>
      <c r="R59" s="9"/>
      <c r="S59" s="9"/>
      <c r="T59" s="9"/>
      <c r="U59" s="36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2">
        <f>IFERROR(__xludf.DUMMYFUNCTION("""COMPUTED_VALUE"""),5.0)</f>
        <v>5</v>
      </c>
      <c r="D60" s="9"/>
      <c r="E60" s="9"/>
      <c r="F60" s="9"/>
      <c r="G60" s="13">
        <f>IFERROR(__xludf.DUMMYFUNCTION("""COMPUTED_VALUE"""),0.6)</f>
        <v>0.6</v>
      </c>
      <c r="H60" s="9"/>
      <c r="I60" s="9"/>
      <c r="J60" s="12">
        <f>IFERROR(__xludf.DUMMYFUNCTION("""COMPUTED_VALUE"""),3.0)</f>
        <v>3</v>
      </c>
      <c r="K60" s="9"/>
      <c r="L60" s="9"/>
      <c r="M60" s="9"/>
      <c r="N60" s="13">
        <f>IFERROR(__xludf.DUMMYFUNCTION("""COMPUTED_VALUE"""),0.3333333333333333)</f>
        <v>0.3333333333</v>
      </c>
      <c r="O60" s="9"/>
      <c r="P60" s="9"/>
      <c r="Q60" s="12">
        <f>IFERROR(__xludf.DUMMYFUNCTION("""COMPUTED_VALUE"""),1.0)</f>
        <v>1</v>
      </c>
      <c r="R60" s="9"/>
      <c r="S60" s="9"/>
      <c r="T60" s="9"/>
      <c r="U60" s="36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2">
        <f>IFERROR(__xludf.DUMMYFUNCTION("""COMPUTED_VALUE"""),8.0)</f>
        <v>8</v>
      </c>
      <c r="D61" s="9"/>
      <c r="E61" s="9"/>
      <c r="F61" s="9"/>
      <c r="G61" s="13">
        <f>IFERROR(__xludf.DUMMYFUNCTION("""COMPUTED_VALUE"""),0.875)</f>
        <v>0.875</v>
      </c>
      <c r="H61" s="9"/>
      <c r="I61" s="9"/>
      <c r="J61" s="12">
        <f>IFERROR(__xludf.DUMMYFUNCTION("""COMPUTED_VALUE"""),7.0)</f>
        <v>7</v>
      </c>
      <c r="K61" s="9"/>
      <c r="L61" s="9"/>
      <c r="M61" s="9"/>
      <c r="N61" s="13">
        <f>IFERROR(__xludf.DUMMYFUNCTION("""COMPUTED_VALUE"""),0.14285714285714285)</f>
        <v>0.1428571429</v>
      </c>
      <c r="O61" s="9"/>
      <c r="P61" s="9"/>
      <c r="Q61" s="12">
        <f>IFERROR(__xludf.DUMMYFUNCTION("""COMPUTED_VALUE"""),1.0)</f>
        <v>1</v>
      </c>
      <c r="R61" s="9"/>
      <c r="S61" s="9"/>
      <c r="T61" s="9"/>
      <c r="U61" s="36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2">
        <f>IFERROR(__xludf.DUMMYFUNCTION("""COMPUTED_VALUE"""),8.0)</f>
        <v>8</v>
      </c>
      <c r="D62" s="9"/>
      <c r="E62" s="9"/>
      <c r="F62" s="9"/>
      <c r="G62" s="13">
        <f>IFERROR(__xludf.DUMMYFUNCTION("""COMPUTED_VALUE"""),1.0)</f>
        <v>1</v>
      </c>
      <c r="H62" s="9"/>
      <c r="I62" s="9"/>
      <c r="J62" s="12">
        <f>IFERROR(__xludf.DUMMYFUNCTION("""COMPUTED_VALUE"""),8.0)</f>
        <v>8</v>
      </c>
      <c r="K62" s="9"/>
      <c r="L62" s="9"/>
      <c r="M62" s="9"/>
      <c r="N62" s="13">
        <f>IFERROR(__xludf.DUMMYFUNCTION("""COMPUTED_VALUE"""),0.125)</f>
        <v>0.125</v>
      </c>
      <c r="O62" s="9"/>
      <c r="P62" s="9"/>
      <c r="Q62" s="12">
        <f>IFERROR(__xludf.DUMMYFUNCTION("""COMPUTED_VALUE"""),1.0)</f>
        <v>1</v>
      </c>
      <c r="R62" s="9"/>
      <c r="S62" s="9"/>
      <c r="T62" s="9"/>
      <c r="U62" s="36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2">
        <f>IFERROR(__xludf.DUMMYFUNCTION("""COMPUTED_VALUE"""),9.0)</f>
        <v>9</v>
      </c>
      <c r="D63" s="9"/>
      <c r="E63" s="9"/>
      <c r="F63" s="9"/>
      <c r="G63" s="13">
        <f>IFERROR(__xludf.DUMMYFUNCTION("""COMPUTED_VALUE"""),0.6666666666666666)</f>
        <v>0.6666666667</v>
      </c>
      <c r="H63" s="9"/>
      <c r="I63" s="9"/>
      <c r="J63" s="12">
        <f>IFERROR(__xludf.DUMMYFUNCTION("""COMPUTED_VALUE"""),6.0)</f>
        <v>6</v>
      </c>
      <c r="K63" s="9"/>
      <c r="L63" s="9"/>
      <c r="M63" s="9"/>
      <c r="N63" s="13">
        <f>IFERROR(__xludf.DUMMYFUNCTION("""COMPUTED_VALUE"""),0.0)</f>
        <v>0</v>
      </c>
      <c r="O63" s="9"/>
      <c r="P63" s="9"/>
      <c r="Q63" s="12">
        <f>IFERROR(__xludf.DUMMYFUNCTION("""COMPUTED_VALUE"""),0.0)</f>
        <v>0</v>
      </c>
      <c r="R63" s="9"/>
      <c r="S63" s="9"/>
      <c r="T63" s="9"/>
      <c r="U63" s="36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2">
        <f>IFERROR(__xludf.DUMMYFUNCTION("""COMPUTED_VALUE"""),883.2645161290319)</f>
        <v>883.2645161</v>
      </c>
      <c r="C64" s="12">
        <f>IFERROR(__xludf.DUMMYFUNCTION("""COMPUTED_VALUE"""),916.0)</f>
        <v>916</v>
      </c>
      <c r="D64" s="12">
        <f>IFERROR(__xludf.DUMMYFUNCTION("""COMPUTED_VALUE"""),32.735483870968096)</f>
        <v>32.73548387</v>
      </c>
      <c r="E64" s="13">
        <f>IFERROR(__xludf.DUMMYFUNCTION("""COMPUTED_VALUE"""),0.03706192570084625)</f>
        <v>0.0370619257</v>
      </c>
      <c r="F64" s="13">
        <f>IFERROR(__xludf.DUMMYFUNCTION("""COMPUTED_VALUE"""),0.7086321181251731)</f>
        <v>0.7086321181</v>
      </c>
      <c r="G64" s="13">
        <f>IFERROR(__xludf.DUMMYFUNCTION("""COMPUTED_VALUE"""),0.6921397379912664)</f>
        <v>0.692139738</v>
      </c>
      <c r="H64" s="35">
        <f>IFERROR(__xludf.DUMMYFUNCTION("""COMPUTED_VALUE"""),-1.6492380133906748)</f>
        <v>-1.649238013</v>
      </c>
      <c r="I64" s="12">
        <f>IFERROR(__xludf.DUMMYFUNCTION("""COMPUTED_VALUE"""),625.909604929322)</f>
        <v>625.9096049</v>
      </c>
      <c r="J64" s="12">
        <f>IFERROR(__xludf.DUMMYFUNCTION("""COMPUTED_VALUE"""),634.0)</f>
        <v>634</v>
      </c>
      <c r="K64" s="12">
        <f>IFERROR(__xludf.DUMMYFUNCTION("""COMPUTED_VALUE"""),8.090395070678028)</f>
        <v>8.090395071</v>
      </c>
      <c r="L64" s="13">
        <f>IFERROR(__xludf.DUMMYFUNCTION("""COMPUTED_VALUE"""),0.012925820289323726)</f>
        <v>0.01292582029</v>
      </c>
      <c r="M64" s="13">
        <f>IFERROR(__xludf.DUMMYFUNCTION("""COMPUTED_VALUE"""),0.39921905682058906)</f>
        <v>0.3992190568</v>
      </c>
      <c r="N64" s="13" t="str">
        <f>IFERROR(__xludf.DUMMYFUNCTION("""COMPUTED_VALUE"""),"#REF!")</f>
        <v>#REF!</v>
      </c>
      <c r="O64" s="35" t="str">
        <f>IFERROR(__xludf.DUMMYFUNCTION("""COMPUTED_VALUE"""),"#REF!")</f>
        <v>#REF!</v>
      </c>
      <c r="P64" s="12">
        <f>IFERROR(__xludf.DUMMYFUNCTION("""COMPUTED_VALUE"""),249.87504213483143)</f>
        <v>249.8750421</v>
      </c>
      <c r="Q64" s="12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3" t="str">
        <f>IFERROR(__xludf.DUMMYFUNCTION("""COMPUTED_VALUE"""),"#REF!")</f>
        <v>#REF!</v>
      </c>
      <c r="T64" s="12">
        <f>IFERROR(__xludf.DUMMYFUNCTION("""COMPUTED_VALUE"""),895286.590400846)</f>
        <v>895286.5904</v>
      </c>
      <c r="U64" s="36">
        <f>IFERROR(__xludf.DUMMYFUNCTION("""COMPUTED_VALUE"""),1430.3768201511177)</f>
        <v>1430.37682</v>
      </c>
      <c r="V64" s="36">
        <f>IFERROR(__xludf.DUMMYFUNCTION("""COMPUTED_VALUE"""),-36960.12344983602)</f>
        <v>-36960.12345</v>
      </c>
      <c r="W64" s="13">
        <f>IFERROR(__xludf.DUMMYFUNCTION("""COMPUTED_VALUE"""),-0.041283007973221056)</f>
        <v>-0.04128300797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2">
        <f>IFERROR(__xludf.DUMMYFUNCTION("""COMPUTED_VALUE"""),215.6451612903225)</f>
        <v>215.6451613</v>
      </c>
      <c r="C65" s="12">
        <f>IFERROR(__xludf.DUMMYFUNCTION("""COMPUTED_VALUE"""),174.0)</f>
        <v>174</v>
      </c>
      <c r="D65" s="12">
        <f>IFERROR(__xludf.DUMMYFUNCTION("""COMPUTED_VALUE"""),-41.645161290322505)</f>
        <v>-41.64516129</v>
      </c>
      <c r="E65" s="13">
        <f>IFERROR(__xludf.DUMMYFUNCTION("""COMPUTED_VALUE"""),-0.19311892296185462)</f>
        <v>-0.193118923</v>
      </c>
      <c r="F65" s="13">
        <f>IFERROR(__xludf.DUMMYFUNCTION("""COMPUTED_VALUE"""),0.7999999999999999)</f>
        <v>0.8</v>
      </c>
      <c r="G65" s="13">
        <f>IFERROR(__xludf.DUMMYFUNCTION("""COMPUTED_VALUE"""),0.6436781609195402)</f>
        <v>0.6436781609</v>
      </c>
      <c r="H65" s="35">
        <f>IFERROR(__xludf.DUMMYFUNCTION("""COMPUTED_VALUE"""),-15.63218390804597)</f>
        <v>-15.63218391</v>
      </c>
      <c r="I65" s="12">
        <f>IFERROR(__xludf.DUMMYFUNCTION("""COMPUTED_VALUE"""),172.516129032258)</f>
        <v>172.516129</v>
      </c>
      <c r="J65" s="12">
        <f>IFERROR(__xludf.DUMMYFUNCTION("""COMPUTED_VALUE"""),112.0)</f>
        <v>112</v>
      </c>
      <c r="K65" s="12">
        <f>IFERROR(__xludf.DUMMYFUNCTION("""COMPUTED_VALUE"""),-60.51612903225799)</f>
        <v>-60.51612903</v>
      </c>
      <c r="L65" s="13">
        <f>IFERROR(__xludf.DUMMYFUNCTION("""COMPUTED_VALUE"""),-0.35078534031413583)</f>
        <v>-0.3507853403</v>
      </c>
      <c r="M65" s="13">
        <f>IFERROR(__xludf.DUMMYFUNCTION("""COMPUTED_VALUE"""),0.3764285714285715)</f>
        <v>0.3764285714</v>
      </c>
      <c r="N65" s="13">
        <f>IFERROR(__xludf.DUMMYFUNCTION("""COMPUTED_VALUE"""),0.3482142857142857)</f>
        <v>0.3482142857</v>
      </c>
      <c r="O65" s="35">
        <f>IFERROR(__xludf.DUMMYFUNCTION("""COMPUTED_VALUE"""),-2.82142857142858)</f>
        <v>-2.821428571</v>
      </c>
      <c r="P65" s="12">
        <f>IFERROR(__xludf.DUMMYFUNCTION("""COMPUTED_VALUE"""),64.93999999999998)</f>
        <v>64.94</v>
      </c>
      <c r="Q65" s="12">
        <f>IFERROR(__xludf.DUMMYFUNCTION("""COMPUTED_VALUE"""),39.0)</f>
        <v>39</v>
      </c>
      <c r="R65" s="12">
        <f>IFERROR(__xludf.DUMMYFUNCTION("""COMPUTED_VALUE"""),-25.939999999999984)</f>
        <v>-25.94</v>
      </c>
      <c r="S65" s="13">
        <f>IFERROR(__xludf.DUMMYFUNCTION("""COMPUTED_VALUE"""),-0.3994456421311979)</f>
        <v>-0.3994456421</v>
      </c>
      <c r="T65" s="12">
        <f>IFERROR(__xludf.DUMMYFUNCTION("""COMPUTED_VALUE"""),222977.98399999997)</f>
        <v>222977.984</v>
      </c>
      <c r="U65" s="36">
        <f>IFERROR(__xludf.DUMMYFUNCTION("""COMPUTED_VALUE"""),1292.5051428571433)</f>
        <v>1292.505143</v>
      </c>
      <c r="V65" s="36">
        <f>IFERROR(__xludf.DUMMYFUNCTION("""COMPUTED_VALUE"""),-78217.40799999994)</f>
        <v>-78217.408</v>
      </c>
      <c r="W65" s="13">
        <f>IFERROR(__xludf.DUMMYFUNCTION("""COMPUTED_VALUE"""),-0.3507853403141359)</f>
        <v>-0.3507853403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2">
        <f>IFERROR(__xludf.DUMMYFUNCTION("""COMPUTED_VALUE"""),43.0)</f>
        <v>43</v>
      </c>
      <c r="D66" s="9"/>
      <c r="E66" s="9"/>
      <c r="F66" s="9"/>
      <c r="G66" s="13">
        <f>IFERROR(__xludf.DUMMYFUNCTION("""COMPUTED_VALUE"""),0.8372093023255814)</f>
        <v>0.8372093023</v>
      </c>
      <c r="H66" s="9"/>
      <c r="I66" s="9"/>
      <c r="J66" s="12">
        <f>IFERROR(__xludf.DUMMYFUNCTION("""COMPUTED_VALUE"""),36.0)</f>
        <v>36</v>
      </c>
      <c r="K66" s="9"/>
      <c r="L66" s="9"/>
      <c r="M66" s="9"/>
      <c r="N66" s="13">
        <f>IFERROR(__xludf.DUMMYFUNCTION("""COMPUTED_VALUE"""),0.5277777777777778)</f>
        <v>0.5277777778</v>
      </c>
      <c r="O66" s="9"/>
      <c r="P66" s="9"/>
      <c r="Q66" s="12">
        <f>IFERROR(__xludf.DUMMYFUNCTION("""COMPUTED_VALUE"""),19.0)</f>
        <v>19</v>
      </c>
      <c r="R66" s="9"/>
      <c r="S66" s="9"/>
      <c r="T66" s="9"/>
      <c r="U66" s="36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2">
        <f>IFERROR(__xludf.DUMMYFUNCTION("""COMPUTED_VALUE"""),47.0)</f>
        <v>47</v>
      </c>
      <c r="D67" s="9"/>
      <c r="E67" s="9"/>
      <c r="F67" s="9"/>
      <c r="G67" s="13">
        <f>IFERROR(__xludf.DUMMYFUNCTION("""COMPUTED_VALUE"""),0.7446808510638298)</f>
        <v>0.7446808511</v>
      </c>
      <c r="H67" s="9"/>
      <c r="I67" s="9"/>
      <c r="J67" s="12">
        <f>IFERROR(__xludf.DUMMYFUNCTION("""COMPUTED_VALUE"""),35.0)</f>
        <v>35</v>
      </c>
      <c r="K67" s="9"/>
      <c r="L67" s="9"/>
      <c r="M67" s="9"/>
      <c r="N67" s="13">
        <f>IFERROR(__xludf.DUMMYFUNCTION("""COMPUTED_VALUE"""),0.45714285714285713)</f>
        <v>0.4571428571</v>
      </c>
      <c r="O67" s="9"/>
      <c r="P67" s="9"/>
      <c r="Q67" s="12">
        <f>IFERROR(__xludf.DUMMYFUNCTION("""COMPUTED_VALUE"""),16.0)</f>
        <v>16</v>
      </c>
      <c r="R67" s="9"/>
      <c r="S67" s="9"/>
      <c r="T67" s="9"/>
      <c r="U67" s="36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2">
        <f>IFERROR(__xludf.DUMMYFUNCTION("""COMPUTED_VALUE"""),51.0)</f>
        <v>51</v>
      </c>
      <c r="D68" s="9"/>
      <c r="E68" s="9"/>
      <c r="F68" s="9"/>
      <c r="G68" s="13">
        <f>IFERROR(__xludf.DUMMYFUNCTION("""COMPUTED_VALUE"""),0.6666666666666666)</f>
        <v>0.6666666667</v>
      </c>
      <c r="H68" s="9"/>
      <c r="I68" s="9"/>
      <c r="J68" s="12">
        <f>IFERROR(__xludf.DUMMYFUNCTION("""COMPUTED_VALUE"""),34.0)</f>
        <v>34</v>
      </c>
      <c r="K68" s="9"/>
      <c r="L68" s="9"/>
      <c r="M68" s="9"/>
      <c r="N68" s="13">
        <f>IFERROR(__xludf.DUMMYFUNCTION("""COMPUTED_VALUE"""),0.4411764705882353)</f>
        <v>0.4411764706</v>
      </c>
      <c r="O68" s="9"/>
      <c r="P68" s="9"/>
      <c r="Q68" s="12">
        <f>IFERROR(__xludf.DUMMYFUNCTION("""COMPUTED_VALUE"""),15.0)</f>
        <v>15</v>
      </c>
      <c r="R68" s="9"/>
      <c r="S68" s="9"/>
      <c r="T68" s="9"/>
      <c r="U68" s="36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2">
        <f>IFERROR(__xludf.DUMMYFUNCTION("""COMPUTED_VALUE"""),44.0)</f>
        <v>44</v>
      </c>
      <c r="D69" s="9"/>
      <c r="E69" s="9"/>
      <c r="F69" s="9"/>
      <c r="G69" s="13">
        <f>IFERROR(__xludf.DUMMYFUNCTION("""COMPUTED_VALUE"""),0.6363636363636364)</f>
        <v>0.6363636364</v>
      </c>
      <c r="H69" s="9"/>
      <c r="I69" s="9"/>
      <c r="J69" s="12">
        <f>IFERROR(__xludf.DUMMYFUNCTION("""COMPUTED_VALUE"""),28.0)</f>
        <v>28</v>
      </c>
      <c r="K69" s="9"/>
      <c r="L69" s="9"/>
      <c r="M69" s="9"/>
      <c r="N69" s="13">
        <f>IFERROR(__xludf.DUMMYFUNCTION("""COMPUTED_VALUE"""),0.5)</f>
        <v>0.5</v>
      </c>
      <c r="O69" s="9"/>
      <c r="P69" s="9"/>
      <c r="Q69" s="12">
        <f>IFERROR(__xludf.DUMMYFUNCTION("""COMPUTED_VALUE"""),14.0)</f>
        <v>14</v>
      </c>
      <c r="R69" s="9"/>
      <c r="S69" s="9"/>
      <c r="T69" s="9"/>
      <c r="U69" s="36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2">
        <f>IFERROR(__xludf.DUMMYFUNCTION("""COMPUTED_VALUE"""),51.0)</f>
        <v>51</v>
      </c>
      <c r="D70" s="9"/>
      <c r="E70" s="9"/>
      <c r="F70" s="9"/>
      <c r="G70" s="13">
        <f>IFERROR(__xludf.DUMMYFUNCTION("""COMPUTED_VALUE"""),0.803921568627451)</f>
        <v>0.8039215686</v>
      </c>
      <c r="H70" s="9"/>
      <c r="I70" s="9"/>
      <c r="J70" s="12">
        <f>IFERROR(__xludf.DUMMYFUNCTION("""COMPUTED_VALUE"""),41.0)</f>
        <v>41</v>
      </c>
      <c r="K70" s="9"/>
      <c r="L70" s="9"/>
      <c r="M70" s="9"/>
      <c r="N70" s="13">
        <f>IFERROR(__xludf.DUMMYFUNCTION("""COMPUTED_VALUE"""),0.34146341463414637)</f>
        <v>0.3414634146</v>
      </c>
      <c r="O70" s="9"/>
      <c r="P70" s="9"/>
      <c r="Q70" s="12">
        <f>IFERROR(__xludf.DUMMYFUNCTION("""COMPUTED_VALUE"""),14.0)</f>
        <v>14</v>
      </c>
      <c r="R70" s="9"/>
      <c r="S70" s="9"/>
      <c r="T70" s="9"/>
      <c r="U70" s="36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2">
        <f>IFERROR(__xludf.DUMMYFUNCTION("""COMPUTED_VALUE"""),46.0)</f>
        <v>46</v>
      </c>
      <c r="D71" s="9"/>
      <c r="E71" s="9"/>
      <c r="F71" s="9"/>
      <c r="G71" s="13">
        <f>IFERROR(__xludf.DUMMYFUNCTION("""COMPUTED_VALUE"""),0.6304347826086957)</f>
        <v>0.6304347826</v>
      </c>
      <c r="H71" s="9"/>
      <c r="I71" s="9"/>
      <c r="J71" s="12">
        <f>IFERROR(__xludf.DUMMYFUNCTION("""COMPUTED_VALUE"""),29.0)</f>
        <v>29</v>
      </c>
      <c r="K71" s="9"/>
      <c r="L71" s="9"/>
      <c r="M71" s="9"/>
      <c r="N71" s="13">
        <f>IFERROR(__xludf.DUMMYFUNCTION("""COMPUTED_VALUE"""),0.4482758620689655)</f>
        <v>0.4482758621</v>
      </c>
      <c r="O71" s="9"/>
      <c r="P71" s="9"/>
      <c r="Q71" s="12">
        <f>IFERROR(__xludf.DUMMYFUNCTION("""COMPUTED_VALUE"""),13.0)</f>
        <v>13</v>
      </c>
      <c r="R71" s="9"/>
      <c r="S71" s="9"/>
      <c r="T71" s="9"/>
      <c r="U71" s="36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2">
        <f>IFERROR(__xludf.DUMMYFUNCTION("""COMPUTED_VALUE"""),35.0)</f>
        <v>35</v>
      </c>
      <c r="D72" s="9"/>
      <c r="E72" s="9"/>
      <c r="F72" s="9"/>
      <c r="G72" s="13">
        <f>IFERROR(__xludf.DUMMYFUNCTION("""COMPUTED_VALUE"""),0.7714285714285715)</f>
        <v>0.7714285714</v>
      </c>
      <c r="H72" s="9"/>
      <c r="I72" s="9"/>
      <c r="J72" s="12">
        <f>IFERROR(__xludf.DUMMYFUNCTION("""COMPUTED_VALUE"""),27.0)</f>
        <v>27</v>
      </c>
      <c r="K72" s="9"/>
      <c r="L72" s="9"/>
      <c r="M72" s="9"/>
      <c r="N72" s="13">
        <f>IFERROR(__xludf.DUMMYFUNCTION("""COMPUTED_VALUE"""),0.4444444444444444)</f>
        <v>0.4444444444</v>
      </c>
      <c r="O72" s="9"/>
      <c r="P72" s="9"/>
      <c r="Q72" s="12">
        <f>IFERROR(__xludf.DUMMYFUNCTION("""COMPUTED_VALUE"""),12.0)</f>
        <v>12</v>
      </c>
      <c r="R72" s="9"/>
      <c r="S72" s="9"/>
      <c r="T72" s="9"/>
      <c r="U72" s="36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2">
        <f>IFERROR(__xludf.DUMMYFUNCTION("""COMPUTED_VALUE"""),45.0)</f>
        <v>45</v>
      </c>
      <c r="D73" s="9"/>
      <c r="E73" s="9"/>
      <c r="F73" s="9"/>
      <c r="G73" s="13">
        <f>IFERROR(__xludf.DUMMYFUNCTION("""COMPUTED_VALUE"""),0.6222222222222222)</f>
        <v>0.6222222222</v>
      </c>
      <c r="H73" s="9"/>
      <c r="I73" s="9"/>
      <c r="J73" s="12">
        <f>IFERROR(__xludf.DUMMYFUNCTION("""COMPUTED_VALUE"""),28.0)</f>
        <v>28</v>
      </c>
      <c r="K73" s="9"/>
      <c r="L73" s="9"/>
      <c r="M73" s="9"/>
      <c r="N73" s="13">
        <f>IFERROR(__xludf.DUMMYFUNCTION("""COMPUTED_VALUE"""),0.42857142857142855)</f>
        <v>0.4285714286</v>
      </c>
      <c r="O73" s="9"/>
      <c r="P73" s="9"/>
      <c r="Q73" s="12">
        <f>IFERROR(__xludf.DUMMYFUNCTION("""COMPUTED_VALUE"""),12.0)</f>
        <v>12</v>
      </c>
      <c r="R73" s="9"/>
      <c r="S73" s="9"/>
      <c r="T73" s="9"/>
      <c r="U73" s="36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2">
        <f>IFERROR(__xludf.DUMMYFUNCTION("""COMPUTED_VALUE"""),42.0)</f>
        <v>42</v>
      </c>
      <c r="D74" s="9"/>
      <c r="E74" s="9"/>
      <c r="F74" s="9"/>
      <c r="G74" s="13">
        <f>IFERROR(__xludf.DUMMYFUNCTION("""COMPUTED_VALUE"""),0.7619047619047619)</f>
        <v>0.7619047619</v>
      </c>
      <c r="H74" s="9"/>
      <c r="I74" s="9"/>
      <c r="J74" s="12">
        <f>IFERROR(__xludf.DUMMYFUNCTION("""COMPUTED_VALUE"""),32.0)</f>
        <v>32</v>
      </c>
      <c r="K74" s="9"/>
      <c r="L74" s="9"/>
      <c r="M74" s="9"/>
      <c r="N74" s="13">
        <f>IFERROR(__xludf.DUMMYFUNCTION("""COMPUTED_VALUE"""),0.375)</f>
        <v>0.375</v>
      </c>
      <c r="O74" s="9"/>
      <c r="P74" s="9"/>
      <c r="Q74" s="12">
        <f>IFERROR(__xludf.DUMMYFUNCTION("""COMPUTED_VALUE"""),12.0)</f>
        <v>12</v>
      </c>
      <c r="R74" s="9"/>
      <c r="S74" s="9"/>
      <c r="T74" s="9"/>
      <c r="U74" s="36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2">
        <f>IFERROR(__xludf.DUMMYFUNCTION("""COMPUTED_VALUE"""),6.0)</f>
        <v>6</v>
      </c>
      <c r="D75" s="9"/>
      <c r="E75" s="9"/>
      <c r="F75" s="9"/>
      <c r="G75" s="13">
        <f>IFERROR(__xludf.DUMMYFUNCTION("""COMPUTED_VALUE"""),0.8333333333333334)</f>
        <v>0.8333333333</v>
      </c>
      <c r="H75" s="9"/>
      <c r="I75" s="9"/>
      <c r="J75" s="12">
        <f>IFERROR(__xludf.DUMMYFUNCTION("""COMPUTED_VALUE"""),5.0)</f>
        <v>5</v>
      </c>
      <c r="K75" s="9"/>
      <c r="L75" s="9"/>
      <c r="M75" s="9"/>
      <c r="N75" s="13">
        <f>IFERROR(__xludf.DUMMYFUNCTION("""COMPUTED_VALUE"""),1.2)</f>
        <v>1.2</v>
      </c>
      <c r="O75" s="9"/>
      <c r="P75" s="9"/>
      <c r="Q75" s="12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2">
        <f>IFERROR(__xludf.DUMMYFUNCTION("""COMPUTED_VALUE"""),1.0)</f>
        <v>1</v>
      </c>
      <c r="D76" s="9"/>
      <c r="E76" s="9"/>
      <c r="F76" s="9"/>
      <c r="G76" s="13">
        <f>IFERROR(__xludf.DUMMYFUNCTION("""COMPUTED_VALUE"""),1.0)</f>
        <v>1</v>
      </c>
      <c r="H76" s="9"/>
      <c r="I76" s="9"/>
      <c r="J76" s="12">
        <f>IFERROR(__xludf.DUMMYFUNCTION("""COMPUTED_VALUE"""),1.0)</f>
        <v>1</v>
      </c>
      <c r="K76" s="9"/>
      <c r="L76" s="9"/>
      <c r="M76" s="9"/>
      <c r="N76" s="13">
        <f>IFERROR(__xludf.DUMMYFUNCTION("""COMPUTED_VALUE"""),1.0)</f>
        <v>1</v>
      </c>
      <c r="O76" s="9"/>
      <c r="P76" s="9"/>
      <c r="Q76" s="12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2">
        <f>IFERROR(__xludf.DUMMYFUNCTION("""COMPUTED_VALUE"""),1.0)</f>
        <v>1</v>
      </c>
      <c r="D77" s="9"/>
      <c r="E77" s="9"/>
      <c r="F77" s="9"/>
      <c r="G77" s="13">
        <f>IFERROR(__xludf.DUMMYFUNCTION("""COMPUTED_VALUE"""),1.0)</f>
        <v>1</v>
      </c>
      <c r="H77" s="9"/>
      <c r="I77" s="9"/>
      <c r="J77" s="12">
        <f>IFERROR(__xludf.DUMMYFUNCTION("""COMPUTED_VALUE"""),1.0)</f>
        <v>1</v>
      </c>
      <c r="K77" s="9"/>
      <c r="L77" s="9"/>
      <c r="M77" s="9"/>
      <c r="N77" s="13">
        <f>IFERROR(__xludf.DUMMYFUNCTION("""COMPUTED_VALUE"""),1.0)</f>
        <v>1</v>
      </c>
      <c r="O77" s="9"/>
      <c r="P77" s="9"/>
      <c r="Q77" s="12">
        <f>IFERROR(__xludf.DUMMYFUNCTION("""COMPUTED_VALUE"""),1.0)</f>
        <v>1</v>
      </c>
      <c r="R77" s="9"/>
      <c r="S77" s="9"/>
      <c r="T77" s="9"/>
      <c r="U77" s="36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2">
        <f>IFERROR(__xludf.DUMMYFUNCTION("""COMPUTED_VALUE"""),158.0645161290322)</f>
        <v>158.0645161</v>
      </c>
      <c r="C78" s="12">
        <f>IFERROR(__xludf.DUMMYFUNCTION("""COMPUTED_VALUE"""),274.0)</f>
        <v>274</v>
      </c>
      <c r="D78" s="12">
        <f>IFERROR(__xludf.DUMMYFUNCTION("""COMPUTED_VALUE"""),115.9354838709678)</f>
        <v>115.9354839</v>
      </c>
      <c r="E78" s="13">
        <f>IFERROR(__xludf.DUMMYFUNCTION("""COMPUTED_VALUE"""),0.7334693877551027)</f>
        <v>0.7334693878</v>
      </c>
      <c r="F78" s="13">
        <f>IFERROR(__xludf.DUMMYFUNCTION("""COMPUTED_VALUE"""),0.73)</f>
        <v>0.73</v>
      </c>
      <c r="G78" s="13">
        <f>IFERROR(__xludf.DUMMYFUNCTION("""COMPUTED_VALUE"""),0.7445255474452555)</f>
        <v>0.7445255474</v>
      </c>
      <c r="H78" s="35">
        <f>IFERROR(__xludf.DUMMYFUNCTION("""COMPUTED_VALUE"""),1.4525547445255471)</f>
        <v>1.452554745</v>
      </c>
      <c r="I78" s="12">
        <f>IFERROR(__xludf.DUMMYFUNCTION("""COMPUTED_VALUE"""),115.38709677419351)</f>
        <v>115.3870968</v>
      </c>
      <c r="J78" s="12">
        <f>IFERROR(__xludf.DUMMYFUNCTION("""COMPUTED_VALUE"""),204.0)</f>
        <v>204</v>
      </c>
      <c r="K78" s="12">
        <f>IFERROR(__xludf.DUMMYFUNCTION("""COMPUTED_VALUE"""),88.61290322580649)</f>
        <v>88.61290323</v>
      </c>
      <c r="L78" s="13">
        <f>IFERROR(__xludf.DUMMYFUNCTION("""COMPUTED_VALUE"""),0.7679619793122735)</f>
        <v>0.7679619793</v>
      </c>
      <c r="M78" s="13">
        <f>IFERROR(__xludf.DUMMYFUNCTION("""COMPUTED_VALUE"""),0.29260204081632657)</f>
        <v>0.2926020408</v>
      </c>
      <c r="N78" s="13">
        <f>IFERROR(__xludf.DUMMYFUNCTION("""COMPUTED_VALUE"""),0.29411764705882354)</f>
        <v>0.2941176471</v>
      </c>
      <c r="O78" s="35">
        <f>IFERROR(__xludf.DUMMYFUNCTION("""COMPUTED_VALUE"""),0.15156062424969696)</f>
        <v>0.1515606242</v>
      </c>
      <c r="P78" s="12">
        <f>IFERROR(__xludf.DUMMYFUNCTION("""COMPUTED_VALUE"""),33.762499999999996)</f>
        <v>33.7625</v>
      </c>
      <c r="Q78" s="12">
        <f>IFERROR(__xludf.DUMMYFUNCTION("""COMPUTED_VALUE"""),60.0)</f>
        <v>60</v>
      </c>
      <c r="R78" s="12">
        <f>IFERROR(__xludf.DUMMYFUNCTION("""COMPUTED_VALUE"""),26.237500000000004)</f>
        <v>26.2375</v>
      </c>
      <c r="S78" s="13">
        <f>IFERROR(__xludf.DUMMYFUNCTION("""COMPUTED_VALUE"""),0.7771195853387637)</f>
        <v>0.7771195853</v>
      </c>
      <c r="T78" s="12">
        <f>IFERROR(__xludf.DUMMYFUNCTION("""COMPUTED_VALUE"""),88671.0251153846)</f>
        <v>88671.02512</v>
      </c>
      <c r="U78" s="36">
        <f>IFERROR(__xludf.DUMMYFUNCTION("""COMPUTED_VALUE"""),768.4656915227631)</f>
        <v>768.4656915</v>
      </c>
      <c r="V78" s="36">
        <f>IFERROR(__xludf.DUMMYFUNCTION("""COMPUTED_VALUE"""),68095.97595525907)</f>
        <v>68095.97596</v>
      </c>
      <c r="W78" s="13">
        <f>IFERROR(__xludf.DUMMYFUNCTION("""COMPUTED_VALUE"""),0.7679619793122734)</f>
        <v>0.7679619793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2">
        <f>IFERROR(__xludf.DUMMYFUNCTION("""COMPUTED_VALUE"""),29.0)</f>
        <v>29</v>
      </c>
      <c r="D79" s="9"/>
      <c r="E79" s="9"/>
      <c r="F79" s="9"/>
      <c r="G79" s="13">
        <f>IFERROR(__xludf.DUMMYFUNCTION("""COMPUTED_VALUE"""),0.7241379310344828)</f>
        <v>0.724137931</v>
      </c>
      <c r="H79" s="9"/>
      <c r="I79" s="9"/>
      <c r="J79" s="12">
        <f>IFERROR(__xludf.DUMMYFUNCTION("""COMPUTED_VALUE"""),21.0)</f>
        <v>21</v>
      </c>
      <c r="K79" s="9"/>
      <c r="L79" s="9"/>
      <c r="M79" s="9"/>
      <c r="N79" s="13">
        <f>IFERROR(__xludf.DUMMYFUNCTION("""COMPUTED_VALUE"""),0.47619047619047616)</f>
        <v>0.4761904762</v>
      </c>
      <c r="O79" s="9"/>
      <c r="P79" s="9"/>
      <c r="Q79" s="12">
        <f>IFERROR(__xludf.DUMMYFUNCTION("""COMPUTED_VALUE"""),10.0)</f>
        <v>10</v>
      </c>
      <c r="R79" s="9"/>
      <c r="S79" s="9"/>
      <c r="T79" s="9"/>
      <c r="U79" s="36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2">
        <f>IFERROR(__xludf.DUMMYFUNCTION("""COMPUTED_VALUE"""),31.0)</f>
        <v>31</v>
      </c>
      <c r="D80" s="9"/>
      <c r="E80" s="9"/>
      <c r="F80" s="9"/>
      <c r="G80" s="13">
        <f>IFERROR(__xludf.DUMMYFUNCTION("""COMPUTED_VALUE"""),0.7096774193548387)</f>
        <v>0.7096774194</v>
      </c>
      <c r="H80" s="9"/>
      <c r="I80" s="9"/>
      <c r="J80" s="12">
        <f>IFERROR(__xludf.DUMMYFUNCTION("""COMPUTED_VALUE"""),22.0)</f>
        <v>22</v>
      </c>
      <c r="K80" s="9"/>
      <c r="L80" s="9"/>
      <c r="M80" s="9"/>
      <c r="N80" s="13">
        <f>IFERROR(__xludf.DUMMYFUNCTION("""COMPUTED_VALUE"""),0.45454545454545453)</f>
        <v>0.4545454545</v>
      </c>
      <c r="O80" s="9"/>
      <c r="P80" s="9"/>
      <c r="Q80" s="12">
        <f>IFERROR(__xludf.DUMMYFUNCTION("""COMPUTED_VALUE"""),10.0)</f>
        <v>10</v>
      </c>
      <c r="R80" s="9"/>
      <c r="S80" s="9"/>
      <c r="T80" s="9"/>
      <c r="U80" s="36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2">
        <f>IFERROR(__xludf.DUMMYFUNCTION("""COMPUTED_VALUE"""),31.0)</f>
        <v>31</v>
      </c>
      <c r="D81" s="9"/>
      <c r="E81" s="9"/>
      <c r="F81" s="9"/>
      <c r="G81" s="13">
        <f>IFERROR(__xludf.DUMMYFUNCTION("""COMPUTED_VALUE"""),0.7741935483870968)</f>
        <v>0.7741935484</v>
      </c>
      <c r="H81" s="9"/>
      <c r="I81" s="9"/>
      <c r="J81" s="12">
        <f>IFERROR(__xludf.DUMMYFUNCTION("""COMPUTED_VALUE"""),24.0)</f>
        <v>24</v>
      </c>
      <c r="K81" s="9"/>
      <c r="L81" s="9"/>
      <c r="M81" s="9"/>
      <c r="N81" s="13">
        <f>IFERROR(__xludf.DUMMYFUNCTION("""COMPUTED_VALUE"""),0.3333333333333333)</f>
        <v>0.3333333333</v>
      </c>
      <c r="O81" s="9"/>
      <c r="P81" s="9"/>
      <c r="Q81" s="12">
        <f>IFERROR(__xludf.DUMMYFUNCTION("""COMPUTED_VALUE"""),8.0)</f>
        <v>8</v>
      </c>
      <c r="R81" s="9"/>
      <c r="S81" s="9"/>
      <c r="T81" s="9"/>
      <c r="U81" s="36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2">
        <f>IFERROR(__xludf.DUMMYFUNCTION("""COMPUTED_VALUE"""),28.0)</f>
        <v>28</v>
      </c>
      <c r="D82" s="9"/>
      <c r="E82" s="9"/>
      <c r="F82" s="9"/>
      <c r="G82" s="13">
        <f>IFERROR(__xludf.DUMMYFUNCTION("""COMPUTED_VALUE"""),0.7142857142857143)</f>
        <v>0.7142857143</v>
      </c>
      <c r="H82" s="9"/>
      <c r="I82" s="9"/>
      <c r="J82" s="12">
        <f>IFERROR(__xludf.DUMMYFUNCTION("""COMPUTED_VALUE"""),20.0)</f>
        <v>20</v>
      </c>
      <c r="K82" s="9"/>
      <c r="L82" s="9"/>
      <c r="M82" s="9"/>
      <c r="N82" s="13">
        <f>IFERROR(__xludf.DUMMYFUNCTION("""COMPUTED_VALUE"""),0.25)</f>
        <v>0.25</v>
      </c>
      <c r="O82" s="9"/>
      <c r="P82" s="9"/>
      <c r="Q82" s="12">
        <f>IFERROR(__xludf.DUMMYFUNCTION("""COMPUTED_VALUE"""),5.0)</f>
        <v>5</v>
      </c>
      <c r="R82" s="9"/>
      <c r="S82" s="9"/>
      <c r="T82" s="9"/>
      <c r="U82" s="36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2">
        <f>IFERROR(__xludf.DUMMYFUNCTION("""COMPUTED_VALUE"""),28.0)</f>
        <v>28</v>
      </c>
      <c r="D83" s="9"/>
      <c r="E83" s="9"/>
      <c r="F83" s="9"/>
      <c r="G83" s="13">
        <f>IFERROR(__xludf.DUMMYFUNCTION("""COMPUTED_VALUE"""),0.8214285714285714)</f>
        <v>0.8214285714</v>
      </c>
      <c r="H83" s="9"/>
      <c r="I83" s="9"/>
      <c r="J83" s="12">
        <f>IFERROR(__xludf.DUMMYFUNCTION("""COMPUTED_VALUE"""),23.0)</f>
        <v>23</v>
      </c>
      <c r="K83" s="9"/>
      <c r="L83" s="9"/>
      <c r="M83" s="9"/>
      <c r="N83" s="13">
        <f>IFERROR(__xludf.DUMMYFUNCTION("""COMPUTED_VALUE"""),0.21739130434782608)</f>
        <v>0.2173913043</v>
      </c>
      <c r="O83" s="9"/>
      <c r="P83" s="9"/>
      <c r="Q83" s="12">
        <f>IFERROR(__xludf.DUMMYFUNCTION("""COMPUTED_VALUE"""),5.0)</f>
        <v>5</v>
      </c>
      <c r="R83" s="9"/>
      <c r="S83" s="9"/>
      <c r="T83" s="9"/>
      <c r="U83" s="36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2">
        <f>IFERROR(__xludf.DUMMYFUNCTION("""COMPUTED_VALUE"""),24.0)</f>
        <v>24</v>
      </c>
      <c r="D84" s="9"/>
      <c r="E84" s="9"/>
      <c r="F84" s="9"/>
      <c r="G84" s="13">
        <f>IFERROR(__xludf.DUMMYFUNCTION("""COMPUTED_VALUE"""),0.625)</f>
        <v>0.625</v>
      </c>
      <c r="H84" s="9"/>
      <c r="I84" s="9"/>
      <c r="J84" s="12">
        <f>IFERROR(__xludf.DUMMYFUNCTION("""COMPUTED_VALUE"""),15.0)</f>
        <v>15</v>
      </c>
      <c r="K84" s="9"/>
      <c r="L84" s="9"/>
      <c r="M84" s="9"/>
      <c r="N84" s="13">
        <f>IFERROR(__xludf.DUMMYFUNCTION("""COMPUTED_VALUE"""),0.26666666666666666)</f>
        <v>0.2666666667</v>
      </c>
      <c r="O84" s="9"/>
      <c r="P84" s="9"/>
      <c r="Q84" s="12">
        <f>IFERROR(__xludf.DUMMYFUNCTION("""COMPUTED_VALUE"""),4.0)</f>
        <v>4</v>
      </c>
      <c r="R84" s="9"/>
      <c r="S84" s="9"/>
      <c r="T84" s="9"/>
      <c r="U84" s="36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2">
        <f>IFERROR(__xludf.DUMMYFUNCTION("""COMPUTED_VALUE"""),33.0)</f>
        <v>33</v>
      </c>
      <c r="D85" s="9"/>
      <c r="E85" s="9"/>
      <c r="F85" s="9"/>
      <c r="G85" s="13">
        <f>IFERROR(__xludf.DUMMYFUNCTION("""COMPUTED_VALUE"""),0.6363636363636364)</f>
        <v>0.6363636364</v>
      </c>
      <c r="H85" s="9"/>
      <c r="I85" s="9"/>
      <c r="J85" s="12">
        <f>IFERROR(__xludf.DUMMYFUNCTION("""COMPUTED_VALUE"""),21.0)</f>
        <v>21</v>
      </c>
      <c r="K85" s="9"/>
      <c r="L85" s="9"/>
      <c r="M85" s="9"/>
      <c r="N85" s="13">
        <f>IFERROR(__xludf.DUMMYFUNCTION("""COMPUTED_VALUE"""),0.14285714285714285)</f>
        <v>0.1428571429</v>
      </c>
      <c r="O85" s="9"/>
      <c r="P85" s="9"/>
      <c r="Q85" s="12">
        <f>IFERROR(__xludf.DUMMYFUNCTION("""COMPUTED_VALUE"""),3.0)</f>
        <v>3</v>
      </c>
      <c r="R85" s="9"/>
      <c r="S85" s="9"/>
      <c r="T85" s="9"/>
      <c r="U85" s="36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2">
        <f>IFERROR(__xludf.DUMMYFUNCTION("""COMPUTED_VALUE"""),23.0)</f>
        <v>23</v>
      </c>
      <c r="D86" s="9"/>
      <c r="E86" s="9"/>
      <c r="F86" s="9"/>
      <c r="G86" s="13">
        <f>IFERROR(__xludf.DUMMYFUNCTION("""COMPUTED_VALUE"""),0.6956521739130435)</f>
        <v>0.6956521739</v>
      </c>
      <c r="H86" s="9"/>
      <c r="I86" s="9"/>
      <c r="J86" s="12">
        <f>IFERROR(__xludf.DUMMYFUNCTION("""COMPUTED_VALUE"""),16.0)</f>
        <v>16</v>
      </c>
      <c r="K86" s="9"/>
      <c r="L86" s="9"/>
      <c r="M86" s="9"/>
      <c r="N86" s="13">
        <f>IFERROR(__xludf.DUMMYFUNCTION("""COMPUTED_VALUE"""),0.125)</f>
        <v>0.125</v>
      </c>
      <c r="O86" s="9"/>
      <c r="P86" s="9"/>
      <c r="Q86" s="12">
        <f>IFERROR(__xludf.DUMMYFUNCTION("""COMPUTED_VALUE"""),2.0)</f>
        <v>2</v>
      </c>
      <c r="R86" s="9"/>
      <c r="S86" s="9"/>
      <c r="T86" s="9"/>
      <c r="U86" s="36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2">
        <f>IFERROR(__xludf.DUMMYFUNCTION("""COMPUTED_VALUE"""),1.0)</f>
        <v>1</v>
      </c>
      <c r="D87" s="9"/>
      <c r="E87" s="9"/>
      <c r="F87" s="9"/>
      <c r="G87" s="13">
        <f>IFERROR(__xludf.DUMMYFUNCTION("""COMPUTED_VALUE"""),1.0)</f>
        <v>1</v>
      </c>
      <c r="H87" s="9"/>
      <c r="I87" s="9"/>
      <c r="J87" s="12">
        <f>IFERROR(__xludf.DUMMYFUNCTION("""COMPUTED_VALUE"""),1.0)</f>
        <v>1</v>
      </c>
      <c r="K87" s="9"/>
      <c r="L87" s="9"/>
      <c r="M87" s="9"/>
      <c r="N87" s="13">
        <f>IFERROR(__xludf.DUMMYFUNCTION("""COMPUTED_VALUE"""),1.0)</f>
        <v>1</v>
      </c>
      <c r="O87" s="9"/>
      <c r="P87" s="9"/>
      <c r="Q87" s="12">
        <f>IFERROR(__xludf.DUMMYFUNCTION("""COMPUTED_VALUE"""),1.0)</f>
        <v>1</v>
      </c>
      <c r="R87" s="9"/>
      <c r="S87" s="9"/>
      <c r="T87" s="9"/>
      <c r="U87" s="36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2">
        <f>IFERROR(__xludf.DUMMYFUNCTION("""COMPUTED_VALUE"""),7.0)</f>
        <v>7</v>
      </c>
      <c r="D88" s="9"/>
      <c r="E88" s="9"/>
      <c r="F88" s="9"/>
      <c r="G88" s="13">
        <f>IFERROR(__xludf.DUMMYFUNCTION("""COMPUTED_VALUE"""),0.8571428571428571)</f>
        <v>0.8571428571</v>
      </c>
      <c r="H88" s="9"/>
      <c r="I88" s="9"/>
      <c r="J88" s="12">
        <f>IFERROR(__xludf.DUMMYFUNCTION("""COMPUTED_VALUE"""),6.0)</f>
        <v>6</v>
      </c>
      <c r="K88" s="9"/>
      <c r="L88" s="9"/>
      <c r="M88" s="9"/>
      <c r="N88" s="13">
        <f>IFERROR(__xludf.DUMMYFUNCTION("""COMPUTED_VALUE"""),0.16666666666666666)</f>
        <v>0.1666666667</v>
      </c>
      <c r="O88" s="9"/>
      <c r="P88" s="9"/>
      <c r="Q88" s="12">
        <f>IFERROR(__xludf.DUMMYFUNCTION("""COMPUTED_VALUE"""),1.0)</f>
        <v>1</v>
      </c>
      <c r="R88" s="9"/>
      <c r="S88" s="9"/>
      <c r="T88" s="9"/>
      <c r="U88" s="36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2">
        <f>IFERROR(__xludf.DUMMYFUNCTION("""COMPUTED_VALUE"""),1.0)</f>
        <v>1</v>
      </c>
      <c r="D89" s="9"/>
      <c r="E89" s="9"/>
      <c r="F89" s="9"/>
      <c r="G89" s="13">
        <f>IFERROR(__xludf.DUMMYFUNCTION("""COMPUTED_VALUE"""),1.0)</f>
        <v>1</v>
      </c>
      <c r="H89" s="9"/>
      <c r="I89" s="9"/>
      <c r="J89" s="12">
        <f>IFERROR(__xludf.DUMMYFUNCTION("""COMPUTED_VALUE"""),1.0)</f>
        <v>1</v>
      </c>
      <c r="K89" s="9"/>
      <c r="L89" s="9"/>
      <c r="M89" s="9"/>
      <c r="N89" s="13">
        <f>IFERROR(__xludf.DUMMYFUNCTION("""COMPUTED_VALUE"""),0.0)</f>
        <v>0</v>
      </c>
      <c r="O89" s="9"/>
      <c r="P89" s="9"/>
      <c r="Q89" s="12">
        <f>IFERROR(__xludf.DUMMYFUNCTION("""COMPUTED_VALUE"""),0.0)</f>
        <v>0</v>
      </c>
      <c r="R89" s="9"/>
      <c r="S89" s="9"/>
      <c r="T89" s="9"/>
      <c r="U89" s="36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2">
        <f>IFERROR(__xludf.DUMMYFUNCTION("""COMPUTED_VALUE"""),130.96774193548382)</f>
        <v>130.9677419</v>
      </c>
      <c r="C90" s="12">
        <f>IFERROR(__xludf.DUMMYFUNCTION("""COMPUTED_VALUE"""),125.0)</f>
        <v>125</v>
      </c>
      <c r="D90" s="12">
        <f>IFERROR(__xludf.DUMMYFUNCTION("""COMPUTED_VALUE"""),-5.967741935483815)</f>
        <v>-5.967741935</v>
      </c>
      <c r="E90" s="13">
        <f>IFERROR(__xludf.DUMMYFUNCTION("""COMPUTED_VALUE"""),-0.04556650246305378)</f>
        <v>-0.04556650246</v>
      </c>
      <c r="F90" s="13">
        <f>IFERROR(__xludf.DUMMYFUNCTION("""COMPUTED_VALUE"""),0.7900000000000001)</f>
        <v>0.79</v>
      </c>
      <c r="G90" s="13">
        <f>IFERROR(__xludf.DUMMYFUNCTION("""COMPUTED_VALUE"""),0.768)</f>
        <v>0.768</v>
      </c>
      <c r="H90" s="35">
        <f>IFERROR(__xludf.DUMMYFUNCTION("""COMPUTED_VALUE"""),-2.200000000000013)</f>
        <v>-2.2</v>
      </c>
      <c r="I90" s="12">
        <f>IFERROR(__xludf.DUMMYFUNCTION("""COMPUTED_VALUE"""),103.46451612903223)</f>
        <v>103.4645161</v>
      </c>
      <c r="J90" s="12">
        <f>IFERROR(__xludf.DUMMYFUNCTION("""COMPUTED_VALUE"""),96.0)</f>
        <v>96</v>
      </c>
      <c r="K90" s="12">
        <f>IFERROR(__xludf.DUMMYFUNCTION("""COMPUTED_VALUE"""),-7.4645161290322335)</f>
        <v>-7.464516129</v>
      </c>
      <c r="L90" s="13">
        <f>IFERROR(__xludf.DUMMYFUNCTION("""COMPUTED_VALUE"""),-0.07214566315395625)</f>
        <v>-0.07214566315</v>
      </c>
      <c r="M90" s="13">
        <f>IFERROR(__xludf.DUMMYFUNCTION("""COMPUTED_VALUE"""),0.4151785714285715)</f>
        <v>0.4151785714</v>
      </c>
      <c r="N90" s="13">
        <f>IFERROR(__xludf.DUMMYFUNCTION("""COMPUTED_VALUE"""),0.4270833333333333)</f>
        <v>0.4270833333</v>
      </c>
      <c r="O90" s="35">
        <f>IFERROR(__xludf.DUMMYFUNCTION("""COMPUTED_VALUE"""),1.1904761904761807)</f>
        <v>1.19047619</v>
      </c>
      <c r="P90" s="12">
        <f>IFERROR(__xludf.DUMMYFUNCTION("""COMPUTED_VALUE"""),42.95625)</f>
        <v>42.95625</v>
      </c>
      <c r="Q90" s="12">
        <f>IFERROR(__xludf.DUMMYFUNCTION("""COMPUTED_VALUE"""),41.0)</f>
        <v>41</v>
      </c>
      <c r="R90" s="12">
        <f>IFERROR(__xludf.DUMMYFUNCTION("""COMPUTED_VALUE"""),-1.9562499999999972)</f>
        <v>-1.95625</v>
      </c>
      <c r="S90" s="13">
        <f>IFERROR(__xludf.DUMMYFUNCTION("""COMPUTED_VALUE"""),-0.04554052087880104)</f>
        <v>-0.04554052088</v>
      </c>
      <c r="T90" s="12">
        <f>IFERROR(__xludf.DUMMYFUNCTION("""COMPUTED_VALUE"""),154754.2377975)</f>
        <v>154754.2378</v>
      </c>
      <c r="U90" s="36">
        <f>IFERROR(__xludf.DUMMYFUNCTION("""COMPUTED_VALUE"""),1495.7228196428575)</f>
        <v>1495.72282</v>
      </c>
      <c r="V90" s="36">
        <f>IFERROR(__xludf.DUMMYFUNCTION("""COMPUTED_VALUE"""),-11164.84711178568)</f>
        <v>-11164.84711</v>
      </c>
      <c r="W90" s="13">
        <f>IFERROR(__xludf.DUMMYFUNCTION("""COMPUTED_VALUE"""),-0.07214566315395625)</f>
        <v>-0.07214566315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2">
        <f>IFERROR(__xludf.DUMMYFUNCTION("""COMPUTED_VALUE"""),38.0)</f>
        <v>38</v>
      </c>
      <c r="D91" s="9"/>
      <c r="E91" s="9"/>
      <c r="F91" s="9"/>
      <c r="G91" s="13">
        <f>IFERROR(__xludf.DUMMYFUNCTION("""COMPUTED_VALUE"""),0.7105263157894737)</f>
        <v>0.7105263158</v>
      </c>
      <c r="H91" s="9"/>
      <c r="I91" s="9"/>
      <c r="J91" s="12">
        <f>IFERROR(__xludf.DUMMYFUNCTION("""COMPUTED_VALUE"""),27.0)</f>
        <v>27</v>
      </c>
      <c r="K91" s="9"/>
      <c r="L91" s="9"/>
      <c r="M91" s="9"/>
      <c r="N91" s="13">
        <f>IFERROR(__xludf.DUMMYFUNCTION("""COMPUTED_VALUE"""),0.5925925925925926)</f>
        <v>0.5925925926</v>
      </c>
      <c r="O91" s="9"/>
      <c r="P91" s="9"/>
      <c r="Q91" s="12">
        <f>IFERROR(__xludf.DUMMYFUNCTION("""COMPUTED_VALUE"""),16.0)</f>
        <v>16</v>
      </c>
      <c r="R91" s="9"/>
      <c r="S91" s="9"/>
      <c r="T91" s="9"/>
      <c r="U91" s="36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2">
        <f>IFERROR(__xludf.DUMMYFUNCTION("""COMPUTED_VALUE"""),21.0)</f>
        <v>21</v>
      </c>
      <c r="D92" s="9"/>
      <c r="E92" s="9"/>
      <c r="F92" s="9"/>
      <c r="G92" s="13">
        <f>IFERROR(__xludf.DUMMYFUNCTION("""COMPUTED_VALUE"""),0.9047619047619048)</f>
        <v>0.9047619048</v>
      </c>
      <c r="H92" s="9"/>
      <c r="I92" s="9"/>
      <c r="J92" s="12">
        <f>IFERROR(__xludf.DUMMYFUNCTION("""COMPUTED_VALUE"""),19.0)</f>
        <v>19</v>
      </c>
      <c r="K92" s="9"/>
      <c r="L92" s="9"/>
      <c r="M92" s="9"/>
      <c r="N92" s="13">
        <f>IFERROR(__xludf.DUMMYFUNCTION("""COMPUTED_VALUE"""),0.6842105263157895)</f>
        <v>0.6842105263</v>
      </c>
      <c r="O92" s="9"/>
      <c r="P92" s="9"/>
      <c r="Q92" s="12">
        <f>IFERROR(__xludf.DUMMYFUNCTION("""COMPUTED_VALUE"""),13.0)</f>
        <v>13</v>
      </c>
      <c r="R92" s="9"/>
      <c r="S92" s="9"/>
      <c r="T92" s="9"/>
      <c r="U92" s="36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2">
        <f>IFERROR(__xludf.DUMMYFUNCTION("""COMPUTED_VALUE"""),25.0)</f>
        <v>25</v>
      </c>
      <c r="D93" s="9"/>
      <c r="E93" s="9"/>
      <c r="F93" s="9"/>
      <c r="G93" s="13">
        <f>IFERROR(__xludf.DUMMYFUNCTION("""COMPUTED_VALUE"""),0.88)</f>
        <v>0.88</v>
      </c>
      <c r="H93" s="9"/>
      <c r="I93" s="9"/>
      <c r="J93" s="12">
        <f>IFERROR(__xludf.DUMMYFUNCTION("""COMPUTED_VALUE"""),22.0)</f>
        <v>22</v>
      </c>
      <c r="K93" s="9"/>
      <c r="L93" s="9"/>
      <c r="M93" s="9"/>
      <c r="N93" s="13">
        <f>IFERROR(__xludf.DUMMYFUNCTION("""COMPUTED_VALUE"""),0.5454545454545454)</f>
        <v>0.5454545455</v>
      </c>
      <c r="O93" s="9"/>
      <c r="P93" s="9"/>
      <c r="Q93" s="12">
        <f>IFERROR(__xludf.DUMMYFUNCTION("""COMPUTED_VALUE"""),12.0)</f>
        <v>12</v>
      </c>
      <c r="R93" s="9"/>
      <c r="S93" s="9"/>
      <c r="T93" s="9"/>
      <c r="U93" s="36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2">
        <f>IFERROR(__xludf.DUMMYFUNCTION("""COMPUTED_VALUE"""),33.0)</f>
        <v>33</v>
      </c>
      <c r="D94" s="9"/>
      <c r="E94" s="9"/>
      <c r="F94" s="9"/>
      <c r="G94" s="13">
        <f>IFERROR(__xludf.DUMMYFUNCTION("""COMPUTED_VALUE"""),0.7272727272727273)</f>
        <v>0.7272727273</v>
      </c>
      <c r="H94" s="9"/>
      <c r="I94" s="9"/>
      <c r="J94" s="12">
        <f>IFERROR(__xludf.DUMMYFUNCTION("""COMPUTED_VALUE"""),24.0)</f>
        <v>24</v>
      </c>
      <c r="K94" s="9"/>
      <c r="L94" s="9"/>
      <c r="M94" s="9"/>
      <c r="N94" s="13">
        <f>IFERROR(__xludf.DUMMYFUNCTION("""COMPUTED_VALUE"""),0.5)</f>
        <v>0.5</v>
      </c>
      <c r="O94" s="9"/>
      <c r="P94" s="9"/>
      <c r="Q94" s="12">
        <f>IFERROR(__xludf.DUMMYFUNCTION("""COMPUTED_VALUE"""),12.0)</f>
        <v>12</v>
      </c>
      <c r="R94" s="9"/>
      <c r="S94" s="9"/>
      <c r="T94" s="9"/>
      <c r="U94" s="36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2">
        <f>IFERROR(__xludf.DUMMYFUNCTION("""COMPUTED_VALUE"""),49.0)</f>
        <v>49</v>
      </c>
      <c r="D95" s="9"/>
      <c r="E95" s="9"/>
      <c r="F95" s="9"/>
      <c r="G95" s="13">
        <f>IFERROR(__xludf.DUMMYFUNCTION("""COMPUTED_VALUE"""),0.7959183673469388)</f>
        <v>0.7959183673</v>
      </c>
      <c r="H95" s="9"/>
      <c r="I95" s="9"/>
      <c r="J95" s="12">
        <f>IFERROR(__xludf.DUMMYFUNCTION("""COMPUTED_VALUE"""),39.0)</f>
        <v>39</v>
      </c>
      <c r="K95" s="9"/>
      <c r="L95" s="9"/>
      <c r="M95" s="9"/>
      <c r="N95" s="13">
        <f>IFERROR(__xludf.DUMMYFUNCTION("""COMPUTED_VALUE"""),0.3076923076923077)</f>
        <v>0.3076923077</v>
      </c>
      <c r="O95" s="9"/>
      <c r="P95" s="9"/>
      <c r="Q95" s="12">
        <f>IFERROR(__xludf.DUMMYFUNCTION("""COMPUTED_VALUE"""),12.0)</f>
        <v>12</v>
      </c>
      <c r="R95" s="9"/>
      <c r="S95" s="9"/>
      <c r="T95" s="9"/>
      <c r="U95" s="36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2">
        <f>IFERROR(__xludf.DUMMYFUNCTION("""COMPUTED_VALUE"""),29.0)</f>
        <v>29</v>
      </c>
      <c r="D96" s="9"/>
      <c r="E96" s="9"/>
      <c r="F96" s="9"/>
      <c r="G96" s="13">
        <f>IFERROR(__xludf.DUMMYFUNCTION("""COMPUTED_VALUE"""),0.6551724137931034)</f>
        <v>0.6551724138</v>
      </c>
      <c r="H96" s="9"/>
      <c r="I96" s="9"/>
      <c r="J96" s="12">
        <f>IFERROR(__xludf.DUMMYFUNCTION("""COMPUTED_VALUE"""),19.0)</f>
        <v>19</v>
      </c>
      <c r="K96" s="9"/>
      <c r="L96" s="9"/>
      <c r="M96" s="9"/>
      <c r="N96" s="13">
        <f>IFERROR(__xludf.DUMMYFUNCTION("""COMPUTED_VALUE"""),0.5263157894736842)</f>
        <v>0.5263157895</v>
      </c>
      <c r="O96" s="9"/>
      <c r="P96" s="9"/>
      <c r="Q96" s="12">
        <f>IFERROR(__xludf.DUMMYFUNCTION("""COMPUTED_VALUE"""),10.0)</f>
        <v>10</v>
      </c>
      <c r="R96" s="9"/>
      <c r="S96" s="9"/>
      <c r="T96" s="9"/>
      <c r="U96" s="36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2">
        <f>IFERROR(__xludf.DUMMYFUNCTION("""COMPUTED_VALUE"""),27.0)</f>
        <v>27</v>
      </c>
      <c r="D97" s="9"/>
      <c r="E97" s="9"/>
      <c r="F97" s="9"/>
      <c r="G97" s="13">
        <f>IFERROR(__xludf.DUMMYFUNCTION("""COMPUTED_VALUE"""),0.8148148148148148)</f>
        <v>0.8148148148</v>
      </c>
      <c r="H97" s="9"/>
      <c r="I97" s="9"/>
      <c r="J97" s="12">
        <f>IFERROR(__xludf.DUMMYFUNCTION("""COMPUTED_VALUE"""),22.0)</f>
        <v>22</v>
      </c>
      <c r="K97" s="9"/>
      <c r="L97" s="9"/>
      <c r="M97" s="9"/>
      <c r="N97" s="13">
        <f>IFERROR(__xludf.DUMMYFUNCTION("""COMPUTED_VALUE"""),0.4090909090909091)</f>
        <v>0.4090909091</v>
      </c>
      <c r="O97" s="9"/>
      <c r="P97" s="9"/>
      <c r="Q97" s="12">
        <f>IFERROR(__xludf.DUMMYFUNCTION("""COMPUTED_VALUE"""),9.0)</f>
        <v>9</v>
      </c>
      <c r="R97" s="9"/>
      <c r="S97" s="9"/>
      <c r="T97" s="9"/>
      <c r="U97" s="36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2">
        <f>IFERROR(__xludf.DUMMYFUNCTION("""COMPUTED_VALUE"""),25.0)</f>
        <v>25</v>
      </c>
      <c r="D98" s="9"/>
      <c r="E98" s="9"/>
      <c r="F98" s="9"/>
      <c r="G98" s="13">
        <f>IFERROR(__xludf.DUMMYFUNCTION("""COMPUTED_VALUE"""),0.88)</f>
        <v>0.88</v>
      </c>
      <c r="H98" s="9"/>
      <c r="I98" s="9"/>
      <c r="J98" s="12">
        <f>IFERROR(__xludf.DUMMYFUNCTION("""COMPUTED_VALUE"""),22.0)</f>
        <v>22</v>
      </c>
      <c r="K98" s="9"/>
      <c r="L98" s="9"/>
      <c r="M98" s="9"/>
      <c r="N98" s="13">
        <f>IFERROR(__xludf.DUMMYFUNCTION("""COMPUTED_VALUE"""),0.4090909090909091)</f>
        <v>0.4090909091</v>
      </c>
      <c r="O98" s="9"/>
      <c r="P98" s="9"/>
      <c r="Q98" s="12">
        <f>IFERROR(__xludf.DUMMYFUNCTION("""COMPUTED_VALUE"""),9.0)</f>
        <v>9</v>
      </c>
      <c r="R98" s="9"/>
      <c r="S98" s="9"/>
      <c r="T98" s="9"/>
      <c r="U98" s="36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2">
        <f>IFERROR(__xludf.DUMMYFUNCTION("""COMPUTED_VALUE"""),26.0)</f>
        <v>26</v>
      </c>
      <c r="D99" s="9"/>
      <c r="E99" s="9"/>
      <c r="F99" s="9"/>
      <c r="G99" s="13">
        <f>IFERROR(__xludf.DUMMYFUNCTION("""COMPUTED_VALUE"""),0.9615384615384616)</f>
        <v>0.9615384615</v>
      </c>
      <c r="H99" s="9"/>
      <c r="I99" s="9"/>
      <c r="J99" s="12">
        <f>IFERROR(__xludf.DUMMYFUNCTION("""COMPUTED_VALUE"""),25.0)</f>
        <v>25</v>
      </c>
      <c r="K99" s="9"/>
      <c r="L99" s="9"/>
      <c r="M99" s="9"/>
      <c r="N99" s="13">
        <f>IFERROR(__xludf.DUMMYFUNCTION("""COMPUTED_VALUE"""),0.28)</f>
        <v>0.28</v>
      </c>
      <c r="O99" s="9"/>
      <c r="P99" s="9"/>
      <c r="Q99" s="12">
        <f>IFERROR(__xludf.DUMMYFUNCTION("""COMPUTED_VALUE"""),7.0)</f>
        <v>7</v>
      </c>
      <c r="R99" s="9"/>
      <c r="S99" s="9"/>
      <c r="T99" s="9"/>
      <c r="U99" s="36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2">
        <f>IFERROR(__xludf.DUMMYFUNCTION("""COMPUTED_VALUE"""),2.0)</f>
        <v>2</v>
      </c>
      <c r="D100" s="9"/>
      <c r="E100" s="9"/>
      <c r="F100" s="9"/>
      <c r="G100" s="13">
        <f>IFERROR(__xludf.DUMMYFUNCTION("""COMPUTED_VALUE"""),1.0)</f>
        <v>1</v>
      </c>
      <c r="H100" s="9"/>
      <c r="I100" s="9"/>
      <c r="J100" s="12">
        <f>IFERROR(__xludf.DUMMYFUNCTION("""COMPUTED_VALUE"""),2.0)</f>
        <v>2</v>
      </c>
      <c r="K100" s="9"/>
      <c r="L100" s="9"/>
      <c r="M100" s="9"/>
      <c r="N100" s="13">
        <f>IFERROR(__xludf.DUMMYFUNCTION("""COMPUTED_VALUE"""),1.0)</f>
        <v>1</v>
      </c>
      <c r="O100" s="9"/>
      <c r="P100" s="9"/>
      <c r="Q100" s="12">
        <f>IFERROR(__xludf.DUMMYFUNCTION("""COMPUTED_VALUE"""),2.0)</f>
        <v>2</v>
      </c>
      <c r="R100" s="9"/>
      <c r="S100" s="9"/>
      <c r="T100" s="9"/>
      <c r="U100" s="36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2">
        <f>IFERROR(__xludf.DUMMYFUNCTION("""COMPUTED_VALUE"""),7.0)</f>
        <v>7</v>
      </c>
      <c r="D101" s="9"/>
      <c r="E101" s="9"/>
      <c r="F101" s="9"/>
      <c r="G101" s="13">
        <f>IFERROR(__xludf.DUMMYFUNCTION("""COMPUTED_VALUE"""),0.8571428571428571)</f>
        <v>0.8571428571</v>
      </c>
      <c r="H101" s="9"/>
      <c r="I101" s="9"/>
      <c r="J101" s="12">
        <f>IFERROR(__xludf.DUMMYFUNCTION("""COMPUTED_VALUE"""),6.0)</f>
        <v>6</v>
      </c>
      <c r="K101" s="9"/>
      <c r="L101" s="9"/>
      <c r="M101" s="9"/>
      <c r="N101" s="13">
        <f>IFERROR(__xludf.DUMMYFUNCTION("""COMPUTED_VALUE"""),0.3333333333333333)</f>
        <v>0.3333333333</v>
      </c>
      <c r="O101" s="9"/>
      <c r="P101" s="9"/>
      <c r="Q101" s="12">
        <f>IFERROR(__xludf.DUMMYFUNCTION("""COMPUTED_VALUE"""),2.0)</f>
        <v>2</v>
      </c>
      <c r="R101" s="9"/>
      <c r="S101" s="9"/>
      <c r="T101" s="9"/>
      <c r="U101" s="36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2">
        <f>IFERROR(__xludf.DUMMYFUNCTION("""COMPUTED_VALUE"""),1.0)</f>
        <v>1</v>
      </c>
      <c r="D102" s="9"/>
      <c r="E102" s="9"/>
      <c r="F102" s="9"/>
      <c r="G102" s="13">
        <f>IFERROR(__xludf.DUMMYFUNCTION("""COMPUTED_VALUE"""),1.0)</f>
        <v>1</v>
      </c>
      <c r="H102" s="9"/>
      <c r="I102" s="9"/>
      <c r="J102" s="12">
        <f>IFERROR(__xludf.DUMMYFUNCTION("""COMPUTED_VALUE"""),1.0)</f>
        <v>1</v>
      </c>
      <c r="K102" s="9"/>
      <c r="L102" s="9"/>
      <c r="M102" s="9"/>
      <c r="N102" s="13">
        <f>IFERROR(__xludf.DUMMYFUNCTION("""COMPUTED_VALUE"""),0.0)</f>
        <v>0</v>
      </c>
      <c r="O102" s="9"/>
      <c r="P102" s="9"/>
      <c r="Q102" s="12">
        <f>IFERROR(__xludf.DUMMYFUNCTION("""COMPUTED_VALUE"""),0.0)</f>
        <v>0</v>
      </c>
      <c r="R102" s="9"/>
      <c r="S102" s="9"/>
      <c r="T102" s="9"/>
      <c r="U102" s="36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2">
        <f>IFERROR(__xludf.DUMMYFUNCTION("""COMPUTED_VALUE"""),1.0)</f>
        <v>1</v>
      </c>
      <c r="D103" s="9"/>
      <c r="E103" s="9"/>
      <c r="F103" s="9"/>
      <c r="G103" s="13">
        <f>IFERROR(__xludf.DUMMYFUNCTION("""COMPUTED_VALUE"""),0.0)</f>
        <v>0</v>
      </c>
      <c r="H103" s="9"/>
      <c r="I103" s="9"/>
      <c r="J103" s="12">
        <f>IFERROR(__xludf.DUMMYFUNCTION("""COMPUTED_VALUE"""),0.0)</f>
        <v>0</v>
      </c>
      <c r="K103" s="9"/>
      <c r="L103" s="9"/>
      <c r="M103" s="9"/>
      <c r="N103" s="13">
        <f>IFERROR(__xludf.DUMMYFUNCTION("""COMPUTED_VALUE"""),0.0)</f>
        <v>0</v>
      </c>
      <c r="O103" s="9"/>
      <c r="P103" s="9"/>
      <c r="Q103" s="12">
        <f>IFERROR(__xludf.DUMMYFUNCTION("""COMPUTED_VALUE"""),0.0)</f>
        <v>0</v>
      </c>
      <c r="R103" s="9"/>
      <c r="S103" s="9"/>
      <c r="T103" s="9"/>
      <c r="U103" s="36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2">
        <f>IFERROR(__xludf.DUMMYFUNCTION("""COMPUTED_VALUE"""),1.0)</f>
        <v>1</v>
      </c>
      <c r="D104" s="9"/>
      <c r="E104" s="9"/>
      <c r="F104" s="9"/>
      <c r="G104" s="13">
        <f>IFERROR(__xludf.DUMMYFUNCTION("""COMPUTED_VALUE"""),2.0)</f>
        <v>2</v>
      </c>
      <c r="H104" s="9"/>
      <c r="I104" s="9"/>
      <c r="J104" s="12">
        <f>IFERROR(__xludf.DUMMYFUNCTION("""COMPUTED_VALUE"""),2.0)</f>
        <v>2</v>
      </c>
      <c r="K104" s="9"/>
      <c r="L104" s="9"/>
      <c r="M104" s="9"/>
      <c r="N104" s="13">
        <f>IFERROR(__xludf.DUMMYFUNCTION("""COMPUTED_VALUE"""),0.0)</f>
        <v>0</v>
      </c>
      <c r="O104" s="9"/>
      <c r="P104" s="9"/>
      <c r="Q104" s="12">
        <f>IFERROR(__xludf.DUMMYFUNCTION("""COMPUTED_VALUE"""),0.0)</f>
        <v>0</v>
      </c>
      <c r="R104" s="9"/>
      <c r="S104" s="9"/>
      <c r="T104" s="9"/>
      <c r="U104" s="36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2">
        <f>IFERROR(__xludf.DUMMYFUNCTION("""COMPUTED_VALUE"""),263.01935483870955)</f>
        <v>263.0193548</v>
      </c>
      <c r="C105" s="12">
        <f>IFERROR(__xludf.DUMMYFUNCTION("""COMPUTED_VALUE"""),262.0)</f>
        <v>262</v>
      </c>
      <c r="D105" s="12">
        <f>IFERROR(__xludf.DUMMYFUNCTION("""COMPUTED_VALUE"""),-1.0193548387095461)</f>
        <v>-1.019354839</v>
      </c>
      <c r="E105" s="13">
        <f>IFERROR(__xludf.DUMMYFUNCTION("""COMPUTED_VALUE"""),-0.0038755886970167712)</f>
        <v>-0.003875588697</v>
      </c>
      <c r="F105" s="13">
        <f>IFERROR(__xludf.DUMMYFUNCTION("""COMPUTED_VALUE"""),0.5817307692307692)</f>
        <v>0.5817307692</v>
      </c>
      <c r="G105" s="13">
        <f>IFERROR(__xludf.DUMMYFUNCTION("""COMPUTED_VALUE"""),0.6297709923664122)</f>
        <v>0.6297709924</v>
      </c>
      <c r="H105" s="35">
        <f>IFERROR(__xludf.DUMMYFUNCTION("""COMPUTED_VALUE"""),4.804022313564305)</f>
        <v>4.804022314</v>
      </c>
      <c r="I105" s="12">
        <f>IFERROR(__xludf.DUMMYFUNCTION("""COMPUTED_VALUE"""),153.00645161290313)</f>
        <v>153.0064516</v>
      </c>
      <c r="J105" s="12">
        <f>IFERROR(__xludf.DUMMYFUNCTION("""COMPUTED_VALUE"""),165.0)</f>
        <v>165</v>
      </c>
      <c r="K105" s="12">
        <f>IFERROR(__xludf.DUMMYFUNCTION("""COMPUTED_VALUE"""),11.993548387096865)</f>
        <v>11.99354839</v>
      </c>
      <c r="L105" s="13">
        <f>IFERROR(__xludf.DUMMYFUNCTION("""COMPUTED_VALUE"""),0.07838589981447189)</f>
        <v>0.07838589981</v>
      </c>
      <c r="M105" s="13">
        <f>IFERROR(__xludf.DUMMYFUNCTION("""COMPUTED_VALUE"""),0.4895218417945692)</f>
        <v>0.4895218418</v>
      </c>
      <c r="N105" s="13">
        <f>IFERROR(__xludf.DUMMYFUNCTION("""COMPUTED_VALUE"""),0.5212121212121212)</f>
        <v>0.5212121212</v>
      </c>
      <c r="O105" s="35">
        <f>IFERROR(__xludf.DUMMYFUNCTION("""COMPUTED_VALUE"""),3.1690279417552034)</f>
        <v>3.169027942</v>
      </c>
      <c r="P105" s="12">
        <f>IFERROR(__xludf.DUMMYFUNCTION("""COMPUTED_VALUE"""),74.89999999999998)</f>
        <v>74.9</v>
      </c>
      <c r="Q105" s="12">
        <f>IFERROR(__xludf.DUMMYFUNCTION("""COMPUTED_VALUE"""),86.0)</f>
        <v>86</v>
      </c>
      <c r="R105" s="12">
        <f>IFERROR(__xludf.DUMMYFUNCTION("""COMPUTED_VALUE"""),11.100000000000023)</f>
        <v>11.1</v>
      </c>
      <c r="S105" s="13">
        <f>IFERROR(__xludf.DUMMYFUNCTION("""COMPUTED_VALUE"""),0.148197596795728)</f>
        <v>0.1481975968</v>
      </c>
      <c r="T105" s="12">
        <f>IFERROR(__xludf.DUMMYFUNCTION("""COMPUTED_VALUE"""),298523.4)</f>
        <v>298523.4</v>
      </c>
      <c r="U105" s="36">
        <f>IFERROR(__xludf.DUMMYFUNCTION("""COMPUTED_VALUE"""),1951.0510625737911)</f>
        <v>1951.051063</v>
      </c>
      <c r="V105" s="36">
        <f>IFERROR(__xludf.DUMMYFUNCTION("""COMPUTED_VALUE"""),23400.025324675516)</f>
        <v>23400.02532</v>
      </c>
      <c r="W105" s="13">
        <f>IFERROR(__xludf.DUMMYFUNCTION("""COMPUTED_VALUE"""),0.07838589981447187)</f>
        <v>0.07838589981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2" t="str">
        <f>IFERROR(__xludf.DUMMYFUNCTION("""COMPUTED_VALUE"""),"#REF!")</f>
        <v>#REF!</v>
      </c>
      <c r="D106" s="9"/>
      <c r="E106" s="9"/>
      <c r="F106" s="9"/>
      <c r="G106" s="13" t="str">
        <f>IFERROR(__xludf.DUMMYFUNCTION("""COMPUTED_VALUE"""),"#REF!")</f>
        <v>#REF!</v>
      </c>
      <c r="H106" s="9"/>
      <c r="I106" s="9"/>
      <c r="J106" s="12" t="str">
        <f>IFERROR(__xludf.DUMMYFUNCTION("""COMPUTED_VALUE"""),"#REF!")</f>
        <v>#REF!</v>
      </c>
      <c r="K106" s="9"/>
      <c r="L106" s="9"/>
      <c r="M106" s="9"/>
      <c r="N106" s="13" t="str">
        <f>IFERROR(__xludf.DUMMYFUNCTION("""COMPUTED_VALUE"""),"#REF!")</f>
        <v>#REF!</v>
      </c>
      <c r="O106" s="9"/>
      <c r="P106" s="9"/>
      <c r="Q106" s="12" t="str">
        <f>IFERROR(__xludf.DUMMYFUNCTION("""COMPUTED_VALUE"""),"#REF!")</f>
        <v>#REF!</v>
      </c>
      <c r="R106" s="9"/>
      <c r="S106" s="9"/>
      <c r="T106" s="9"/>
      <c r="U106" s="36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6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6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6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6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6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6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6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6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6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6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6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6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6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6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6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6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2">
        <f>IFERROR(__xludf.DUMMYFUNCTION("""COMPUTED_VALUE"""),97.50322580645158)</f>
        <v>97.50322581</v>
      </c>
      <c r="C124" s="12">
        <f>IFERROR(__xludf.DUMMYFUNCTION("""COMPUTED_VALUE"""),62.0)</f>
        <v>62</v>
      </c>
      <c r="D124" s="12">
        <f>IFERROR(__xludf.DUMMYFUNCTION("""COMPUTED_VALUE"""),-35.50322580645158)</f>
        <v>-35.50322581</v>
      </c>
      <c r="E124" s="13">
        <f>IFERROR(__xludf.DUMMYFUNCTION("""COMPUTED_VALUE"""),-0.364123602196784)</f>
        <v>-0.3641236022</v>
      </c>
      <c r="F124" s="13">
        <f>IFERROR(__xludf.DUMMYFUNCTION("""COMPUTED_VALUE"""),0.716535433070866)</f>
        <v>0.7165354331</v>
      </c>
      <c r="G124" s="13">
        <f>IFERROR(__xludf.DUMMYFUNCTION("""COMPUTED_VALUE"""),0.7419354838709677)</f>
        <v>0.7419354839</v>
      </c>
      <c r="H124" s="35">
        <f>IFERROR(__xludf.DUMMYFUNCTION("""COMPUTED_VALUE"""),2.540005080010177)</f>
        <v>2.54000508</v>
      </c>
      <c r="I124" s="12">
        <f>IFERROR(__xludf.DUMMYFUNCTION("""COMPUTED_VALUE"""),69.86451612903222)</f>
        <v>69.86451613</v>
      </c>
      <c r="J124" s="12">
        <f>IFERROR(__xludf.DUMMYFUNCTION("""COMPUTED_VALUE"""),46.0)</f>
        <v>46</v>
      </c>
      <c r="K124" s="12">
        <f>IFERROR(__xludf.DUMMYFUNCTION("""COMPUTED_VALUE"""),-23.864516129032225)</f>
        <v>-23.86451613</v>
      </c>
      <c r="L124" s="13">
        <f>IFERROR(__xludf.DUMMYFUNCTION("""COMPUTED_VALUE"""),-0.3415827869609379)</f>
        <v>-0.341582787</v>
      </c>
      <c r="M124" s="13">
        <f>IFERROR(__xludf.DUMMYFUNCTION("""COMPUTED_VALUE"""),0.425824175824176)</f>
        <v>0.4258241758</v>
      </c>
      <c r="N124" s="13">
        <f>IFERROR(__xludf.DUMMYFUNCTION("""COMPUTED_VALUE"""),0.30434782608695654)</f>
        <v>0.3043478261</v>
      </c>
      <c r="O124" s="35">
        <f>IFERROR(__xludf.DUMMYFUNCTION("""COMPUTED_VALUE"""),-12.147634973721944)</f>
        <v>-12.14763497</v>
      </c>
      <c r="P124" s="12">
        <f>IFERROR(__xludf.DUMMYFUNCTION("""COMPUTED_VALUE"""),29.749999999999996)</f>
        <v>29.75</v>
      </c>
      <c r="Q124" s="12">
        <f>IFERROR(__xludf.DUMMYFUNCTION("""COMPUTED_VALUE"""),14.0)</f>
        <v>14</v>
      </c>
      <c r="R124" s="12">
        <f>IFERROR(__xludf.DUMMYFUNCTION("""COMPUTED_VALUE"""),-15.749999999999996)</f>
        <v>-15.75</v>
      </c>
      <c r="S124" s="13">
        <f>IFERROR(__xludf.DUMMYFUNCTION("""COMPUTED_VALUE"""),-0.5294117647058822)</f>
        <v>-0.5294117647</v>
      </c>
      <c r="T124" s="12">
        <f>IFERROR(__xludf.DUMMYFUNCTION("""COMPUTED_VALUE"""),111159.396)</f>
        <v>111159.396</v>
      </c>
      <c r="U124" s="36">
        <f>IFERROR(__xludf.DUMMYFUNCTION("""COMPUTED_VALUE"""),1591.0708634222926)</f>
        <v>1591.070863</v>
      </c>
      <c r="V124" s="36">
        <f>IFERROR(__xludf.DUMMYFUNCTION("""COMPUTED_VALUE"""),-37970.13628257453)</f>
        <v>-37970.13628</v>
      </c>
      <c r="W124" s="13">
        <f>IFERROR(__xludf.DUMMYFUNCTION("""COMPUTED_VALUE"""),-0.3415827869609379)</f>
        <v>-0.341582787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2">
        <f>IFERROR(__xludf.DUMMYFUNCTION("""COMPUTED_VALUE"""),12.0)</f>
        <v>12</v>
      </c>
      <c r="D125" s="9"/>
      <c r="E125" s="9"/>
      <c r="F125" s="9"/>
      <c r="G125" s="13">
        <f>IFERROR(__xludf.DUMMYFUNCTION("""COMPUTED_VALUE"""),1.0)</f>
        <v>1</v>
      </c>
      <c r="H125" s="9"/>
      <c r="I125" s="9"/>
      <c r="J125" s="12">
        <f>IFERROR(__xludf.DUMMYFUNCTION("""COMPUTED_VALUE"""),12.0)</f>
        <v>12</v>
      </c>
      <c r="K125" s="9"/>
      <c r="L125" s="9"/>
      <c r="M125" s="9"/>
      <c r="N125" s="13">
        <f>IFERROR(__xludf.DUMMYFUNCTION("""COMPUTED_VALUE"""),0.5833333333333334)</f>
        <v>0.5833333333</v>
      </c>
      <c r="O125" s="9"/>
      <c r="P125" s="9"/>
      <c r="Q125" s="12">
        <f>IFERROR(__xludf.DUMMYFUNCTION("""COMPUTED_VALUE"""),7.0)</f>
        <v>7</v>
      </c>
      <c r="R125" s="9"/>
      <c r="S125" s="9"/>
      <c r="T125" s="9"/>
      <c r="U125" s="36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2">
        <f>IFERROR(__xludf.DUMMYFUNCTION("""COMPUTED_VALUE"""),9.0)</f>
        <v>9</v>
      </c>
      <c r="D126" s="9"/>
      <c r="E126" s="9"/>
      <c r="F126" s="9"/>
      <c r="G126" s="13">
        <f>IFERROR(__xludf.DUMMYFUNCTION("""COMPUTED_VALUE"""),0.7777777777777778)</f>
        <v>0.7777777778</v>
      </c>
      <c r="H126" s="9"/>
      <c r="I126" s="9"/>
      <c r="J126" s="12">
        <f>IFERROR(__xludf.DUMMYFUNCTION("""COMPUTED_VALUE"""),7.0)</f>
        <v>7</v>
      </c>
      <c r="K126" s="9"/>
      <c r="L126" s="9"/>
      <c r="M126" s="9"/>
      <c r="N126" s="13">
        <f>IFERROR(__xludf.DUMMYFUNCTION("""COMPUTED_VALUE"""),0.7142857142857143)</f>
        <v>0.7142857143</v>
      </c>
      <c r="O126" s="9"/>
      <c r="P126" s="9"/>
      <c r="Q126" s="12">
        <f>IFERROR(__xludf.DUMMYFUNCTION("""COMPUTED_VALUE"""),5.0)</f>
        <v>5</v>
      </c>
      <c r="R126" s="9"/>
      <c r="S126" s="9"/>
      <c r="T126" s="9"/>
      <c r="U126" s="36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2">
        <f>IFERROR(__xludf.DUMMYFUNCTION("""COMPUTED_VALUE"""),12.0)</f>
        <v>12</v>
      </c>
      <c r="D127" s="9"/>
      <c r="E127" s="9"/>
      <c r="F127" s="9"/>
      <c r="G127" s="13">
        <f>IFERROR(__xludf.DUMMYFUNCTION("""COMPUTED_VALUE"""),0.8333333333333334)</f>
        <v>0.8333333333</v>
      </c>
      <c r="H127" s="9"/>
      <c r="I127" s="9"/>
      <c r="J127" s="12">
        <f>IFERROR(__xludf.DUMMYFUNCTION("""COMPUTED_VALUE"""),10.0)</f>
        <v>10</v>
      </c>
      <c r="K127" s="9"/>
      <c r="L127" s="9"/>
      <c r="M127" s="9"/>
      <c r="N127" s="13">
        <f>IFERROR(__xludf.DUMMYFUNCTION("""COMPUTED_VALUE"""),0.4)</f>
        <v>0.4</v>
      </c>
      <c r="O127" s="9"/>
      <c r="P127" s="9"/>
      <c r="Q127" s="12">
        <f>IFERROR(__xludf.DUMMYFUNCTION("""COMPUTED_VALUE"""),4.0)</f>
        <v>4</v>
      </c>
      <c r="R127" s="9"/>
      <c r="S127" s="9"/>
      <c r="T127" s="9"/>
      <c r="U127" s="36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2">
        <f>IFERROR(__xludf.DUMMYFUNCTION("""COMPUTED_VALUE"""),12.0)</f>
        <v>12</v>
      </c>
      <c r="D128" s="9"/>
      <c r="E128" s="9"/>
      <c r="F128" s="9"/>
      <c r="G128" s="13">
        <f>IFERROR(__xludf.DUMMYFUNCTION("""COMPUTED_VALUE"""),0.9166666666666666)</f>
        <v>0.9166666667</v>
      </c>
      <c r="H128" s="9"/>
      <c r="I128" s="9"/>
      <c r="J128" s="12">
        <f>IFERROR(__xludf.DUMMYFUNCTION("""COMPUTED_VALUE"""),11.0)</f>
        <v>11</v>
      </c>
      <c r="K128" s="9"/>
      <c r="L128" s="9"/>
      <c r="M128" s="9"/>
      <c r="N128" s="13">
        <f>IFERROR(__xludf.DUMMYFUNCTION("""COMPUTED_VALUE"""),0.2727272727272727)</f>
        <v>0.2727272727</v>
      </c>
      <c r="O128" s="9"/>
      <c r="P128" s="9"/>
      <c r="Q128" s="12">
        <f>IFERROR(__xludf.DUMMYFUNCTION("""COMPUTED_VALUE"""),3.0)</f>
        <v>3</v>
      </c>
      <c r="R128" s="9"/>
      <c r="S128" s="9"/>
      <c r="T128" s="9"/>
      <c r="U128" s="36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2">
        <f>IFERROR(__xludf.DUMMYFUNCTION("""COMPUTED_VALUE"""),14.0)</f>
        <v>14</v>
      </c>
      <c r="D129" s="9"/>
      <c r="E129" s="9"/>
      <c r="F129" s="9"/>
      <c r="G129" s="13">
        <f>IFERROR(__xludf.DUMMYFUNCTION("""COMPUTED_VALUE"""),0.5)</f>
        <v>0.5</v>
      </c>
      <c r="H129" s="9"/>
      <c r="I129" s="9"/>
      <c r="J129" s="12">
        <f>IFERROR(__xludf.DUMMYFUNCTION("""COMPUTED_VALUE"""),7.0)</f>
        <v>7</v>
      </c>
      <c r="K129" s="9"/>
      <c r="L129" s="9"/>
      <c r="M129" s="9"/>
      <c r="N129" s="13">
        <f>IFERROR(__xludf.DUMMYFUNCTION("""COMPUTED_VALUE"""),0.2857142857142857)</f>
        <v>0.2857142857</v>
      </c>
      <c r="O129" s="9"/>
      <c r="P129" s="9"/>
      <c r="Q129" s="12">
        <f>IFERROR(__xludf.DUMMYFUNCTION("""COMPUTED_VALUE"""),2.0)</f>
        <v>2</v>
      </c>
      <c r="R129" s="9"/>
      <c r="S129" s="9"/>
      <c r="T129" s="9"/>
      <c r="U129" s="36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2">
        <f>IFERROR(__xludf.DUMMYFUNCTION("""COMPUTED_VALUE"""),12.0)</f>
        <v>12</v>
      </c>
      <c r="D130" s="9"/>
      <c r="E130" s="9"/>
      <c r="F130" s="9"/>
      <c r="G130" s="13">
        <f>IFERROR(__xludf.DUMMYFUNCTION("""COMPUTED_VALUE"""),0.6666666666666666)</f>
        <v>0.6666666667</v>
      </c>
      <c r="H130" s="9"/>
      <c r="I130" s="9"/>
      <c r="J130" s="12">
        <f>IFERROR(__xludf.DUMMYFUNCTION("""COMPUTED_VALUE"""),8.0)</f>
        <v>8</v>
      </c>
      <c r="K130" s="9"/>
      <c r="L130" s="9"/>
      <c r="M130" s="9"/>
      <c r="N130" s="13">
        <f>IFERROR(__xludf.DUMMYFUNCTION("""COMPUTED_VALUE"""),0.25)</f>
        <v>0.25</v>
      </c>
      <c r="O130" s="9"/>
      <c r="P130" s="9"/>
      <c r="Q130" s="12">
        <f>IFERROR(__xludf.DUMMYFUNCTION("""COMPUTED_VALUE"""),2.0)</f>
        <v>2</v>
      </c>
      <c r="R130" s="9"/>
      <c r="S130" s="9"/>
      <c r="T130" s="9"/>
      <c r="U130" s="36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2">
        <f>IFERROR(__xludf.DUMMYFUNCTION("""COMPUTED_VALUE"""),12.0)</f>
        <v>12</v>
      </c>
      <c r="D131" s="9"/>
      <c r="E131" s="9"/>
      <c r="F131" s="9"/>
      <c r="G131" s="13">
        <f>IFERROR(__xludf.DUMMYFUNCTION("""COMPUTED_VALUE"""),0.6666666666666666)</f>
        <v>0.6666666667</v>
      </c>
      <c r="H131" s="9"/>
      <c r="I131" s="9"/>
      <c r="J131" s="12">
        <f>IFERROR(__xludf.DUMMYFUNCTION("""COMPUTED_VALUE"""),8.0)</f>
        <v>8</v>
      </c>
      <c r="K131" s="9"/>
      <c r="L131" s="9"/>
      <c r="M131" s="9"/>
      <c r="N131" s="13">
        <f>IFERROR(__xludf.DUMMYFUNCTION("""COMPUTED_VALUE"""),0.25)</f>
        <v>0.25</v>
      </c>
      <c r="O131" s="9"/>
      <c r="P131" s="9"/>
      <c r="Q131" s="12">
        <f>IFERROR(__xludf.DUMMYFUNCTION("""COMPUTED_VALUE"""),2.0)</f>
        <v>2</v>
      </c>
      <c r="R131" s="9"/>
      <c r="S131" s="9"/>
      <c r="T131" s="9"/>
      <c r="U131" s="36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2">
        <f>IFERROR(__xludf.DUMMYFUNCTION("""COMPUTED_VALUE"""),8.0)</f>
        <v>8</v>
      </c>
      <c r="D132" s="9"/>
      <c r="E132" s="9"/>
      <c r="F132" s="9"/>
      <c r="G132" s="13">
        <f>IFERROR(__xludf.DUMMYFUNCTION("""COMPUTED_VALUE"""),1.125)</f>
        <v>1.125</v>
      </c>
      <c r="H132" s="9"/>
      <c r="I132" s="9"/>
      <c r="J132" s="12">
        <f>IFERROR(__xludf.DUMMYFUNCTION("""COMPUTED_VALUE"""),9.0)</f>
        <v>9</v>
      </c>
      <c r="K132" s="9"/>
      <c r="L132" s="9"/>
      <c r="M132" s="9"/>
      <c r="N132" s="13">
        <f>IFERROR(__xludf.DUMMYFUNCTION("""COMPUTED_VALUE"""),0.2222222222222222)</f>
        <v>0.2222222222</v>
      </c>
      <c r="O132" s="9"/>
      <c r="P132" s="9"/>
      <c r="Q132" s="12">
        <f>IFERROR(__xludf.DUMMYFUNCTION("""COMPUTED_VALUE"""),2.0)</f>
        <v>2</v>
      </c>
      <c r="R132" s="9"/>
      <c r="S132" s="9"/>
      <c r="T132" s="9"/>
      <c r="U132" s="36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2">
        <f>IFERROR(__xludf.DUMMYFUNCTION("""COMPUTED_VALUE"""),14.0)</f>
        <v>14</v>
      </c>
      <c r="D133" s="9"/>
      <c r="E133" s="9"/>
      <c r="F133" s="9"/>
      <c r="G133" s="13">
        <f>IFERROR(__xludf.DUMMYFUNCTION("""COMPUTED_VALUE"""),0.7857142857142857)</f>
        <v>0.7857142857</v>
      </c>
      <c r="H133" s="9"/>
      <c r="I133" s="9"/>
      <c r="J133" s="12">
        <f>IFERROR(__xludf.DUMMYFUNCTION("""COMPUTED_VALUE"""),11.0)</f>
        <v>11</v>
      </c>
      <c r="K133" s="9"/>
      <c r="L133" s="9"/>
      <c r="M133" s="9"/>
      <c r="N133" s="13">
        <f>IFERROR(__xludf.DUMMYFUNCTION("""COMPUTED_VALUE"""),0.09090909090909091)</f>
        <v>0.09090909091</v>
      </c>
      <c r="O133" s="9"/>
      <c r="P133" s="9"/>
      <c r="Q133" s="12">
        <f>IFERROR(__xludf.DUMMYFUNCTION("""COMPUTED_VALUE"""),1.0)</f>
        <v>1</v>
      </c>
      <c r="R133" s="9"/>
      <c r="S133" s="9"/>
      <c r="T133" s="9"/>
      <c r="U133" s="36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2">
        <f>IFERROR(__xludf.DUMMYFUNCTION("""COMPUTED_VALUE"""),1.0)</f>
        <v>1</v>
      </c>
      <c r="D134" s="9"/>
      <c r="E134" s="9"/>
      <c r="F134" s="9"/>
      <c r="G134" s="13">
        <f>IFERROR(__xludf.DUMMYFUNCTION("""COMPUTED_VALUE"""),1.0)</f>
        <v>1</v>
      </c>
      <c r="H134" s="9"/>
      <c r="I134" s="9"/>
      <c r="J134" s="12">
        <f>IFERROR(__xludf.DUMMYFUNCTION("""COMPUTED_VALUE"""),1.0)</f>
        <v>1</v>
      </c>
      <c r="K134" s="9"/>
      <c r="L134" s="9"/>
      <c r="M134" s="9"/>
      <c r="N134" s="13">
        <f>IFERROR(__xludf.DUMMYFUNCTION("""COMPUTED_VALUE"""),0.0)</f>
        <v>0</v>
      </c>
      <c r="O134" s="9"/>
      <c r="P134" s="9"/>
      <c r="Q134" s="12">
        <f>IFERROR(__xludf.DUMMYFUNCTION("""COMPUTED_VALUE"""),0.0)</f>
        <v>0</v>
      </c>
      <c r="R134" s="9"/>
      <c r="S134" s="9"/>
      <c r="T134" s="9"/>
      <c r="U134" s="36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2">
        <f>IFERROR(__xludf.DUMMYFUNCTION("""COMPUTED_VALUE"""),2.0)</f>
        <v>2</v>
      </c>
      <c r="D135" s="9"/>
      <c r="E135" s="9"/>
      <c r="F135" s="9"/>
      <c r="G135" s="13">
        <f>IFERROR(__xludf.DUMMYFUNCTION("""COMPUTED_VALUE"""),0.5)</f>
        <v>0.5</v>
      </c>
      <c r="H135" s="9"/>
      <c r="I135" s="9"/>
      <c r="J135" s="12">
        <f>IFERROR(__xludf.DUMMYFUNCTION("""COMPUTED_VALUE"""),1.0)</f>
        <v>1</v>
      </c>
      <c r="K135" s="9"/>
      <c r="L135" s="9"/>
      <c r="M135" s="9"/>
      <c r="N135" s="13">
        <f>IFERROR(__xludf.DUMMYFUNCTION("""COMPUTED_VALUE"""),0.0)</f>
        <v>0</v>
      </c>
      <c r="O135" s="9"/>
      <c r="P135" s="9"/>
      <c r="Q135" s="12">
        <f>IFERROR(__xludf.DUMMYFUNCTION("""COMPUTED_VALUE"""),0.0)</f>
        <v>0</v>
      </c>
      <c r="R135" s="9"/>
      <c r="S135" s="9"/>
      <c r="T135" s="9"/>
      <c r="U135" s="36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2">
        <f>IFERROR(__xludf.DUMMYFUNCTION("""COMPUTED_VALUE"""),18.06451612903225)</f>
        <v>18.06451613</v>
      </c>
      <c r="C136" s="12">
        <f>IFERROR(__xludf.DUMMYFUNCTION("""COMPUTED_VALUE"""),19.0)</f>
        <v>19</v>
      </c>
      <c r="D136" s="12">
        <f>IFERROR(__xludf.DUMMYFUNCTION("""COMPUTED_VALUE"""),0.9354838709677509)</f>
        <v>0.935483871</v>
      </c>
      <c r="E136" s="13">
        <f>IFERROR(__xludf.DUMMYFUNCTION("""COMPUTED_VALUE"""),0.05178571428571481)</f>
        <v>0.05178571429</v>
      </c>
      <c r="F136" s="13">
        <f>IFERROR(__xludf.DUMMYFUNCTION("""COMPUTED_VALUE"""),0.6460674157303373)</f>
        <v>0.6460674157</v>
      </c>
      <c r="G136" s="13">
        <f>IFERROR(__xludf.DUMMYFUNCTION("""COMPUTED_VALUE"""),0.5789473684210527)</f>
        <v>0.5789473684</v>
      </c>
      <c r="H136" s="35">
        <f>IFERROR(__xludf.DUMMYFUNCTION("""COMPUTED_VALUE"""),-6.7120047309284665)</f>
        <v>-6.712004731</v>
      </c>
      <c r="I136" s="12">
        <f>IFERROR(__xludf.DUMMYFUNCTION("""COMPUTED_VALUE"""),11.670895251902861)</f>
        <v>11.67089525</v>
      </c>
      <c r="J136" s="12">
        <f>IFERROR(__xludf.DUMMYFUNCTION("""COMPUTED_VALUE"""),11.0)</f>
        <v>11</v>
      </c>
      <c r="K136" s="12">
        <f>IFERROR(__xludf.DUMMYFUNCTION("""COMPUTED_VALUE"""),-0.670895251902861)</f>
        <v>-0.6708952519</v>
      </c>
      <c r="L136" s="13">
        <f>IFERROR(__xludf.DUMMYFUNCTION("""COMPUTED_VALUE"""),-0.057484472049689254)</f>
        <v>-0.05748447205</v>
      </c>
      <c r="M136" s="13">
        <f>IFERROR(__xludf.DUMMYFUNCTION("""COMPUTED_VALUE"""),0.30557142857142866)</f>
        <v>0.3055714286</v>
      </c>
      <c r="N136" s="13">
        <f>IFERROR(__xludf.DUMMYFUNCTION("""COMPUTED_VALUE"""),0.36363636363636365)</f>
        <v>0.3636363636</v>
      </c>
      <c r="O136" s="35">
        <f>IFERROR(__xludf.DUMMYFUNCTION("""COMPUTED_VALUE"""),5.806493506493498)</f>
        <v>5.806493506</v>
      </c>
      <c r="P136" s="12">
        <f>IFERROR(__xludf.DUMMYFUNCTION("""COMPUTED_VALUE"""),3.566292134831461)</f>
        <v>3.566292135</v>
      </c>
      <c r="Q136" s="12">
        <f>IFERROR(__xludf.DUMMYFUNCTION("""COMPUTED_VALUE"""),4.0)</f>
        <v>4</v>
      </c>
      <c r="R136" s="12">
        <f>IFERROR(__xludf.DUMMYFUNCTION("""COMPUTED_VALUE"""),0.4337078651685391)</f>
        <v>0.4337078652</v>
      </c>
      <c r="S136" s="13">
        <f>IFERROR(__xludf.DUMMYFUNCTION("""COMPUTED_VALUE"""),0.12161310649023307)</f>
        <v>0.1216131065</v>
      </c>
      <c r="T136" s="12">
        <f>IFERROR(__xludf.DUMMYFUNCTION("""COMPUTED_VALUE"""),19200.54748796148)</f>
        <v>19200.54749</v>
      </c>
      <c r="U136" s="36">
        <f>IFERROR(__xludf.DUMMYFUNCTION("""COMPUTED_VALUE"""),1645.1649229591844)</f>
        <v>1645.164923</v>
      </c>
      <c r="V136" s="36">
        <f>IFERROR(__xludf.DUMMYFUNCTION("""COMPUTED_VALUE"""),-1103.733335410453)</f>
        <v>-1103.733335</v>
      </c>
      <c r="W136" s="13">
        <f>IFERROR(__xludf.DUMMYFUNCTION("""COMPUTED_VALUE"""),-0.057484472049689254)</f>
        <v>-0.05748447205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2">
        <f>IFERROR(__xludf.DUMMYFUNCTION("""COMPUTED_VALUE"""),8.0)</f>
        <v>8</v>
      </c>
      <c r="D137" s="9"/>
      <c r="E137" s="9"/>
      <c r="F137" s="9"/>
      <c r="G137" s="13">
        <f>IFERROR(__xludf.DUMMYFUNCTION("""COMPUTED_VALUE"""),0.75)</f>
        <v>0.75</v>
      </c>
      <c r="H137" s="9"/>
      <c r="I137" s="9"/>
      <c r="J137" s="12">
        <f>IFERROR(__xludf.DUMMYFUNCTION("""COMPUTED_VALUE"""),6.0)</f>
        <v>6</v>
      </c>
      <c r="K137" s="9"/>
      <c r="L137" s="9"/>
      <c r="M137" s="9"/>
      <c r="N137" s="13">
        <f>IFERROR(__xludf.DUMMYFUNCTION("""COMPUTED_VALUE"""),0.8333333333333334)</f>
        <v>0.8333333333</v>
      </c>
      <c r="O137" s="9"/>
      <c r="P137" s="9"/>
      <c r="Q137" s="12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2">
        <f>IFERROR(__xludf.DUMMYFUNCTION("""COMPUTED_VALUE"""),7.0)</f>
        <v>7</v>
      </c>
      <c r="D138" s="9"/>
      <c r="E138" s="9"/>
      <c r="F138" s="9"/>
      <c r="G138" s="13">
        <f>IFERROR(__xludf.DUMMYFUNCTION("""COMPUTED_VALUE"""),1.0)</f>
        <v>1</v>
      </c>
      <c r="H138" s="9"/>
      <c r="I138" s="9"/>
      <c r="J138" s="12">
        <f>IFERROR(__xludf.DUMMYFUNCTION("""COMPUTED_VALUE"""),7.0)</f>
        <v>7</v>
      </c>
      <c r="K138" s="9"/>
      <c r="L138" s="9"/>
      <c r="M138" s="9"/>
      <c r="N138" s="13">
        <f>IFERROR(__xludf.DUMMYFUNCTION("""COMPUTED_VALUE"""),0.2857142857142857)</f>
        <v>0.2857142857</v>
      </c>
      <c r="O138" s="9"/>
      <c r="P138" s="9"/>
      <c r="Q138" s="12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2">
        <f>IFERROR(__xludf.DUMMYFUNCTION("""COMPUTED_VALUE"""),2.0)</f>
        <v>2</v>
      </c>
      <c r="D139" s="9"/>
      <c r="E139" s="9"/>
      <c r="F139" s="9"/>
      <c r="G139" s="13">
        <f>IFERROR(__xludf.DUMMYFUNCTION("""COMPUTED_VALUE"""),0.5)</f>
        <v>0.5</v>
      </c>
      <c r="H139" s="9"/>
      <c r="I139" s="9"/>
      <c r="J139" s="12">
        <f>IFERROR(__xludf.DUMMYFUNCTION("""COMPUTED_VALUE"""),1.0)</f>
        <v>1</v>
      </c>
      <c r="K139" s="9"/>
      <c r="L139" s="9"/>
      <c r="M139" s="9"/>
      <c r="N139" s="13">
        <f>IFERROR(__xludf.DUMMYFUNCTION("""COMPUTED_VALUE"""),1.0)</f>
        <v>1</v>
      </c>
      <c r="O139" s="9"/>
      <c r="P139" s="9"/>
      <c r="Q139" s="12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2">
        <f>IFERROR(__xludf.DUMMYFUNCTION("""COMPUTED_VALUE"""),4.0)</f>
        <v>4</v>
      </c>
      <c r="D140" s="9"/>
      <c r="E140" s="9"/>
      <c r="F140" s="9"/>
      <c r="G140" s="13">
        <f>IFERROR(__xludf.DUMMYFUNCTION("""COMPUTED_VALUE"""),0.5)</f>
        <v>0.5</v>
      </c>
      <c r="H140" s="9"/>
      <c r="I140" s="9"/>
      <c r="J140" s="12">
        <f>IFERROR(__xludf.DUMMYFUNCTION("""COMPUTED_VALUE"""),2.0)</f>
        <v>2</v>
      </c>
      <c r="K140" s="9"/>
      <c r="L140" s="9"/>
      <c r="M140" s="9"/>
      <c r="N140" s="13">
        <f>IFERROR(__xludf.DUMMYFUNCTION("""COMPUTED_VALUE"""),0.5)</f>
        <v>0.5</v>
      </c>
      <c r="O140" s="9"/>
      <c r="P140" s="9"/>
      <c r="Q140" s="12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2">
        <f>IFERROR(__xludf.DUMMYFUNCTION("""COMPUTED_VALUE"""),8.0)</f>
        <v>8</v>
      </c>
      <c r="D141" s="9"/>
      <c r="E141" s="9"/>
      <c r="F141" s="9"/>
      <c r="G141" s="13">
        <f>IFERROR(__xludf.DUMMYFUNCTION("""COMPUTED_VALUE"""),0.5)</f>
        <v>0.5</v>
      </c>
      <c r="H141" s="9"/>
      <c r="I141" s="9"/>
      <c r="J141" s="12">
        <f>IFERROR(__xludf.DUMMYFUNCTION("""COMPUTED_VALUE"""),4.0)</f>
        <v>4</v>
      </c>
      <c r="K141" s="9"/>
      <c r="L141" s="9"/>
      <c r="M141" s="9"/>
      <c r="N141" s="13">
        <f>IFERROR(__xludf.DUMMYFUNCTION("""COMPUTED_VALUE"""),0.25)</f>
        <v>0.25</v>
      </c>
      <c r="O141" s="9"/>
      <c r="P141" s="9"/>
      <c r="Q141" s="12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2">
        <f>IFERROR(__xludf.DUMMYFUNCTION("""COMPUTED_VALUE"""),8.0)</f>
        <v>8</v>
      </c>
      <c r="D142" s="9"/>
      <c r="E142" s="9"/>
      <c r="F142" s="9"/>
      <c r="G142" s="13">
        <f>IFERROR(__xludf.DUMMYFUNCTION("""COMPUTED_VALUE"""),0.5)</f>
        <v>0.5</v>
      </c>
      <c r="H142" s="9"/>
      <c r="I142" s="9"/>
      <c r="J142" s="12">
        <f>IFERROR(__xludf.DUMMYFUNCTION("""COMPUTED_VALUE"""),4.0)</f>
        <v>4</v>
      </c>
      <c r="K142" s="9"/>
      <c r="L142" s="9"/>
      <c r="M142" s="9"/>
      <c r="N142" s="13">
        <f>IFERROR(__xludf.DUMMYFUNCTION("""COMPUTED_VALUE"""),0.25)</f>
        <v>0.25</v>
      </c>
      <c r="O142" s="9"/>
      <c r="P142" s="9"/>
      <c r="Q142" s="12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2">
        <f>IFERROR(__xludf.DUMMYFUNCTION("""COMPUTED_VALUE"""),8.0)</f>
        <v>8</v>
      </c>
      <c r="D143" s="9"/>
      <c r="E143" s="9"/>
      <c r="F143" s="9"/>
      <c r="G143" s="13">
        <f>IFERROR(__xludf.DUMMYFUNCTION("""COMPUTED_VALUE"""),0.5)</f>
        <v>0.5</v>
      </c>
      <c r="H143" s="9"/>
      <c r="I143" s="9"/>
      <c r="J143" s="12">
        <f>IFERROR(__xludf.DUMMYFUNCTION("""COMPUTED_VALUE"""),4.0)</f>
        <v>4</v>
      </c>
      <c r="K143" s="9"/>
      <c r="L143" s="9"/>
      <c r="M143" s="9"/>
      <c r="N143" s="13">
        <f>IFERROR(__xludf.DUMMYFUNCTION("""COMPUTED_VALUE"""),0.25)</f>
        <v>0.25</v>
      </c>
      <c r="O143" s="9"/>
      <c r="P143" s="9"/>
      <c r="Q143" s="12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2">
        <f>IFERROR(__xludf.DUMMYFUNCTION("""COMPUTED_VALUE"""),8.0)</f>
        <v>8</v>
      </c>
      <c r="D144" s="9"/>
      <c r="E144" s="9"/>
      <c r="F144" s="9"/>
      <c r="G144" s="13">
        <f>IFERROR(__xludf.DUMMYFUNCTION("""COMPUTED_VALUE"""),0.625)</f>
        <v>0.625</v>
      </c>
      <c r="H144" s="9"/>
      <c r="I144" s="9"/>
      <c r="J144" s="12">
        <f>IFERROR(__xludf.DUMMYFUNCTION("""COMPUTED_VALUE"""),5.0)</f>
        <v>5</v>
      </c>
      <c r="K144" s="9"/>
      <c r="L144" s="9"/>
      <c r="M144" s="9"/>
      <c r="N144" s="13">
        <f>IFERROR(__xludf.DUMMYFUNCTION("""COMPUTED_VALUE"""),0.2)</f>
        <v>0.2</v>
      </c>
      <c r="O144" s="9"/>
      <c r="P144" s="9"/>
      <c r="Q144" s="12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2">
        <f>IFERROR(__xludf.DUMMYFUNCTION("""COMPUTED_VALUE"""),7.0)</f>
        <v>7</v>
      </c>
      <c r="D145" s="9"/>
      <c r="E145" s="9"/>
      <c r="F145" s="9"/>
      <c r="G145" s="13">
        <f>IFERROR(__xludf.DUMMYFUNCTION("""COMPUTED_VALUE"""),0.7142857142857143)</f>
        <v>0.7142857143</v>
      </c>
      <c r="H145" s="9"/>
      <c r="I145" s="9"/>
      <c r="J145" s="12">
        <f>IFERROR(__xludf.DUMMYFUNCTION("""COMPUTED_VALUE"""),5.0)</f>
        <v>5</v>
      </c>
      <c r="K145" s="9"/>
      <c r="L145" s="9"/>
      <c r="M145" s="9"/>
      <c r="N145" s="13">
        <f>IFERROR(__xludf.DUMMYFUNCTION("""COMPUTED_VALUE"""),0.2)</f>
        <v>0.2</v>
      </c>
      <c r="O145" s="9"/>
      <c r="P145" s="9"/>
      <c r="Q145" s="12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2">
        <f>IFERROR(__xludf.DUMMYFUNCTION("""COMPUTED_VALUE"""),8.0)</f>
        <v>8</v>
      </c>
      <c r="D146" s="9"/>
      <c r="E146" s="9"/>
      <c r="F146" s="9"/>
      <c r="G146" s="13">
        <f>IFERROR(__xludf.DUMMYFUNCTION("""COMPUTED_VALUE"""),0.25)</f>
        <v>0.25</v>
      </c>
      <c r="H146" s="9"/>
      <c r="I146" s="9"/>
      <c r="J146" s="12">
        <f>IFERROR(__xludf.DUMMYFUNCTION("""COMPUTED_VALUE"""),2.0)</f>
        <v>2</v>
      </c>
      <c r="K146" s="9"/>
      <c r="L146" s="9"/>
      <c r="M146" s="9"/>
      <c r="N146" s="13">
        <f>IFERROR(__xludf.DUMMYFUNCTION("""COMPUTED_VALUE"""),0.0)</f>
        <v>0</v>
      </c>
      <c r="O146" s="9"/>
      <c r="P146" s="9"/>
      <c r="Q146" s="12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2">
        <f>IFERROR(__xludf.DUMMYFUNCTION("""COMPUTED_VALUE"""),750.0)</f>
        <v>750</v>
      </c>
      <c r="C233" s="34">
        <f>IFERROR(__xludf.DUMMYFUNCTION("""COMPUTED_VALUE"""),623.0)</f>
        <v>623</v>
      </c>
      <c r="D233" s="34">
        <f>IFERROR(__xludf.DUMMYFUNCTION("""COMPUTED_VALUE"""),168.0)</f>
        <v>168</v>
      </c>
      <c r="E233" s="34">
        <f>IFERROR(__xludf.DUMMYFUNCTION("""COMPUTED_VALUE"""),411.29032258064495)</f>
        <v>411.2903226</v>
      </c>
      <c r="F233" s="34">
        <f>IFERROR(__xludf.DUMMYFUNCTION("""COMPUTED_VALUE"""),341.6451612903224)</f>
        <v>341.6451613</v>
      </c>
      <c r="G233" s="34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2">
        <f>IFERROR(__xludf.DUMMYFUNCTION("""COMPUTED_VALUE"""),31.0)</f>
        <v>31</v>
      </c>
      <c r="C234" s="34">
        <f>IFERROR(__xludf.DUMMYFUNCTION("""COMPUTED_VALUE"""),31.0)</f>
        <v>31</v>
      </c>
      <c r="D234" s="34">
        <f>IFERROR(__xludf.DUMMYFUNCTION("""COMPUTED_VALUE"""),11.0)</f>
        <v>11</v>
      </c>
      <c r="E234" s="34">
        <f>IFERROR(__xludf.DUMMYFUNCTION("""COMPUTED_VALUE"""),16.999999999999993)</f>
        <v>17</v>
      </c>
      <c r="F234" s="34">
        <f>IFERROR(__xludf.DUMMYFUNCTION("""COMPUTED_VALUE"""),16.999999999999993)</f>
        <v>17</v>
      </c>
      <c r="G234" s="34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2">
        <f>IFERROR(__xludf.DUMMYFUNCTION("""COMPUTED_VALUE"""),1975.0)</f>
        <v>1975</v>
      </c>
      <c r="C235" s="34">
        <f>IFERROR(__xludf.DUMMYFUNCTION("""COMPUTED_VALUE"""),1514.0)</f>
        <v>1514</v>
      </c>
      <c r="D235" s="34">
        <f>IFERROR(__xludf.DUMMYFUNCTION("""COMPUTED_VALUE"""),529.0)</f>
        <v>529</v>
      </c>
      <c r="E235" s="34">
        <f>IFERROR(__xludf.DUMMYFUNCTION("""COMPUTED_VALUE"""),1083.0645161290317)</f>
        <v>1083.064516</v>
      </c>
      <c r="F235" s="34">
        <f>IFERROR(__xludf.DUMMYFUNCTION("""COMPUTED_VALUE"""),830.2580645161287)</f>
        <v>830.2580645</v>
      </c>
      <c r="G235" s="34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2">
        <f>IFERROR(__xludf.DUMMYFUNCTION("""COMPUTED_VALUE"""),1237.0)</f>
        <v>1237</v>
      </c>
      <c r="C236" s="34">
        <f>IFERROR(__xludf.DUMMYFUNCTION("""COMPUTED_VALUE"""),970.0)</f>
        <v>970</v>
      </c>
      <c r="D236" s="34">
        <f>IFERROR(__xludf.DUMMYFUNCTION("""COMPUTED_VALUE"""),344.0)</f>
        <v>344</v>
      </c>
      <c r="E236" s="34">
        <f>IFERROR(__xludf.DUMMYFUNCTION("""COMPUTED_VALUE"""),678.3548387096771)</f>
        <v>678.3548387</v>
      </c>
      <c r="F236" s="34">
        <f>IFERROR(__xludf.DUMMYFUNCTION("""COMPUTED_VALUE"""),531.9354838709675)</f>
        <v>531.9354839</v>
      </c>
      <c r="G236" s="34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2">
        <f>IFERROR(__xludf.DUMMYFUNCTION("""COMPUTED_VALUE"""),362.0)</f>
        <v>362</v>
      </c>
      <c r="C237" s="34">
        <f>IFERROR(__xludf.DUMMYFUNCTION("""COMPUTED_VALUE"""),276.0)</f>
        <v>276</v>
      </c>
      <c r="D237" s="34">
        <f>IFERROR(__xludf.DUMMYFUNCTION("""COMPUTED_VALUE"""),85.0)</f>
        <v>85</v>
      </c>
      <c r="E237" s="34">
        <f>IFERROR(__xludf.DUMMYFUNCTION("""COMPUTED_VALUE"""),198.51612903225796)</f>
        <v>198.516129</v>
      </c>
      <c r="F237" s="34">
        <f>IFERROR(__xludf.DUMMYFUNCTION("""COMPUTED_VALUE"""),151.35483870967735)</f>
        <v>151.3548387</v>
      </c>
      <c r="G237" s="34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2">
        <f>IFERROR(__xludf.DUMMYFUNCTION("""COMPUTED_VALUE"""),280.0)</f>
        <v>280</v>
      </c>
      <c r="C238" s="34">
        <f>IFERROR(__xludf.DUMMYFUNCTION("""COMPUTED_VALUE"""),205.0)</f>
        <v>205</v>
      </c>
      <c r="D238" s="34">
        <f>IFERROR(__xludf.DUMMYFUNCTION("""COMPUTED_VALUE"""),80.0)</f>
        <v>80</v>
      </c>
      <c r="E238" s="34">
        <f>IFERROR(__xludf.DUMMYFUNCTION("""COMPUTED_VALUE"""),153.54838709677412)</f>
        <v>153.5483871</v>
      </c>
      <c r="F238" s="34">
        <f>IFERROR(__xludf.DUMMYFUNCTION("""COMPUTED_VALUE"""),112.41935483870962)</f>
        <v>112.4193548</v>
      </c>
      <c r="G238" s="34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2">
        <f>IFERROR(__xludf.DUMMYFUNCTION("""COMPUTED_VALUE"""),96.0)</f>
        <v>96</v>
      </c>
      <c r="C239" s="34">
        <f>IFERROR(__xludf.DUMMYFUNCTION("""COMPUTED_VALUE"""),63.0)</f>
        <v>63</v>
      </c>
      <c r="D239" s="34">
        <f>IFERROR(__xludf.DUMMYFUNCTION("""COMPUTED_VALUE"""),20.0)</f>
        <v>20</v>
      </c>
      <c r="E239" s="34">
        <f>IFERROR(__xludf.DUMMYFUNCTION("""COMPUTED_VALUE"""),52.645161290322555)</f>
        <v>52.64516129</v>
      </c>
      <c r="F239" s="34">
        <f>IFERROR(__xludf.DUMMYFUNCTION("""COMPUTED_VALUE"""),34.54838709677418)</f>
        <v>34.5483871</v>
      </c>
      <c r="G239" s="34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2">
        <f>IFERROR(__xludf.DUMMYFUNCTION("""COMPUTED_VALUE"""),2456.0)</f>
        <v>2456</v>
      </c>
      <c r="C240" s="34">
        <f>IFERROR(__xludf.DUMMYFUNCTION("""COMPUTED_VALUE"""),1647.0)</f>
        <v>1647</v>
      </c>
      <c r="D240" s="34">
        <f>IFERROR(__xludf.DUMMYFUNCTION("""COMPUTED_VALUE"""),564.0)</f>
        <v>564</v>
      </c>
      <c r="E240" s="34">
        <f>IFERROR(__xludf.DUMMYFUNCTION("""COMPUTED_VALUE"""),1346.8387096774186)</f>
        <v>1346.83871</v>
      </c>
      <c r="F240" s="34">
        <f>IFERROR(__xludf.DUMMYFUNCTION("""COMPUTED_VALUE"""),903.1935483870964)</f>
        <v>903.1935484</v>
      </c>
      <c r="G240" s="34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2">
        <f>IFERROR(__xludf.DUMMYFUNCTION("""COMPUTED_VALUE"""),371.0)</f>
        <v>371</v>
      </c>
      <c r="C241" s="34">
        <f>IFERROR(__xludf.DUMMYFUNCTION("""COMPUTED_VALUE"""),299.0)</f>
        <v>299</v>
      </c>
      <c r="D241" s="34">
        <f>IFERROR(__xludf.DUMMYFUNCTION("""COMPUTED_VALUE"""),102.0)</f>
        <v>102</v>
      </c>
      <c r="E241" s="34">
        <f>IFERROR(__xludf.DUMMYFUNCTION("""COMPUTED_VALUE"""),203.4516129032257)</f>
        <v>203.4516129</v>
      </c>
      <c r="F241" s="34">
        <f>IFERROR(__xludf.DUMMYFUNCTION("""COMPUTED_VALUE"""),163.9677419354838)</f>
        <v>163.9677419</v>
      </c>
      <c r="G241" s="34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2">
        <f>IFERROR(__xludf.DUMMYFUNCTION("""COMPUTED_VALUE"""),360.0)</f>
        <v>360</v>
      </c>
      <c r="C242" s="34">
        <f>IFERROR(__xludf.DUMMYFUNCTION("""COMPUTED_VALUE"""),254.0)</f>
        <v>254</v>
      </c>
      <c r="D242" s="34">
        <f>IFERROR(__xludf.DUMMYFUNCTION("""COMPUTED_VALUE"""),58.0)</f>
        <v>58</v>
      </c>
      <c r="E242" s="34">
        <f>IFERROR(__xludf.DUMMYFUNCTION("""COMPUTED_VALUE"""),197.41935483870958)</f>
        <v>197.4193548</v>
      </c>
      <c r="F242" s="34">
        <f>IFERROR(__xludf.DUMMYFUNCTION("""COMPUTED_VALUE"""),139.2903225806451)</f>
        <v>139.2903226</v>
      </c>
      <c r="G242" s="34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2">
        <f>IFERROR(__xludf.DUMMYFUNCTION("""COMPUTED_VALUE"""),221.0)</f>
        <v>221</v>
      </c>
      <c r="C243" s="34">
        <f>IFERROR(__xludf.DUMMYFUNCTION("""COMPUTED_VALUE"""),118.0)</f>
        <v>118</v>
      </c>
      <c r="D243" s="34">
        <f>IFERROR(__xludf.DUMMYFUNCTION("""COMPUTED_VALUE"""),36.0)</f>
        <v>36</v>
      </c>
      <c r="E243" s="34">
        <f>IFERROR(__xludf.DUMMYFUNCTION("""COMPUTED_VALUE"""),121.19354838709671)</f>
        <v>121.1935484</v>
      </c>
      <c r="F243" s="34">
        <f>IFERROR(__xludf.DUMMYFUNCTION("""COMPUTED_VALUE"""),64.7096774193548)</f>
        <v>64.70967742</v>
      </c>
      <c r="G243" s="34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2">
        <f>IFERROR(__xludf.DUMMYFUNCTION("""COMPUTED_VALUE"""),1440.0)</f>
        <v>1440</v>
      </c>
      <c r="C244" s="34">
        <f>IFERROR(__xludf.DUMMYFUNCTION("""COMPUTED_VALUE"""),934.0)</f>
        <v>934</v>
      </c>
      <c r="D244" s="34">
        <f>IFERROR(__xludf.DUMMYFUNCTION("""COMPUTED_VALUE"""),355.0)</f>
        <v>355</v>
      </c>
      <c r="E244" s="34">
        <f>IFERROR(__xludf.DUMMYFUNCTION("""COMPUTED_VALUE"""),789.6774193548383)</f>
        <v>789.6774194</v>
      </c>
      <c r="F244" s="34">
        <f>IFERROR(__xludf.DUMMYFUNCTION("""COMPUTED_VALUE"""),512.1935483870965)</f>
        <v>512.1935484</v>
      </c>
      <c r="G244" s="34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2">
        <f>IFERROR(__xludf.DUMMYFUNCTION("""COMPUTED_VALUE"""),64.0)</f>
        <v>64</v>
      </c>
      <c r="C245" s="34">
        <f>IFERROR(__xludf.DUMMYFUNCTION("""COMPUTED_VALUE"""),42.0)</f>
        <v>42</v>
      </c>
      <c r="D245" s="34">
        <f>IFERROR(__xludf.DUMMYFUNCTION("""COMPUTED_VALUE"""),13.0)</f>
        <v>13</v>
      </c>
      <c r="E245" s="34">
        <f>IFERROR(__xludf.DUMMYFUNCTION("""COMPUTED_VALUE"""),35.09677419354837)</f>
        <v>35.09677419</v>
      </c>
      <c r="F245" s="34">
        <f>IFERROR(__xludf.DUMMYFUNCTION("""COMPUTED_VALUE"""),23.032258064516117)</f>
        <v>23.03225806</v>
      </c>
      <c r="G245" s="34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