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<sst xmlns="http://schemas.openxmlformats.org/spreadsheetml/2006/main" count="682" uniqueCount="394">
  <si>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</si>
  <si>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</si>
  <si>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</si>
  <si>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</si>
  <si>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</si>
  <si>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</si>
  <si>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</si>
  <si>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</si>
  <si>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</si>
  <si>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</si>
  <si>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</si>
  <si>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</si>
  <si>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</si>
  <si>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</si>
  <si>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</si>
  <si>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</si>
  <si>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</si>
  <si>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</si>
  <si>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</si>
  <si>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</si>
  <si>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</si>
  <si>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</si>
  <si>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</si>
  <si>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</si>
  <si>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</si>
  <si>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</si>
  <si>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</si>
  <si>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</si>
  <si>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</si>
  <si>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</si>
  <si>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</si>
  <si>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</si>
  <si>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</si>
  <si>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</si>
  <si>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</si>
  <si>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</si>
  <si>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</si>
  <si>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</si>
  <si>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</si>
  <si>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</si>
  <si>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</si>
  <si>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</si>
  <si>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</si>
  <si>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</si>
  <si>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</si>
  <si>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</si>
  <si>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</si>
  <si>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</si>
  <si>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</si>
  <si>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</si>
  <si>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</si>
  <si>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</si>
  <si>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</si>
  <si>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</si>
  <si>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</si>
  <si>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</si>
  <si>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</si>
  <si>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</si>
  <si>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</si>
  <si>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</si>
  <si>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</si>
  <si>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</si>
  <si>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</si>
  <si>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</si>
  <si>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</si>
  <si>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</si>
  <si>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</si>
  <si>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</si>
  <si>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</si>
  <si>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</si>
  <si>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</si>
  <si>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</si>
  <si>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</si>
  <si>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</si>
  <si>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</si>
  <si>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</si>
  <si>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</si>
  <si>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</si>
  <si>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</si>
  <si>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</si>
  <si>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</si>
  <si>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</si>
  <si>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</si>
  <si>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</si>
  <si>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</si>
  <si>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</si>
  <si>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</si>
  <si>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</si>
  <si>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</si>
  <si>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</si>
  <si>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</si>
  <si>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</si>
  <si>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</si>
  <si>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</si>
  <si>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</si>
  <si>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</si>
  <si>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</si>
  <si>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Geral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</si>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</sst>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IFERROR(__xludf.DUMMYFUNCTION("""COMPUTED_VALUE"""),5486718.548217773)</f>
        <v>5486718.548</v>
      </c>
      <c r="C2" s="3">
        <f>B2-A2</f>
        <v>-2413380.653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IFERROR(__xludf.DUMMYFUNCTION("""COMPUTED_VALUE"""),-0.852431145868752)</f>
        <v>-0.8524311459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IFERROR(__xludf.DUMMYFUNCTION("""COMPUTED_VALUE"""),-0.8729247796679647)</f>
        <v>-0.8729247797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"),"Indicação - Outros")</f>
        <v>Indicação - Outros</v>
      </c>
      <c r="M2" s="6">
        <f>IFERROR(__xludf.DUMMYFUNCTION("""COMPUTED_VALUE"""),-63.63636363636365)</f>
        <v>-63.63636364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"),0.2631578947368421)</f>
        <v>0.2631578947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IFERROR(__xludf.DUMMYFUNCTION("""COMPUTED_VALUE"""),-0.8087458708144946)</f>
        <v>-0.8087458708</v>
      </c>
      <c r="AC2" s="3">
        <f>IFERROR(__xludf.DUMMYFUNCTION("""COMPUTED_VALUE"""),-1930.1960072595277)</f>
        <v>-1930.196007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IFERROR(__xludf.DUMMYFUNCTION("""COMPUTED_VALUE"""),6.037677589297183)</f>
        <v>6.037677589</v>
      </c>
      <c r="AF2" s="3">
        <f>IFERROR(__xludf.DUMMYFUNCTION("""COMPUTED_VALUE"""),32234.464285714286)</f>
        <v>32234.46429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Comercial!AE2"")"),2.680260656775241E7)</f>
        <v>26802606.57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IFERROR(__xludf.DUMMYFUNCTION("""COMPUTED_VALUE"""),-0.8227862573600868)</f>
        <v>-0.8227862574</v>
      </c>
      <c r="H3" s="4" t="str">
        <f>IFERROR(__xludf.DUMMYFUNCTION("""COMPUTED_VALUE"""),"Indicação - Outros")</f>
        <v>Indicação - Outros</v>
      </c>
      <c r="I3" s="5">
        <f>IFERROR(__xludf.DUMMYFUNCTION("""COMPUTED_VALUE"""),-0.7384495967061522)</f>
        <v>-0.7384495967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IFERROR(__xludf.DUMMYFUNCTION("""COMPUTED_VALUE"""),-8.02675585284281)</f>
        <v>-8.026755853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IFERROR(__xludf.DUMMYFUNCTION("""COMPUTED_VALUE"""),"Indicação - Outros")</f>
        <v>Indicação - Outros</v>
      </c>
      <c r="O3" s="5">
        <f>IFERROR(__xludf.DUMMYFUNCTION("""COMPUTED_VALUE"""),-1.0)</f>
        <v>-1</v>
      </c>
      <c r="P3" s="3">
        <f>IFERROR(__xludf.DUMMYFUNCTION("""COMPUTED_VALUE"""),-27596.0)</f>
        <v>-27596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Link de Indicação")</f>
        <v>[IM] Link de Indicação</v>
      </c>
      <c r="AE3" s="5">
        <f>IFERROR(__xludf.DUMMYFUNCTION("""COMPUTED_VALUE"""),1.1636787533979538)</f>
        <v>1.163678753</v>
      </c>
      <c r="AF3" s="3">
        <f>IFERROR(__xludf.DUMMYFUNCTION("""COMPUTED_VALUE"""),3056.982)</f>
        <v>3056.982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IFERROR(__xludf.DUMMYFUNCTION("""COMPUTED_VALUE"""),-0.7565584431519791)</f>
        <v>-0.7565584432</v>
      </c>
      <c r="H4" s="4" t="str">
        <f>IFERROR(__xludf.DUMMYFUNCTION("""COMPUTED_VALUE"""),"[SKL] Outros")</f>
        <v>[SKL] Outros</v>
      </c>
      <c r="I4" s="5">
        <f>IFERROR(__xludf.DUMMYFUNCTION("""COMPUTED_VALUE"""),-0.7364651475157589)</f>
        <v>-0.7364651475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IFERROR(__xludf.DUMMYFUNCTION("""COMPUTED_VALUE"""),-7.600000000000001)</f>
        <v>-7.6</v>
      </c>
      <c r="L4" s="4" t="str">
        <f>IFERROR(__xludf.DUMMYFUNCTION("""COMPUTED_VALUE"""),"[ON] Chat")</f>
        <v>[ON] Chat</v>
      </c>
      <c r="M4" s="6">
        <f>IFERROR(__xludf.DUMMYFUNCTION("""COMPUTED_VALUE"""),-22.599999999999998)</f>
        <v>-22.6</v>
      </c>
      <c r="N4" s="4" t="str">
        <f>IFERROR(__xludf.DUMMYFUNCTION("""COMPUTED_VALUE"""),"[ON] Time de vendas")</f>
        <v>[ON] Time de vendas</v>
      </c>
      <c r="O4" s="5">
        <f>IFERROR(__xludf.DUMMYFUNCTION("""COMPUTED_VALUE"""),-0.8386803403442227)</f>
        <v>-0.8386803403</v>
      </c>
      <c r="P4" s="3">
        <f>IFERROR(__xludf.DUMMYFUNCTION("""COMPUTED_VALUE"""),-20779.89333419602)</f>
        <v>-20779.89333</v>
      </c>
      <c r="S4" s="4"/>
      <c r="T4" s="4"/>
      <c r="AA4" s="4" t="str">
        <f>IFERROR(__xludf.DUMMYFUNCTION("""COMPUTED_VALUE"""),"Form G4 Instagram Tallis")</f>
        <v>Form G4 Instagram Tallis</v>
      </c>
      <c r="AB4" s="5">
        <f>IFERROR(__xludf.DUMMYFUNCTION("""COMPUTED_VALUE"""),-0.7081843777522858)</f>
        <v>-0.7081843778</v>
      </c>
      <c r="AC4" s="3">
        <f>IFERROR(__xludf.DUMMYFUNCTION("""COMPUTED_VALUE"""),-4019.293548387097)</f>
        <v>-4019.293548</v>
      </c>
      <c r="AD4" s="4" t="str">
        <f>IFERROR(__xludf.DUMMYFUNCTION("""COMPUTED_VALUE"""),"Aplicativo G4 - Indicação")</f>
        <v>Aplicativo G4 - Indicação</v>
      </c>
      <c r="AE4" s="5">
        <f>IFERROR(__xludf.DUMMYFUNCTION("""COMPUTED_VALUE"""),1.081751050026079)</f>
        <v>1.08175105</v>
      </c>
      <c r="AF4" s="3">
        <f>IFERROR(__xludf.DUMMYFUNCTION("""COMPUTED_VALUE"""),2642.3076923076924)</f>
        <v>2642.307692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IFERROR(__xludf.DUMMYFUNCTION("""COMPUTED_VALUE"""),-0.6890827942430168)</f>
        <v>-0.6890827942</v>
      </c>
      <c r="H5" s="4" t="str">
        <f>IFERROR(__xludf.DUMMYFUNCTION("""COMPUTED_VALUE"""),"[SKL] CRM - Email")</f>
        <v>[SKL] CRM - Email</v>
      </c>
      <c r="I5" s="5">
        <f>IFERROR(__xludf.DUMMYFUNCTION("""COMPUTED_VALUE"""),-0.6997098471741636)</f>
        <v>-0.6997098472</v>
      </c>
      <c r="J5" s="4" t="str">
        <f>IFERROR(__xludf.DUMMYFUNCTION("""COMPUTED_VALUE"""),"[IM] Form Facebook Ads")</f>
        <v>[IM] Form Facebook Ads</v>
      </c>
      <c r="K5" s="6">
        <f>IFERROR(__xludf.DUMMYFUNCTION("""COMPUTED_VALUE"""),-6.674418604651167)</f>
        <v>-6.674418605</v>
      </c>
      <c r="L5" s="4" t="str">
        <f>IFERROR(__xludf.DUMMYFUNCTION("""COMPUTED_VALUE"""),"[ON] Outros")</f>
        <v>[ON] Outros</v>
      </c>
      <c r="M5" s="6">
        <f>IFERROR(__xludf.DUMMYFUNCTION("""COMPUTED_VALUE"""),-20.91942148760331)</f>
        <v>-20.91942149</v>
      </c>
      <c r="N5" s="4" t="str">
        <f>IFERROR(__xludf.DUMMYFUNCTION("""COMPUTED_VALUE"""),"[IM] Form G4 Facebook Ads - K")</f>
        <v>[IM] Form G4 Facebook Ads - K</v>
      </c>
      <c r="O5" s="5">
        <f>IFERROR(__xludf.DUMMYFUNCTION("""COMPUTED_VALUE"""),-0.7747483903958348)</f>
        <v>-0.7747483904</v>
      </c>
      <c r="P5" s="3">
        <f>IFERROR(__xludf.DUMMYFUNCTION("""COMPUTED_VALUE"""),-11110.666666666666)</f>
        <v>-11110.66667</v>
      </c>
      <c r="S5" s="4"/>
      <c r="T5" s="4"/>
      <c r="AA5" s="4" t="str">
        <f>IFERROR(__xludf.DUMMYFUNCTION("""COMPUTED_VALUE"""),"[SKL] Midia Paga - Quente")</f>
        <v>[SKL] Midia Paga - Quente</v>
      </c>
      <c r="AB5" s="5">
        <f>IFERROR(__xludf.DUMMYFUNCTION("""COMPUTED_VALUE"""),-0.6963935956615251)</f>
        <v>-0.6963935957</v>
      </c>
      <c r="AC5" s="3">
        <f>IFERROR(__xludf.DUMMYFUNCTION("""COMPUTED_VALUE"""),-2516.32962962963)</f>
        <v>-2516.32963</v>
      </c>
      <c r="AD5" s="4" t="str">
        <f>IFERROR(__xludf.DUMMYFUNCTION("""COMPUTED_VALUE"""),"[IM] Chat")</f>
        <v>[IM] Chat</v>
      </c>
      <c r="AE5" s="5">
        <f>IFERROR(__xludf.DUMMYFUNCTION("""COMPUTED_VALUE"""),1.059733431253287)</f>
        <v>1.059733431</v>
      </c>
      <c r="AF5" s="3">
        <f>IFERROR(__xludf.DUMMYFUNCTION("""COMPUTED_VALUE"""),2826.6350814295683)</f>
        <v>2826.635081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IFERROR(__xludf.DUMMYFUNCTION("""COMPUTED_VALUE"""),-0.6808823529411764)</f>
        <v>-0.6808823529</v>
      </c>
      <c r="H6" s="4" t="str">
        <f>IFERROR(__xludf.DUMMYFUNCTION("""COMPUTED_VALUE"""),"Aplicativo G4 - Indicação")</f>
        <v>Aplicativo G4 - Indicação</v>
      </c>
      <c r="I6" s="5">
        <f>IFERROR(__xludf.DUMMYFUNCTION("""COMPUTED_VALUE"""),-0.6748164286290647)</f>
        <v>-0.6748164286</v>
      </c>
      <c r="J6" s="4" t="str">
        <f>IFERROR(__xludf.DUMMYFUNCTION("""COMPUTED_VALUE"""),"[ON] Abandono de carrinho")</f>
        <v>[ON] Abandono de carrinho</v>
      </c>
      <c r="K6" s="6">
        <f>IFERROR(__xludf.DUMMYFUNCTION("""COMPUTED_VALUE"""),-5.915384615384614)</f>
        <v>-5.915384615</v>
      </c>
      <c r="L6" s="4" t="str">
        <f>IFERROR(__xludf.DUMMYFUNCTION("""COMPUTED_VALUE"""),"[CM] Form G4 - Instagram")</f>
        <v>[CM] Form G4 - Instagram</v>
      </c>
      <c r="M6" s="6">
        <f>IFERROR(__xludf.DUMMYFUNCTION("""COMPUTED_VALUE"""),-17.85714285714286)</f>
        <v>-17.85714286</v>
      </c>
      <c r="N6" s="4" t="str">
        <f>IFERROR(__xludf.DUMMYFUNCTION("""COMPUTED_VALUE"""),"[SKL] Social")</f>
        <v>[SKL] Social</v>
      </c>
      <c r="O6" s="5">
        <f>IFERROR(__xludf.DUMMYFUNCTION("""COMPUTED_VALUE"""),-0.7324411764705883)</f>
        <v>-0.7324411765</v>
      </c>
      <c r="P6" s="3">
        <f>IFERROR(__xludf.DUMMYFUNCTION("""COMPUTED_VALUE"""),-12451.5)</f>
        <v>-12451.5</v>
      </c>
      <c r="Q6" s="7"/>
      <c r="S6" s="4"/>
      <c r="T6" s="4"/>
      <c r="AA6" s="4" t="str">
        <f>IFERROR(__xludf.DUMMYFUNCTION("""COMPUTED_VALUE"""),"[SKL] CRM - WhatsApp")</f>
        <v>[SKL] CRM - WhatsApp</v>
      </c>
      <c r="AB6" s="5">
        <f>IFERROR(__xludf.DUMMYFUNCTION("""COMPUTED_VALUE"""),-0.6740939875526439)</f>
        <v>-0.6740939876</v>
      </c>
      <c r="AC6" s="3">
        <f>IFERROR(__xludf.DUMMYFUNCTION("""COMPUTED_VALUE"""),-1579.8052373158755)</f>
        <v>-1579.805237</v>
      </c>
      <c r="AD6" s="4" t="str">
        <f>IFERROR(__xludf.DUMMYFUNCTION("""COMPUTED_VALUE"""),"Form G4 - K Outros")</f>
        <v>Form G4 - K Outros</v>
      </c>
      <c r="AE6" s="5">
        <f>IFERROR(__xludf.DUMMYFUNCTION("""COMPUTED_VALUE"""),0.613766281832389)</f>
        <v>0.6137662818</v>
      </c>
      <c r="AF6" s="3">
        <f>IFERROR(__xludf.DUMMYFUNCTION("""COMPUTED_VALUE"""),392.17428571428604)</f>
        <v>392.1742857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IFERROR(__xludf.DUMMYFUNCTION("""COMPUTED_VALUE"""),"Indicação - Outros")</f>
        <v>Indicação - Outros</v>
      </c>
      <c r="G7" s="5">
        <f>IFERROR(__xludf.DUMMYFUNCTION("""COMPUTED_VALUE"""),-0.5605953224663357)</f>
        <v>-0.5605953225</v>
      </c>
      <c r="H7" s="4" t="str">
        <f>IFERROR(__xludf.DUMMYFUNCTION("""COMPUTED_VALUE"""),"[SKL] Social")</f>
        <v>[SKL] Social</v>
      </c>
      <c r="I7" s="5">
        <f>IFERROR(__xludf.DUMMYFUNCTION("""COMPUTED_VALUE"""),-0.6627344484119525)</f>
        <v>-0.6627344484</v>
      </c>
      <c r="J7" s="4" t="str">
        <f>IFERROR(__xludf.DUMMYFUNCTION("""COMPUTED_VALUE"""),"[SKL] CRM - WhatsApp")</f>
        <v>[SKL] CRM - WhatsApp</v>
      </c>
      <c r="K7" s="6">
        <f>IFERROR(__xludf.DUMMYFUNCTION("""COMPUTED_VALUE"""),-5.77821625887924)</f>
        <v>-5.778216259</v>
      </c>
      <c r="L7" s="4" t="str">
        <f>IFERROR(__xludf.DUMMYFUNCTION("""COMPUTED_VALUE"""),"Form G4 Instagram Tallis")</f>
        <v>Form G4 Instagram Tallis</v>
      </c>
      <c r="M7" s="6">
        <f>IFERROR(__xludf.DUMMYFUNCTION("""COMPUTED_VALUE"""),-13.225806451612904)</f>
        <v>-13.22580645</v>
      </c>
      <c r="N7" s="4" t="str">
        <f>IFERROR(__xludf.DUMMYFUNCTION("""COMPUTED_VALUE"""),"[IM] Outros")</f>
        <v>[IM] Outros</v>
      </c>
      <c r="O7" s="5">
        <f>IFERROR(__xludf.DUMMYFUNCTION("""COMPUTED_VALUE"""),-0.4781749128557307)</f>
        <v>-0.4781749129</v>
      </c>
      <c r="P7" s="3">
        <f>IFERROR(__xludf.DUMMYFUNCTION("""COMPUTED_VALUE"""),-9191.0)</f>
        <v>-9191</v>
      </c>
      <c r="S7" s="4"/>
      <c r="T7" s="4"/>
      <c r="AA7" s="4" t="str">
        <f>IFERROR(__xludf.DUMMYFUNCTION("""COMPUTED_VALUE"""),"Form G4 - K Instagram")</f>
        <v>Form G4 - K Instagram</v>
      </c>
      <c r="AB7" s="5">
        <f>IFERROR(__xludf.DUMMYFUNCTION("""COMPUTED_VALUE"""),-0.6348115143225639)</f>
        <v>-0.6348115143</v>
      </c>
      <c r="AC7" s="3">
        <f>IFERROR(__xludf.DUMMYFUNCTION("""COMPUTED_VALUE"""),-772.9962406015037)</f>
        <v>-772.9962406</v>
      </c>
      <c r="AD7" s="4" t="str">
        <f>IFERROR(__xludf.DUMMYFUNCTION("""COMPUTED_VALUE"""),"Form G4 Outros - Orgânico")</f>
        <v>Form G4 Outros - Orgânico</v>
      </c>
      <c r="AE7" s="5">
        <f>IFERROR(__xludf.DUMMYFUNCTION("""COMPUTED_VALUE"""),0.3703138830155035)</f>
        <v>0.370313883</v>
      </c>
      <c r="AF7" s="3">
        <f>IFERROR(__xludf.DUMMYFUNCTION("""COMPUTED_VALUE"""),309.0692684419819)</f>
        <v>309.0692684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IFERROR(__xludf.DUMMYFUNCTION("""COMPUTED_VALUE"""),"Form G4 Instagram Tallis")</f>
        <v>Form G4 Instagram Tallis</v>
      </c>
      <c r="G8" s="5">
        <f>IFERROR(__xludf.DUMMYFUNCTION("""COMPUTED_VALUE"""),-0.5349999999999998)</f>
        <v>-0.535</v>
      </c>
      <c r="H8" s="4" t="str">
        <f>IFERROR(__xludf.DUMMYFUNCTION("""COMPUTED_VALUE"""),"Form G4 - K Instagram")</f>
        <v>Form G4 - K Instagram</v>
      </c>
      <c r="I8" s="5">
        <f>IFERROR(__xludf.DUMMYFUNCTION("""COMPUTED_VALUE"""),-0.4966353075094578)</f>
        <v>-0.4966353075</v>
      </c>
      <c r="J8" s="4" t="str">
        <f>IFERROR(__xludf.DUMMYFUNCTION("""COMPUTED_VALUE"""),"[SKL] Site")</f>
        <v>[SKL] Site</v>
      </c>
      <c r="K8" s="6">
        <f>IFERROR(__xludf.DUMMYFUNCTION("""COMPUTED_VALUE"""),-5.216564237635351)</f>
        <v>-5.216564238</v>
      </c>
      <c r="L8" s="4" t="str">
        <f>IFERROR(__xludf.DUMMYFUNCTION("""COMPUTED_VALUE"""),"[SKL] Midia Paga - Quente")</f>
        <v>[SKL] Midia Paga - Quente</v>
      </c>
      <c r="M8" s="6">
        <f>IFERROR(__xludf.DUMMYFUNCTION("""COMPUTED_VALUE"""),-12.592592592592593)</f>
        <v>-12.59259259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IFERROR(__xludf.DUMMYFUNCTION("""COMPUTED_VALUE"""),-0.36746089708477875)</f>
        <v>-0.3674608971</v>
      </c>
      <c r="P8" s="3">
        <f>IFERROR(__xludf.DUMMYFUNCTION("""COMPUTED_VALUE"""),-6037.75)</f>
        <v>-6037.75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IFERROR(__xludf.DUMMYFUNCTION("""COMPUTED_VALUE"""),-0.6108782949246303)</f>
        <v>-0.6108782949</v>
      </c>
      <c r="AC8" s="3">
        <f>IFERROR(__xludf.DUMMYFUNCTION("""COMPUTED_VALUE"""),-1413.335313531353)</f>
        <v>-1413.335314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Instagram Outros")</f>
        <v>Form G4 Instagram Outros</v>
      </c>
      <c r="G9" s="5">
        <f>IFERROR(__xludf.DUMMYFUNCTION("""COMPUTED_VALUE"""),-0.5310924369747897)</f>
        <v>-0.531092437</v>
      </c>
      <c r="H9" s="4" t="str">
        <f>IFERROR(__xludf.DUMMYFUNCTION("""COMPUTED_VALUE"""),"Form G4 Instagram Outros")</f>
        <v>Form G4 Instagram Outros</v>
      </c>
      <c r="I9" s="5">
        <f>IFERROR(__xludf.DUMMYFUNCTION("""COMPUTED_VALUE"""),-0.49078396790815076)</f>
        <v>-0.4907839679</v>
      </c>
      <c r="J9" s="4" t="str">
        <f>IFERROR(__xludf.DUMMYFUNCTION("""COMPUTED_VALUE"""),"[IM] Form G4 Facebook Ads - K")</f>
        <v>[IM] Form G4 Facebook Ads - K</v>
      </c>
      <c r="K9" s="6">
        <f>IFERROR(__xludf.DUMMYFUNCTION("""COMPUTED_VALUE"""),-4.1129983097662555)</f>
        <v>-4.11299831</v>
      </c>
      <c r="L9" s="4" t="str">
        <f>IFERROR(__xludf.DUMMYFUNCTION("""COMPUTED_VALUE"""),"Form G4 Google")</f>
        <v>Form G4 Google</v>
      </c>
      <c r="M9" s="6">
        <f>IFERROR(__xludf.DUMMYFUNCTION("""COMPUTED_VALUE"""),-12.24390243902439)</f>
        <v>-12.24390244</v>
      </c>
      <c r="N9" s="9" t="str">
        <f>IFERROR(__xludf.DUMMYFUNCTION("""COMPUTED_VALUE"""),"[SKL] Site")</f>
        <v>[SKL] Site</v>
      </c>
      <c r="O9" s="5">
        <f>IFERROR(__xludf.DUMMYFUNCTION("""COMPUTED_VALUE"""),-0.3590714896041014)</f>
        <v>-0.3590714896</v>
      </c>
      <c r="P9" s="3">
        <f>IFERROR(__xludf.DUMMYFUNCTION("""COMPUTED_VALUE"""),-6303.5)</f>
        <v>-6303.5</v>
      </c>
      <c r="S9" s="4"/>
      <c r="T9" s="4"/>
      <c r="AA9" s="4" t="str">
        <f>IFERROR(__xludf.DUMMYFUNCTION("""COMPUTED_VALUE"""),"Form G4 Outros - Não Orgânico")</f>
        <v>Form G4 Outros - Não Orgânico</v>
      </c>
      <c r="AB9" s="5">
        <f>IFERROR(__xludf.DUMMYFUNCTION("""COMPUTED_VALUE"""),-0.5985089163139865)</f>
        <v>-0.5985089163</v>
      </c>
      <c r="AC9" s="3">
        <f>IFERROR(__xludf.DUMMYFUNCTION("""COMPUTED_VALUE"""),-3484.9714285714285)</f>
        <v>-3484.971429</v>
      </c>
      <c r="AD9" s="4" t="str">
        <f>IFERROR(__xludf.DUMMYFUNCTION("""COMPUTED_VALUE"""),"[SKL] Outros")</f>
        <v>[SKL] Outros</v>
      </c>
      <c r="AE9" s="5">
        <f>IFERROR(__xludf.DUMMYFUNCTION("""COMPUTED_VALUE"""),0.11559447450269511)</f>
        <v>0.1155944745</v>
      </c>
      <c r="AF9" s="3">
        <f>IFERROR(__xludf.DUMMYFUNCTION("""COMPUTED_VALUE"""),-593.4938426740387)</f>
        <v>-593.4938427</v>
      </c>
    </row>
    <row r="10">
      <c r="F10" s="4" t="str">
        <f>IFERROR(__xludf.DUMMYFUNCTION("""COMPUTED_VALUE"""),"Form G4 - K Instagram")</f>
        <v>Form G4 - K Instagram</v>
      </c>
      <c r="G10" s="5">
        <f>IFERROR(__xludf.DUMMYFUNCTION("""COMPUTED_VALUE"""),-0.49271524225870944)</f>
        <v>-0.4927152423</v>
      </c>
      <c r="H10" s="4" t="str">
        <f>IFERROR(__xludf.DUMMYFUNCTION("""COMPUTED_VALUE"""),"Form G4 Instagram Tallis")</f>
        <v>Form G4 Instagram Tallis</v>
      </c>
      <c r="I10" s="5">
        <f>IFERROR(__xludf.DUMMYFUNCTION("""COMPUTED_VALUE"""),-0.48629842180774724)</f>
        <v>-0.4862984218</v>
      </c>
      <c r="J10" s="4" t="str">
        <f>IFERROR(__xludf.DUMMYFUNCTION("""COMPUTED_VALUE"""),"[CM] Form G4 - Outros")</f>
        <v>[CM] Form G4 - Outros</v>
      </c>
      <c r="K10" s="6">
        <f>IFERROR(__xludf.DUMMYFUNCTION("""COMPUTED_VALUE"""),-4.07058823529412)</f>
        <v>-4.070588235</v>
      </c>
      <c r="L10" s="4" t="str">
        <f>IFERROR(__xludf.DUMMYFUNCTION("""COMPUTED_VALUE"""),"Form G4 - K Instagram")</f>
        <v>Form G4 - K Instagram</v>
      </c>
      <c r="M10" s="6">
        <f>IFERROR(__xludf.DUMMYFUNCTION("""COMPUTED_VALUE"""),-11.654135338345863)</f>
        <v>-11.65413534</v>
      </c>
      <c r="N10" s="9" t="str">
        <f>IFERROR(__xludf.DUMMYFUNCTION("""COMPUTED_VALUE"""),"[ON] Abandono de carrinho")</f>
        <v>[ON] Abandono de carrinho</v>
      </c>
      <c r="O10" s="5">
        <f>IFERROR(__xludf.DUMMYFUNCTION("""COMPUTED_VALUE"""),-0.34860062176509665)</f>
        <v>-0.3486006218</v>
      </c>
      <c r="P10" s="3">
        <f>IFERROR(__xludf.DUMMYFUNCTION("""COMPUTED_VALUE"""),-1061.8374938964844)</f>
        <v>-1061.837494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IFERROR(__xludf.DUMMYFUNCTION("""COMPUTED_VALUE"""),-0.4376571501822497)</f>
        <v>-0.4376571502</v>
      </c>
      <c r="AC10" s="3">
        <f>IFERROR(__xludf.DUMMYFUNCTION("""COMPUTED_VALUE"""),-3905.923076923077)</f>
        <v>-3905.923077</v>
      </c>
      <c r="AD10" s="9" t="str">
        <f>IFERROR(__xludf.DUMMYFUNCTION("""COMPUTED_VALUE"""),"[SKL] Site")</f>
        <v>[SKL] Site</v>
      </c>
      <c r="AE10" s="10">
        <f>IFERROR(__xludf.DUMMYFUNCTION("""COMPUTED_VALUE"""),0.08230937586489295)</f>
        <v>0.08230937586</v>
      </c>
      <c r="AF10" s="11">
        <f>IFERROR(__xludf.DUMMYFUNCTION("""COMPUTED_VALUE"""),-605.7114164904865)</f>
        <v>-605.7114165</v>
      </c>
    </row>
    <row r="11">
      <c r="F11" s="4" t="str">
        <f>IFERROR(__xludf.DUMMYFUNCTION("""COMPUTED_VALUE"""),"Form G4 Outros - Não Orgânico")</f>
        <v>Form G4 Outros - Não Orgânico</v>
      </c>
      <c r="G11" s="5">
        <f>IFERROR(__xludf.DUMMYFUNCTION("""COMPUTED_VALUE"""),-0.4763370841620574)</f>
        <v>-0.4763370842</v>
      </c>
      <c r="H11" s="4" t="str">
        <f>IFERROR(__xludf.DUMMYFUNCTION("""COMPUTED_VALUE"""),"Form G4 Outros - Não Orgânico")</f>
        <v>Form G4 Outros - Não Orgânico</v>
      </c>
      <c r="I11" s="5">
        <f>IFERROR(__xludf.DUMMYFUNCTION("""COMPUTED_VALUE"""),-0.4577740598501841)</f>
        <v>-0.4577740599</v>
      </c>
      <c r="J11" s="4" t="str">
        <f>IFERROR(__xludf.DUMMYFUNCTION("""COMPUTED_VALUE"""),"[IM] Chat")</f>
        <v>[IM] Chat</v>
      </c>
      <c r="K11" s="6">
        <f>IFERROR(__xludf.DUMMYFUNCTION("""COMPUTED_VALUE"""),-2.278042560735299)</f>
        <v>-2.278042561</v>
      </c>
      <c r="L11" s="4" t="str">
        <f>IFERROR(__xludf.DUMMYFUNCTION("""COMPUTED_VALUE"""),"[SKL] CRM - WhatsApp")</f>
        <v>[SKL] CRM - WhatsApp</v>
      </c>
      <c r="M11" s="6">
        <f>IFERROR(__xludf.DUMMYFUNCTION("""COMPUTED_VALUE"""),-11.047463175122749)</f>
        <v>-11.04746318</v>
      </c>
      <c r="N11" s="9" t="str">
        <f>IFERROR(__xludf.DUMMYFUNCTION("""COMPUTED_VALUE"""),"Form G4 Instagram Tallis")</f>
        <v>Form G4 Instagram Tallis</v>
      </c>
      <c r="O11" s="5">
        <f>IFERROR(__xludf.DUMMYFUNCTION("""COMPUTED_VALUE"""),-0.32810522682823945)</f>
        <v>-0.3281052268</v>
      </c>
      <c r="P11" s="3">
        <f>IFERROR(__xludf.DUMMYFUNCTION("""COMPUTED_VALUE"""),-8556.0)</f>
        <v>-8556</v>
      </c>
      <c r="AA11" s="4" t="str">
        <f>IFERROR(__xludf.DUMMYFUNCTION("""COMPUTED_VALUE"""),"[IM] Form Facebook Ads")</f>
        <v>[IM] Form Facebook Ads</v>
      </c>
      <c r="AB11" s="5">
        <f>IFERROR(__xludf.DUMMYFUNCTION("""COMPUTED_VALUE"""),-0.41210241008323534)</f>
        <v>-0.4121024101</v>
      </c>
      <c r="AC11" s="3">
        <f>IFERROR(__xludf.DUMMYFUNCTION("""COMPUTED_VALUE"""),-2535.095744680851)</f>
        <v>-2535.095745</v>
      </c>
    </row>
    <row r="12">
      <c r="F12" s="4" t="str">
        <f>IFERROR(__xludf.DUMMYFUNCTION("""COMPUTED_VALUE"""),"[ON] Chat")</f>
        <v>[ON] Chat</v>
      </c>
      <c r="G12" s="5">
        <f>IFERROR(__xludf.DUMMYFUNCTION("""COMPUTED_VALUE"""),-0.44078431372548993)</f>
        <v>-0.4407843137</v>
      </c>
      <c r="H12" s="4" t="str">
        <f>IFERROR(__xludf.DUMMYFUNCTION("""COMPUTED_VALUE"""),"Form G4 - K Outros")</f>
        <v>Form G4 - K Outros</v>
      </c>
      <c r="I12" s="5">
        <f>IFERROR(__xludf.DUMMYFUNCTION("""COMPUTED_VALUE"""),-0.38192381329636205)</f>
        <v>-0.3819238133</v>
      </c>
      <c r="J12" s="4" t="str">
        <f>IFERROR(__xludf.DUMMYFUNCTION("""COMPUTED_VALUE"""),"Form G4 Instagram G4")</f>
        <v>Form G4 Instagram G4</v>
      </c>
      <c r="K12" s="6">
        <f>IFERROR(__xludf.DUMMYFUNCTION("""COMPUTED_VALUE"""),-1.8817621866608014)</f>
        <v>-1.881762187</v>
      </c>
      <c r="L12" s="4" t="str">
        <f>IFERROR(__xludf.DUMMYFUNCTION("""COMPUTED_VALUE"""),"Form G4 Instagram Outros")</f>
        <v>Form G4 Instagram Outros</v>
      </c>
      <c r="M12" s="6">
        <f>IFERROR(__xludf.DUMMYFUNCTION("""COMPUTED_VALUE"""),-10.179487179487182)</f>
        <v>-10.17948718</v>
      </c>
      <c r="N12" s="9" t="str">
        <f>IFERROR(__xludf.DUMMYFUNCTION("""COMPUTED_VALUE"""),"[IM] Social DM")</f>
        <v>[IM] Social DM</v>
      </c>
      <c r="O12" s="5">
        <f>IFERROR(__xludf.DUMMYFUNCTION("""COMPUTED_VALUE"""),-0.30934989114816264)</f>
        <v>-0.3093498911</v>
      </c>
      <c r="P12" s="3">
        <f>IFERROR(__xludf.DUMMYFUNCTION("""COMPUTED_VALUE"""),-12243.44999186198)</f>
        <v>-12243.44999</v>
      </c>
      <c r="AA12" s="4" t="str">
        <f>IFERROR(__xludf.DUMMYFUNCTION("""COMPUTED_VALUE"""),"[IM] Social DM")</f>
        <v>[IM] Social DM</v>
      </c>
      <c r="AB12" s="5">
        <f>IFERROR(__xludf.DUMMYFUNCTION("""COMPUTED_VALUE"""),-0.3583899008703655)</f>
        <v>-0.3583899009</v>
      </c>
      <c r="AC12" s="3">
        <f>IFERROR(__xludf.DUMMYFUNCTION("""COMPUTED_VALUE"""),-6194.835553747105)</f>
        <v>-6194.835554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IFERROR(__xludf.DUMMYFUNCTION("""COMPUTED_VALUE"""),-0.3696441539578792)</f>
        <v>-0.369644154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IFERROR(__xludf.DUMMYFUNCTION("""COMPUTED_VALUE"""),-0.37086933538847616)</f>
        <v>-0.3708693354</v>
      </c>
      <c r="J13" s="4" t="str">
        <f>IFERROR(__xludf.DUMMYFUNCTION("""COMPUTED_VALUE"""),"[SKL] Midia Paga - Quente")</f>
        <v>[SKL] Midia Paga - Quente</v>
      </c>
      <c r="K13" s="6">
        <f>IFERROR(__xludf.DUMMYFUNCTION("""COMPUTED_VALUE"""),-1.8507863444572337)</f>
        <v>-1.850786344</v>
      </c>
      <c r="L13" s="4" t="str">
        <f>IFERROR(__xludf.DUMMYFUNCTION("""COMPUTED_VALUE"""),"Form G4 Outros - Não Orgânico")</f>
        <v>Form G4 Outros - Não Orgânico</v>
      </c>
      <c r="M13" s="6">
        <f>IFERROR(__xludf.DUMMYFUNCTION("""COMPUTED_VALUE"""),-10.0)</f>
        <v>-10</v>
      </c>
      <c r="N13" s="9" t="str">
        <f>IFERROR(__xludf.DUMMYFUNCTION("""COMPUTED_VALUE"""),"Form G4 Outros - Não Orgânico")</f>
        <v>Form G4 Outros - Não Orgânico</v>
      </c>
      <c r="O13" s="5">
        <f>IFERROR(__xludf.DUMMYFUNCTION("""COMPUTED_VALUE"""),-0.2564677123650438)</f>
        <v>-0.2564677124</v>
      </c>
      <c r="P13" s="3">
        <f>IFERROR(__xludf.DUMMYFUNCTION("""COMPUTED_VALUE"""),-7554.0)</f>
        <v>-7554</v>
      </c>
      <c r="AA13" s="4" t="str">
        <f>IFERROR(__xludf.DUMMYFUNCTION("""COMPUTED_VALUE"""),"Form G4 Google")</f>
        <v>Form G4 Google</v>
      </c>
      <c r="AB13" s="5">
        <f>IFERROR(__xludf.DUMMYFUNCTION("""COMPUTED_VALUE"""),-0.2989145430607143)</f>
        <v>-0.2989145431</v>
      </c>
      <c r="AC13" s="3">
        <f>IFERROR(__xludf.DUMMYFUNCTION("""COMPUTED_VALUE"""),-2234.669023794779)</f>
        <v>-2234.669024</v>
      </c>
    </row>
    <row r="14">
      <c r="F14" s="4" t="str">
        <f>IFERROR(__xludf.DUMMYFUNCTION("""COMPUTED_VALUE"""),"Form G4 Incompleto Instagram")</f>
        <v>Form G4 Incompleto Instagram</v>
      </c>
      <c r="G14" s="5">
        <f>IFERROR(__xludf.DUMMYFUNCTION("""COMPUTED_VALUE"""),-0.3226890756302518)</f>
        <v>-0.3226890756</v>
      </c>
      <c r="H14" s="4" t="str">
        <f>IFERROR(__xludf.DUMMYFUNCTION("""COMPUTED_VALUE"""),"Form G4 Incompleto Instagram")</f>
        <v>Form G4 Incompleto Instagram</v>
      </c>
      <c r="I14" s="5">
        <f>IFERROR(__xludf.DUMMYFUNCTION("""COMPUTED_VALUE"""),-0.3301320528211281)</f>
        <v>-0.3301320528</v>
      </c>
      <c r="J14" s="4" t="str">
        <f>IFERROR(__xludf.DUMMYFUNCTION("""COMPUTED_VALUE"""),"[IM] Social DM")</f>
        <v>[IM] Social DM</v>
      </c>
      <c r="K14" s="6">
        <f>IFERROR(__xludf.DUMMYFUNCTION("""COMPUTED_VALUE"""),-1.5625)</f>
        <v>-1.5625</v>
      </c>
      <c r="L14" s="4" t="str">
        <f>IFERROR(__xludf.DUMMYFUNCTION("""COMPUTED_VALUE"""),"[SKL] CRM - Email")</f>
        <v>[SKL] CRM - Email</v>
      </c>
      <c r="M14" s="6">
        <f>IFERROR(__xludf.DUMMYFUNCTION("""COMPUTED_VALUE"""),-9.666666666666666)</f>
        <v>-9.666666667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IFERROR(__xludf.DUMMYFUNCTION("""COMPUTED_VALUE"""),-0.22307843137254907)</f>
        <v>-0.2230784314</v>
      </c>
      <c r="P14" s="3">
        <f>IFERROR(__xludf.DUMMYFUNCTION("""COMPUTED_VALUE"""),-3792.333333333334)</f>
        <v>-3792.333333</v>
      </c>
      <c r="AA14" s="4" t="str">
        <f>IFERROR(__xludf.DUMMYFUNCTION("""COMPUTED_VALUE"""),"Form G4 Facebook")</f>
        <v>Form G4 Facebook</v>
      </c>
      <c r="AB14" s="5">
        <f>IFERROR(__xludf.DUMMYFUNCTION("""COMPUTED_VALUE"""),-0.26208560831458827)</f>
        <v>-0.2620856083</v>
      </c>
      <c r="AC14" s="3">
        <f>IFERROR(__xludf.DUMMYFUNCTION("""COMPUTED_VALUE"""),-1528.2269230769225)</f>
        <v>-1528.226923</v>
      </c>
    </row>
    <row r="15">
      <c r="F15" s="4" t="str">
        <f>IFERROR(__xludf.DUMMYFUNCTION("""COMPUTED_VALUE"""),"Form G4 Incompleto Outros")</f>
        <v>Form G4 Incompleto Outros</v>
      </c>
      <c r="G15" s="5">
        <f>IFERROR(__xludf.DUMMYFUNCTION("""COMPUTED_VALUE"""),-0.32008403361344506)</f>
        <v>-0.3200840336</v>
      </c>
      <c r="H15" s="4" t="str">
        <f>IFERROR(__xludf.DUMMYFUNCTION("""COMPUTED_VALUE"""),"Form G4 Incompleto Outros")</f>
        <v>Form G4 Incompleto Outros</v>
      </c>
      <c r="I15" s="5">
        <f>IFERROR(__xludf.DUMMYFUNCTION("""COMPUTED_VALUE"""),-0.28462298740634434)</f>
        <v>-0.2846229874</v>
      </c>
      <c r="J15" s="4"/>
      <c r="K15" s="4"/>
      <c r="L15" s="9" t="str">
        <f>IFERROR(__xludf.DUMMYFUNCTION("""COMPUTED_VALUE"""),"[IM] Form Facebook Ads")</f>
        <v>[IM] Form Facebook Ads</v>
      </c>
      <c r="M15" s="6">
        <f>IFERROR(__xludf.DUMMYFUNCTION("""COMPUTED_VALUE"""),-9.617021276595745)</f>
        <v>-9.617021277</v>
      </c>
      <c r="N15" s="9" t="str">
        <f>IFERROR(__xludf.DUMMYFUNCTION("""COMPUTED_VALUE"""),"Form G4 Instagram Outros")</f>
        <v>Form G4 Instagram Outros</v>
      </c>
      <c r="O15" s="5">
        <f>IFERROR(__xludf.DUMMYFUNCTION("""COMPUTED_VALUE"""),-0.22154000000000001)</f>
        <v>-0.22154</v>
      </c>
      <c r="P15" s="3">
        <f>IFERROR(__xludf.DUMMYFUNCTION("""COMPUTED_VALUE"""),-6646.200000000001)</f>
        <v>-6646.2</v>
      </c>
      <c r="AA15" s="4" t="str">
        <f>IFERROR(__xludf.DUMMYFUNCTION("""COMPUTED_VALUE"""),"Form G4 Incompleto Instagram")</f>
        <v>Form G4 Incompleto Instagram</v>
      </c>
      <c r="AB15" s="5">
        <f>IFERROR(__xludf.DUMMYFUNCTION("""COMPUTED_VALUE"""),-0.25966959800497236)</f>
        <v>-0.259669598</v>
      </c>
      <c r="AC15" s="3">
        <f>IFERROR(__xludf.DUMMYFUNCTION("""COMPUTED_VALUE"""),-874.6176470588234)</f>
        <v>-874.6176471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IFERROR(__xludf.DUMMYFUNCTION("""COMPUTED_VALUE"""),-0.3189905591866373)</f>
        <v>-0.3189905592</v>
      </c>
      <c r="H16" s="4" t="str">
        <f>IFERROR(__xludf.DUMMYFUNCTION("""COMPUTED_VALUE"""),"[SKL] Site")</f>
        <v>[SKL] Site</v>
      </c>
      <c r="I16" s="5">
        <f>IFERROR(__xludf.DUMMYFUNCTION("""COMPUTED_VALUE"""),-0.2591111428503412)</f>
        <v>-0.2591111429</v>
      </c>
      <c r="J16" s="4"/>
      <c r="K16" s="4"/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N16" s="9" t="str">
        <f>IFERROR(__xludf.DUMMYFUNCTION("""COMPUTED_VALUE"""),"[SKL] CRM - WhatsApp")</f>
        <v>[SKL] CRM - WhatsApp</v>
      </c>
      <c r="O16" s="5">
        <f>IFERROR(__xludf.DUMMYFUNCTION("""COMPUTED_VALUE"""),-0.026180227224613647)</f>
        <v>-0.02618022722</v>
      </c>
      <c r="P16" s="3">
        <f>IFERROR(__xludf.DUMMYFUNCTION("""COMPUTED_VALUE"""),-371.0)</f>
        <v>-371</v>
      </c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IFERROR(__xludf.DUMMYFUNCTION("""COMPUTED_VALUE"""),"[SKL] Site")</f>
        <v>[SKL] Site</v>
      </c>
      <c r="G17" s="5">
        <f>IFERROR(__xludf.DUMMYFUNCTION("""COMPUTED_VALUE"""),-0.24092316352378232)</f>
        <v>-0.2409231635</v>
      </c>
      <c r="H17" s="4" t="str">
        <f>IFERROR(__xludf.DUMMYFUNCTION("""COMPUTED_VALUE"""),"Form G4 Google")</f>
        <v>Form G4 Google</v>
      </c>
      <c r="I17" s="5">
        <f>IFERROR(__xludf.DUMMYFUNCTION("""COMPUTED_VALUE"""),-0.2358846637738462)</f>
        <v>-0.2358846638</v>
      </c>
      <c r="J17" s="4"/>
      <c r="K17" s="4"/>
      <c r="L17" s="9" t="str">
        <f>IFERROR(__xludf.DUMMYFUNCTION("""COMPUTED_VALUE"""),"Form G4 Instagram G4")</f>
        <v>Form G4 Instagram G4</v>
      </c>
      <c r="M17" s="6">
        <f>IFERROR(__xludf.DUMMYFUNCTION("""COMPUTED_VALUE"""),-7.839572192513368)</f>
        <v>-7.839572193</v>
      </c>
      <c r="N17" s="9" t="str">
        <f>IFERROR(__xludf.DUMMYFUNCTION("""COMPUTED_VALUE"""),"[IM] Time de vendas")</f>
        <v>[IM] Time de vendas</v>
      </c>
      <c r="O17" s="5">
        <f>IFERROR(__xludf.DUMMYFUNCTION("""COMPUTED_VALUE"""),-0.011730087794674302)</f>
        <v>-0.01173008779</v>
      </c>
      <c r="P17" s="3">
        <f>IFERROR(__xludf.DUMMYFUNCTION("""COMPUTED_VALUE"""),-377.2712636611868)</f>
        <v>-377.2712637</v>
      </c>
      <c r="AA17" s="4" t="str">
        <f>IFERROR(__xludf.DUMMYFUNCTION("""COMPUTED_VALUE"""),"[SKL] CRM - Email")</f>
        <v>[SKL] CRM - Email</v>
      </c>
      <c r="AB17" s="5">
        <f>IFERROR(__xludf.DUMMYFUNCTION("""COMPUTED_VALUE"""),-0.12228023611015781)</f>
        <v>-0.1222802361</v>
      </c>
      <c r="AC17" s="3">
        <f>IFERROR(__xludf.DUMMYFUNCTION("""COMPUTED_VALUE"""),-869.5999999999995)</f>
        <v>-869.6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IFERROR(__xludf.DUMMYFUNCTION("""COMPUTED_VALUE"""),-0.21399594320486773)</f>
        <v>-0.2139959432</v>
      </c>
      <c r="H18" s="4" t="str">
        <f>IFERROR(__xludf.DUMMYFUNCTION("""COMPUTED_VALUE"""),"[SKL] CRM - WhatsApp")</f>
        <v>[SKL] CRM - WhatsApp</v>
      </c>
      <c r="I18" s="5">
        <f>IFERROR(__xludf.DUMMYFUNCTION("""COMPUTED_VALUE"""),-0.2141456582633049)</f>
        <v>-0.2141456583</v>
      </c>
      <c r="J18" s="4"/>
      <c r="K18" s="4"/>
      <c r="L18" s="9" t="str">
        <f>IFERROR(__xludf.DUMMYFUNCTION("""COMPUTED_VALUE"""),"Form G4 Incompleto Outros")</f>
        <v>Form G4 Incompleto Outros</v>
      </c>
      <c r="M18" s="6">
        <f>IFERROR(__xludf.DUMMYFUNCTION("""COMPUTED_VALUE"""),-7.55775577557756)</f>
        <v>-7.557755776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IFERROR(__xludf.DUMMYFUNCTION("""COMPUTED_VALUE"""),-0.09144678135156048)</f>
        <v>-0.09144678135</v>
      </c>
      <c r="AC18" s="3">
        <f>IFERROR(__xludf.DUMMYFUNCTION("""COMPUTED_VALUE"""),-1506.5935828877004)</f>
        <v>-1506.593583</v>
      </c>
    </row>
    <row r="19">
      <c r="F19" s="4" t="str">
        <f>IFERROR(__xludf.DUMMYFUNCTION("""COMPUTED_VALUE"""),"[SKL] CRM - WhatsApp")</f>
        <v>[SKL] CRM - WhatsApp</v>
      </c>
      <c r="G19" s="5">
        <f>IFERROR(__xludf.DUMMYFUNCTION("""COMPUTED_VALUE"""),-0.19627137447845014)</f>
        <v>-0.1962713745</v>
      </c>
      <c r="H19" s="4" t="str">
        <f>IFERROR(__xludf.DUMMYFUNCTION("""COMPUTED_VALUE"""),"[IM] Form Facebook Ads")</f>
        <v>[IM] Form Facebook Ads</v>
      </c>
      <c r="I19" s="5">
        <f>IFERROR(__xludf.DUMMYFUNCTION("""COMPUTED_VALUE"""),-0.1789344009855247)</f>
        <v>-0.178934401</v>
      </c>
      <c r="J19" s="4"/>
      <c r="K19" s="4"/>
      <c r="L19" s="9" t="str">
        <f>IFERROR(__xludf.DUMMYFUNCTION("""COMPUTED_VALUE"""),"Form G4 Outros - Orgânico")</f>
        <v>Form G4 Outros - Orgânico</v>
      </c>
      <c r="M19" s="6">
        <f>IFERROR(__xludf.DUMMYFUNCTION("""COMPUTED_VALUE"""),-7.085416213866552)</f>
        <v>-7.085416214</v>
      </c>
      <c r="O19" s="4"/>
      <c r="P19" s="4"/>
      <c r="AA19" s="4"/>
      <c r="AB19" s="4"/>
      <c r="AC19" s="4"/>
    </row>
    <row r="20">
      <c r="F20" s="4" t="str">
        <f>IFERROR(__xludf.DUMMYFUNCTION("""COMPUTED_VALUE"""),"Form G4 Outros - Orgânico")</f>
        <v>Form G4 Outros - Orgânico</v>
      </c>
      <c r="G20" s="5">
        <f>IFERROR(__xludf.DUMMYFUNCTION("""COMPUTED_VALUE"""),-0.176531189398836)</f>
        <v>-0.1765311894</v>
      </c>
      <c r="H20" s="4" t="str">
        <f>IFERROR(__xludf.DUMMYFUNCTION("""COMPUTED_VALUE"""),"[ON] Chat")</f>
        <v>[ON] Chat</v>
      </c>
      <c r="I20" s="5">
        <f>IFERROR(__xludf.DUMMYFUNCTION("""COMPUTED_VALUE"""),-0.173823969049503)</f>
        <v>-0.173823969</v>
      </c>
      <c r="J20" s="4"/>
      <c r="K20" s="4"/>
      <c r="L20" s="9" t="str">
        <f>IFERROR(__xludf.DUMMYFUNCTION("""COMPUTED_VALUE"""),"Form G4 Facebook")</f>
        <v>Form G4 Facebook</v>
      </c>
      <c r="M20" s="6">
        <f>IFERROR(__xludf.DUMMYFUNCTION("""COMPUTED_VALUE"""),-7.05128205128205)</f>
        <v>-7.051282051</v>
      </c>
      <c r="O20" s="4"/>
      <c r="P20" s="4"/>
      <c r="AA20" s="4"/>
      <c r="AB20" s="4"/>
      <c r="AC20" s="4"/>
    </row>
    <row r="21">
      <c r="F21" s="4" t="str">
        <f>IFERROR(__xludf.DUMMYFUNCTION("""COMPUTED_VALUE"""),"[SKL] Midia Paga - Quente")</f>
        <v>[SKL] Midia Paga - Quente</v>
      </c>
      <c r="G21" s="5">
        <f>IFERROR(__xludf.DUMMYFUNCTION("""COMPUTED_VALUE"""),-0.16244870041039633)</f>
        <v>-0.1624487004</v>
      </c>
      <c r="H21" s="4" t="str">
        <f>IFERROR(__xludf.DUMMYFUNCTION("""COMPUTED_VALUE"""),"[SKL] Midia Paga - Quente")</f>
        <v>[SKL] Midia Paga - Quente</v>
      </c>
      <c r="I21" s="5">
        <f>IFERROR(__xludf.DUMMYFUNCTION("""COMPUTED_VALUE"""),-0.16244870041039625)</f>
        <v>-0.1624487004</v>
      </c>
      <c r="J21" s="4"/>
      <c r="K21" s="4"/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IFERROR(__xludf.DUMMYFUNCTION("""COMPUTED_VALUE"""),-5.444646098003629)</f>
        <v>-5.444646098</v>
      </c>
      <c r="O21" s="4"/>
      <c r="P21" s="4"/>
      <c r="AA21" s="4"/>
      <c r="AB21" s="4"/>
      <c r="AC21" s="4"/>
    </row>
    <row r="22">
      <c r="F22" s="4" t="str">
        <f>IFERROR(__xludf.DUMMYFUNCTION("""COMPUTED_VALUE"""),"[IM] Form Facebook Ads")</f>
        <v>[IM] Form Facebook Ads</v>
      </c>
      <c r="G22" s="5">
        <f>IFERROR(__xludf.DUMMYFUNCTION("""COMPUTED_VALUE"""),-0.08155220203264499)</f>
        <v>-0.08155220203</v>
      </c>
      <c r="H22" s="4" t="str">
        <f>IFERROR(__xludf.DUMMYFUNCTION("""COMPUTED_VALUE"""),"Form G4 Instagram G4")</f>
        <v>Form G4 Instagram G4</v>
      </c>
      <c r="I22" s="5">
        <f>IFERROR(__xludf.DUMMYFUNCTION("""COMPUTED_VALUE"""),-0.11265756302520967)</f>
        <v>-0.112657563</v>
      </c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 t="str">
        <f>IFERROR(__xludf.DUMMYFUNCTION("""COMPUTED_VALUE"""),"Form G4 Instagram G4")</f>
        <v>Form G4 Instagram G4</v>
      </c>
      <c r="G23" s="5">
        <f>IFERROR(__xludf.DUMMYFUNCTION("""COMPUTED_VALUE"""),-0.0765126050420164)</f>
        <v>-0.07651260504</v>
      </c>
      <c r="H23" s="4" t="str">
        <f>IFERROR(__xludf.DUMMYFUNCTION("""COMPUTED_VALUE"""),"Form G4 Outros - Orgânico")</f>
        <v>Form G4 Outros - Orgânico</v>
      </c>
      <c r="I23" s="5">
        <f>IFERROR(__xludf.DUMMYFUNCTION("""COMPUTED_VALUE"""),-0.11191749427043485)</f>
        <v>-0.1119174943</v>
      </c>
      <c r="J23" s="4"/>
      <c r="K23" s="4"/>
      <c r="L23" s="9" t="str">
        <f>IFERROR(__xludf.DUMMYFUNCTION("""COMPUTED_VALUE"""),"Aplicativo G4 - Indicação")</f>
        <v>Aplicativo G4 - Indicação</v>
      </c>
      <c r="M23" s="6">
        <f>IFERROR(__xludf.DUMMYFUNCTION("""COMPUTED_VALUE"""),-4.2735042735042725)</f>
        <v>-4.273504274</v>
      </c>
      <c r="O23" s="4"/>
      <c r="P23" s="4"/>
      <c r="AA23" s="4"/>
      <c r="AB23" s="4"/>
    </row>
    <row r="24">
      <c r="F24" s="4"/>
      <c r="G24" s="4"/>
      <c r="H24" s="4" t="str">
        <f>IFERROR(__xludf.DUMMYFUNCTION("""COMPUTED_VALUE"""),"[IM] Chat")</f>
        <v>[IM] Chat</v>
      </c>
      <c r="I24" s="5">
        <f>IFERROR(__xludf.DUMMYFUNCTION("""COMPUTED_VALUE"""),-0.07261375519644718)</f>
        <v>-0.0726137552</v>
      </c>
      <c r="J24" s="4"/>
      <c r="K24" s="4"/>
      <c r="L24" s="9" t="str">
        <f>IFERROR(__xludf.DUMMYFUNCTION("""COMPUTED_VALUE"""),"[SKL] Outros")</f>
        <v>[SKL] Outros</v>
      </c>
      <c r="M24" s="6">
        <f>IFERROR(__xludf.DUMMYFUNCTION("""COMPUTED_VALUE"""),-3.995978889168134)</f>
        <v>-3.995978889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IFERROR(__xludf.DUMMYFUNCTION("""COMPUTED_VALUE"""),-3.5913806863527546)</f>
        <v>-3.591380686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G4 - K Outros")</f>
        <v>Form G4 - K Outros</v>
      </c>
      <c r="M26" s="6">
        <f>IFERROR(__xludf.DUMMYFUNCTION("""COMPUTED_VALUE"""),-3.371428571428571)</f>
        <v>-3.371428571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IFERROR(__xludf.DUMMYFUNCTION("""COMPUTED_VALUE"""),-3.176470588235293)</f>
        <v>-3.176470588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Comercial!AE1"")"),1.8614748353333768E7)</f>
        <v>18614748.35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Comercial!AF4"")"),5486718.548217773)</f>
        <v>5486718.548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Comercial!AE4"")"),7900099.20115485)</f>
        <v>7900099.201</v>
      </c>
    </row>
    <row r="5">
      <c r="A5" s="1" t="s">
        <v>36</v>
      </c>
      <c r="B5" s="1" t="s">
        <v>2</v>
      </c>
      <c r="C5" s="3">
        <f>C3-C4</f>
        <v>-2413380.653</v>
      </c>
    </row>
    <row r="6">
      <c r="A6" s="1" t="s">
        <v>36</v>
      </c>
      <c r="B6" s="1" t="s">
        <v>39</v>
      </c>
      <c r="C6" s="5">
        <f>C3/C2</f>
        <v>0.2947511534</v>
      </c>
    </row>
    <row r="7">
      <c r="A7" s="1" t="s">
        <v>36</v>
      </c>
      <c r="B7" s="1" t="s">
        <v>40</v>
      </c>
      <c r="C7" s="5">
        <f>C3/C4</f>
        <v>0.6945126141</v>
      </c>
    </row>
    <row r="8">
      <c r="A8" s="1" t="s">
        <v>36</v>
      </c>
      <c r="B8" s="1" t="s">
        <v>41</v>
      </c>
      <c r="C8" s="5">
        <f>C9-C6</f>
        <v>0.1296488466</v>
      </c>
    </row>
    <row r="9">
      <c r="A9" s="1" t="s">
        <v>36</v>
      </c>
      <c r="B9" s="1" t="s">
        <v>42</v>
      </c>
      <c r="C9" s="7">
        <f>C4/C2</f>
        <v>0.4244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10486718.55</v>
      </c>
    </row>
    <row r="12">
      <c r="A12" s="1" t="s">
        <v>36</v>
      </c>
      <c r="B12" s="1" t="s">
        <v>45</v>
      </c>
      <c r="C12" s="12">
        <f>C2-C11</f>
        <v>8128029.805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0.2631578947368421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Geral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)"),"Form G4 Instagram Outros")</f>
        <v>Form G4 Instagram Outros</v>
      </c>
      <c r="B2" s="12">
        <f>IFERROR(__xludf.DUMMYFUNCTION("""COMPUTED_VALUE"""),-195849.5999999999)</f>
        <v>-195849.6</v>
      </c>
      <c r="C2" s="7">
        <f t="shared" ref="C2:C1000" si="1">IF(B2="","",B2/SUM($B$2:$B$1000))</f>
        <v>0.124760276</v>
      </c>
      <c r="D2" s="7">
        <f>IF(B2="","",C2)</f>
        <v>0.124760276</v>
      </c>
      <c r="E2" s="3">
        <f t="array" ref="E2">XLOOKUP(A2,'Dados Funil'!$A:$A,'Dados Funil'!$K:$K,"")</f>
        <v>-91.56129032</v>
      </c>
      <c r="F2" s="5">
        <f t="array" ref="F2">XLOOKUP(A2,'Dados Funil'!$A:$A,'Dados Funil'!$L:$L,"")</f>
        <v>-0.4907839679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2">
        <f>IFERROR(__xludf.DUMMYFUNCTION("""COMPUTED_VALUE"""),-106534.40000000007)</f>
        <v>-106534.4</v>
      </c>
      <c r="I2" s="7">
        <f t="shared" ref="I2:I1000" si="2">IF(H2="","",H2/SUM($H$2:$H$1000))</f>
        <v>0.3417480392</v>
      </c>
      <c r="J2" s="7">
        <f>IF(H2="","",I2)</f>
        <v>0.3417480392</v>
      </c>
      <c r="K2" s="6">
        <f t="array" ref="K2">XLOOKUP(G2,'Dados Funil'!A:A,'Dados Funil'!O:O,"")</f>
        <v>-6.674418605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IFERROR(__xludf.DUMMYFUNCTION("""COMPUTED_VALUE"""),-281733.0)</f>
        <v>-281733</v>
      </c>
      <c r="N2" s="7">
        <f t="shared" ref="N2:N1000" si="3">IF(M2="","",M2/SUM($M$2:$M$1000))</f>
        <v>0.1876150864</v>
      </c>
      <c r="O2" s="7">
        <f>IF(M2="","",N2)</f>
        <v>0.1876150864</v>
      </c>
      <c r="P2" s="12">
        <f t="array" ref="P2">XLOOKUP(L2,'Dados Funil'!A:A,'Dados Funil'!AM:AM,"")</f>
        <v>-1506.593583</v>
      </c>
      <c r="Q2" s="5">
        <f t="array" ref="Q2">XLOOKUP(L2,'Dados Funil'!A:A,'Dados Funil'!AN:AN,"")</f>
        <v>-0.2989272982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Facebook")</f>
        <v>Form G4 Facebook</v>
      </c>
      <c r="S2" s="12">
        <f>IFERROR(__xludf.DUMMYFUNCTION("""COMPUTED_VALUE"""),59924.201222970645)</f>
        <v>59924.20122</v>
      </c>
      <c r="T2" s="7">
        <f t="shared" ref="T2:T1000" si="4">IF(S2="","",S2/SUM($S$2:$S$1000))</f>
        <v>0.3773918138</v>
      </c>
      <c r="U2" s="7">
        <f>IF(S2="","",T2)</f>
        <v>0.3773918138</v>
      </c>
      <c r="V2" s="3">
        <f t="array" ref="V2">XLOOKUP(R2,'Dados Funil'!$A:$A,'Dados Funil'!$K:$K,"")</f>
        <v>63.88709677</v>
      </c>
      <c r="W2" s="5">
        <f t="array" ref="W2">XLOOKUP(R2,'Dados Funil'!$A:$A,'Dados Funil'!$L:$L,"")</f>
        <v>0.4559686888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Outros - Orgânico")</f>
        <v>Form G4 Outros - Orgânico</v>
      </c>
      <c r="Y2" s="12">
        <f>IFERROR(__xludf.DUMMYFUNCTION("""COMPUTED_VALUE"""),70262.57434154631)</f>
        <v>70262.57434</v>
      </c>
      <c r="Z2" s="7">
        <f t="shared" ref="Z2:Z1000" si="5">IF(Y2="","",Y2/SUM($Y$2:$Y$1000))</f>
        <v>0.2407285687</v>
      </c>
      <c r="AA2" s="7">
        <f>IF(Y2="","",Z2)</f>
        <v>0.2407285687</v>
      </c>
      <c r="AB2" s="6">
        <f t="array" ref="AB2">XLOOKUP(X2,'Dados Funil'!A:A,'Dados Funil'!O:O,"")</f>
        <v>7.906336088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)"),"[IM] Chat")</f>
        <v>[IM] Chat</v>
      </c>
      <c r="AD2" s="12">
        <f>IFERROR(__xludf.DUMMYFUNCTION("""COMPUTED_VALUE"""),197864.45570006978)</f>
        <v>197864.4557</v>
      </c>
      <c r="AE2" s="7">
        <f t="shared" ref="AE2:AE1000" si="6">IF(AD2="","",AD2/SUM($AD$2:$AD$1000))</f>
        <v>0.8815744319</v>
      </c>
      <c r="AF2" s="7">
        <f>IF(AD2="","",AE2)</f>
        <v>0.8815744319</v>
      </c>
      <c r="AG2" s="12">
        <f t="array" ref="AG2">XLOOKUP(AC2,'Dados Funil'!A:A,'Dados Funil'!AM:AM,"")</f>
        <v>2826.635081</v>
      </c>
      <c r="AH2" s="5">
        <f t="array" ref="AH2">XLOOKUP(AC2,'Dados Funil'!A:A,'Dados Funil'!AN:AN,"")</f>
        <v>0.589365215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IFERROR(__xludf.DUMMYFUNCTION("""COMPUTED_VALUE"""),614.1935483870965)</f>
        <v>614.1935484</v>
      </c>
      <c r="AK2" s="10">
        <f>IFERROR(__xludf.DUMMYFUNCTION("""COMPUTED_VALUE"""),0.3619368879216539)</f>
        <v>0.3619368879</v>
      </c>
      <c r="AL2" s="9">
        <f>IFERROR(__xludf.DUMMYFUNCTION("""COMPUTED_VALUE"""),5040.0)</f>
        <v>5040</v>
      </c>
      <c r="AM2" s="9">
        <f t="shared" ref="AM2:AM35" si="7">AJ2*AK2*AL2</f>
        <v>1120388.479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IFERROR(__xludf.DUMMYFUNCTION("""COMPUTED_VALUE"""),545.0)</f>
        <v>545</v>
      </c>
      <c r="AP2" s="10">
        <f>IFERROR(__xludf.DUMMYFUNCTION("""COMPUTED_VALUE"""),0.3431192660550459)</f>
        <v>0.3431192661</v>
      </c>
      <c r="AQ2" s="14">
        <f>IFERROR(__xludf.DUMMYFUNCTION("""COMPUTED_VALUE"""),3533.4064171122996)</f>
        <v>3533.406417</v>
      </c>
      <c r="AR2" s="9">
        <f t="shared" ref="AR2:AR35" si="8">AO2*AP2*AQ2</f>
        <v>660747</v>
      </c>
    </row>
    <row r="3">
      <c r="A3" s="4" t="str">
        <f>IFERROR(__xludf.DUMMYFUNCTION("""COMPUTED_VALUE"""),"Form G4 Instagram Tallis")</f>
        <v>Form G4 Instagram Tallis</v>
      </c>
      <c r="B3" s="12">
        <f>IFERROR(__xludf.DUMMYFUNCTION("""COMPUTED_VALUE"""),-187131.4318289105)</f>
        <v>-187131.4318</v>
      </c>
      <c r="C3" s="7">
        <f t="shared" si="1"/>
        <v>0.1192066212</v>
      </c>
      <c r="D3" s="7">
        <f t="shared" ref="D3:D1000" si="9">IF(B3="","",C3+D2)</f>
        <v>0.2439668972</v>
      </c>
      <c r="E3" s="3">
        <f t="array" ref="E3">XLOOKUP(A3,'Dados Funil'!$A:$A,'Dados Funil'!$K:$K,"")</f>
        <v>-79.51906158</v>
      </c>
      <c r="F3" s="5">
        <f t="array" ref="F3">XLOOKUP(A3,'Dados Funil'!$A:$A,'Dados Funil'!$L:$L,"")</f>
        <v>-0.4862984218</v>
      </c>
      <c r="G3" s="4" t="str">
        <f>IFERROR(__xludf.DUMMYFUNCTION("""COMPUTED_VALUE"""),"[ON] Outros")</f>
        <v>[ON] Outros</v>
      </c>
      <c r="H3" s="12">
        <f>IFERROR(__xludf.DUMMYFUNCTION("""COMPUTED_VALUE"""),-76174.37507946599)</f>
        <v>-76174.37508</v>
      </c>
      <c r="I3" s="7">
        <f t="shared" si="2"/>
        <v>0.244357159</v>
      </c>
      <c r="J3" s="7">
        <f t="shared" ref="J3:J1000" si="10">IF(H3="","",I3+J2)</f>
        <v>0.5861051983</v>
      </c>
      <c r="K3" s="6">
        <f t="array" ref="K3">XLOOKUP(G3,'Dados Funil'!A:A,'Dados Funil'!O:O,"")</f>
        <v>-13.34896811</v>
      </c>
      <c r="L3" s="4" t="str">
        <f>IFERROR(__xludf.DUMMYFUNCTION("""COMPUTED_VALUE"""),"[IM] Form Facebook Ads")</f>
        <v>[IM] Form Facebook Ads</v>
      </c>
      <c r="M3" s="12">
        <f>IFERROR(__xludf.DUMMYFUNCTION("""COMPUTED_VALUE"""),-238299.0)</f>
        <v>-238299</v>
      </c>
      <c r="N3" s="7">
        <f t="shared" si="3"/>
        <v>0.1586909857</v>
      </c>
      <c r="O3" s="7">
        <f t="shared" ref="O3:O1000" si="11">IF(N3="","",N3+O2)</f>
        <v>0.3463060721</v>
      </c>
      <c r="P3" s="12">
        <f t="array" ref="P3">XLOOKUP(L3,'Dados Funil'!A:A,'Dados Funil'!AM:AM,"")</f>
        <v>-2535.095745</v>
      </c>
      <c r="Q3" s="5">
        <f t="array" ref="Q3">XLOOKUP(L3,'Dados Funil'!A:A,'Dados Funil'!AN:AN,"")</f>
        <v>-0.5463568415</v>
      </c>
      <c r="R3" s="4" t="str">
        <f>IFERROR(__xludf.DUMMYFUNCTION("""COMPUTED_VALUE"""),"[IM] Social DM")</f>
        <v>[IM] Social DM</v>
      </c>
      <c r="S3" s="12">
        <f>IFERROR(__xludf.DUMMYFUNCTION("""COMPUTED_VALUE"""),38786.440000000155)</f>
        <v>38786.44</v>
      </c>
      <c r="T3" s="7">
        <f t="shared" si="4"/>
        <v>0.2442700052</v>
      </c>
      <c r="U3" s="7">
        <f t="shared" ref="U3:U1000" si="12">IF(S3="","",T3+U2)</f>
        <v>0.621661819</v>
      </c>
      <c r="V3" s="3">
        <f t="array" ref="V3">XLOOKUP(R3,'Dados Funil'!$A:$A,'Dados Funil'!$K:$K,"")</f>
        <v>7.225806452</v>
      </c>
      <c r="W3" s="5">
        <f t="array" ref="W3">XLOOKUP(R3,'Dados Funil'!$A:$A,'Dados Funil'!$L:$L,"")</f>
        <v>0.1272727273</v>
      </c>
      <c r="X3" s="4" t="str">
        <f>IFERROR(__xludf.DUMMYFUNCTION("""COMPUTED_VALUE"""),"Form G4 Instagram Outros")</f>
        <v>Form G4 Instagram Outros</v>
      </c>
      <c r="Y3" s="12">
        <f>IFERROR(__xludf.DUMMYFUNCTION("""COMPUTED_VALUE"""),65895.0)</f>
        <v>65895</v>
      </c>
      <c r="Z3" s="7">
        <f t="shared" si="5"/>
        <v>0.2257647003</v>
      </c>
      <c r="AA3" s="7">
        <f t="shared" ref="AA3:AA1000" si="13">IF(Y3="","",Z3+AA2)</f>
        <v>0.466493269</v>
      </c>
      <c r="AB3" s="6">
        <f t="array" ref="AB3">XLOOKUP(X3,'Dados Funil'!A:A,'Dados Funil'!O:O,"")</f>
        <v>10.05263158</v>
      </c>
      <c r="AC3" s="4" t="str">
        <f>IFERROR(__xludf.DUMMYFUNCTION("""COMPUTED_VALUE"""),"Form G4 Outros - Orgânico")</f>
        <v>Form G4 Outros - Orgânico</v>
      </c>
      <c r="AD3" s="12">
        <f>IFERROR(__xludf.DUMMYFUNCTION("""COMPUTED_VALUE"""),26579.957086010443)</f>
        <v>26579.95709</v>
      </c>
      <c r="AE3" s="7">
        <f t="shared" si="6"/>
        <v>0.1184255681</v>
      </c>
      <c r="AF3" s="7">
        <f t="shared" ref="AF3:AF11" si="14">IF(AE3="","",AE3+AF2)</f>
        <v>1</v>
      </c>
      <c r="AG3" s="12">
        <f t="array" ref="AG3">XLOOKUP(AC3,'Dados Funil'!A:A,'Dados Funil'!AM:AM,"")</f>
        <v>309.0692684</v>
      </c>
      <c r="AH3" s="5">
        <f t="array" ref="AH3">XLOOKUP(AC3,'Dados Funil'!A:A,'Dados Funil'!AN:AN,"")</f>
        <v>0.05738402173</v>
      </c>
      <c r="AI3" s="9" t="str">
        <f>IFERROR(__xludf.DUMMYFUNCTION("""COMPUTED_VALUE"""),"[IM] Form Facebook Ads")</f>
        <v>[IM] Form Facebook Ads</v>
      </c>
      <c r="AJ3" s="11">
        <f>IFERROR(__xludf.DUMMYFUNCTION("""COMPUTED_VALUE"""),418.9677419354837)</f>
        <v>418.9677419</v>
      </c>
      <c r="AK3" s="10">
        <f>IFERROR(__xludf.DUMMYFUNCTION("""COMPUTED_VALUE"""),0.34)</f>
        <v>0.34</v>
      </c>
      <c r="AL3" s="9">
        <f>IFERROR(__xludf.DUMMYFUNCTION("""COMPUTED_VALUE"""),4640.0)</f>
        <v>4640</v>
      </c>
      <c r="AM3" s="9">
        <f t="shared" si="7"/>
        <v>660963.5097</v>
      </c>
      <c r="AN3" s="9" t="str">
        <f>IFERROR(__xludf.DUMMYFUNCTION("""COMPUTED_VALUE"""),"[IM] Form Facebook Ads")</f>
        <v>[IM] Form Facebook Ads</v>
      </c>
      <c r="AO3" s="11">
        <f>IFERROR(__xludf.DUMMYFUNCTION("""COMPUTED_VALUE"""),344.0)</f>
        <v>344</v>
      </c>
      <c r="AP3" s="10">
        <f>IFERROR(__xludf.DUMMYFUNCTION("""COMPUTED_VALUE"""),0.27325581395348836)</f>
        <v>0.273255814</v>
      </c>
      <c r="AQ3" s="14">
        <f>IFERROR(__xludf.DUMMYFUNCTION("""COMPUTED_VALUE"""),2104.904255319149)</f>
        <v>2104.904255</v>
      </c>
      <c r="AR3" s="9">
        <f t="shared" si="8"/>
        <v>197861</v>
      </c>
    </row>
    <row r="4">
      <c r="A4" s="4" t="str">
        <f>IFERROR(__xludf.DUMMYFUNCTION("""COMPUTED_VALUE"""),"[IM] Outros")</f>
        <v>[IM] Outros</v>
      </c>
      <c r="B4" s="12">
        <f>IFERROR(__xludf.DUMMYFUNCTION("""COMPUTED_VALUE"""),-183562.06227380008)</f>
        <v>-183562.0623</v>
      </c>
      <c r="C4" s="7">
        <f t="shared" si="1"/>
        <v>0.1169328585</v>
      </c>
      <c r="D4" s="7">
        <f t="shared" si="9"/>
        <v>0.3608997557</v>
      </c>
      <c r="E4" s="3">
        <f t="array" ref="E4">XLOOKUP(A4,'Dados Funil'!$A:$A,'Dados Funil'!$K:$K,"")</f>
        <v>-82.43225806</v>
      </c>
      <c r="F4" s="5">
        <f t="array" ref="F4">XLOOKUP(A4,'Dados Funil'!$A:$A,'Dados Funil'!$L:$L,"")</f>
        <v>-0.8729247797</v>
      </c>
      <c r="G4" s="4" t="str">
        <f>IFERROR(__xludf.DUMMYFUNCTION("""COMPUTED_VALUE"""),"Form G4 Instagram G4")</f>
        <v>Form G4 Instagram G4</v>
      </c>
      <c r="H4" s="12">
        <f>IFERROR(__xludf.DUMMYFUNCTION("""COMPUTED_VALUE"""),-51688.243743198895)</f>
        <v>-51688.24374</v>
      </c>
      <c r="I4" s="7">
        <f t="shared" si="2"/>
        <v>0.1658089401</v>
      </c>
      <c r="J4" s="7">
        <f t="shared" si="10"/>
        <v>0.7519141384</v>
      </c>
      <c r="K4" s="6">
        <f t="array" ref="K4">XLOOKUP(G4,'Dados Funil'!A:A,'Dados Funil'!O:O,"")</f>
        <v>-1.881762187</v>
      </c>
      <c r="L4" s="4" t="str">
        <f>IFERROR(__xludf.DUMMYFUNCTION("""COMPUTED_VALUE"""),"Form G4 Instagram Tallis")</f>
        <v>Form G4 Instagram Tallis</v>
      </c>
      <c r="M4" s="12">
        <f>IFERROR(__xludf.DUMMYFUNCTION("""COMPUTED_VALUE"""),-180868.20967741936)</f>
        <v>-180868.2097</v>
      </c>
      <c r="N4" s="7">
        <f t="shared" si="3"/>
        <v>0.1204459711</v>
      </c>
      <c r="O4" s="7">
        <f t="shared" si="11"/>
        <v>0.4667520432</v>
      </c>
      <c r="P4" s="12">
        <f t="array" ref="P4">XLOOKUP(L4,'Dados Funil'!A:A,'Dados Funil'!AM:AM,"")</f>
        <v>-4019.293548</v>
      </c>
      <c r="Q4" s="5">
        <f t="array" ref="Q4">XLOOKUP(L4,'Dados Funil'!A:A,'Dados Funil'!AN:AN,"")</f>
        <v>-0.7748244544</v>
      </c>
      <c r="R4" s="4" t="str">
        <f>IFERROR(__xludf.DUMMYFUNCTION("""COMPUTED_VALUE"""),"[IM] Form G4 Facebook Ads - K")</f>
        <v>[IM] Form G4 Facebook Ads - K</v>
      </c>
      <c r="S4" s="12">
        <f>IFERROR(__xludf.DUMMYFUNCTION("""COMPUTED_VALUE"""),19973.025529178063)</f>
        <v>19973.02553</v>
      </c>
      <c r="T4" s="7">
        <f t="shared" si="4"/>
        <v>0.1257865133</v>
      </c>
      <c r="U4" s="7">
        <f t="shared" si="12"/>
        <v>0.7474483323</v>
      </c>
      <c r="V4" s="3">
        <f t="array" ref="V4">XLOOKUP(R4,'Dados Funil'!$A:$A,'Dados Funil'!$K:$K,"")</f>
        <v>32.73225806</v>
      </c>
      <c r="W4" s="5">
        <f t="array" ref="W4">XLOOKUP(R4,'Dados Funil'!$A:$A,'Dados Funil'!$L:$L,"")</f>
        <v>0.3472264997</v>
      </c>
      <c r="X4" s="4" t="str">
        <f>IFERROR(__xludf.DUMMYFUNCTION("""COMPUTED_VALUE"""),"[SKL] Outros")</f>
        <v>[SKL] Outros</v>
      </c>
      <c r="Y4" s="12">
        <f>IFERROR(__xludf.DUMMYFUNCTION("""COMPUTED_VALUE"""),42109.12014174569)</f>
        <v>42109.12014</v>
      </c>
      <c r="Z4" s="7">
        <f t="shared" si="5"/>
        <v>0.1442712328</v>
      </c>
      <c r="AA4" s="7">
        <f t="shared" si="13"/>
        <v>0.6107645019</v>
      </c>
      <c r="AB4" s="6">
        <f t="array" ref="AB4">XLOOKUP(X4,'Dados Funil'!A:A,'Dados Funil'!O:O,"")</f>
        <v>19.74810319</v>
      </c>
      <c r="AC4" s="4"/>
      <c r="AD4" s="4"/>
      <c r="AE4" s="7" t="str">
        <f t="shared" si="6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IFERROR(__xludf.DUMMYFUNCTION("""COMPUTED_VALUE"""),"Form G4 Outros - Orgânico")</f>
        <v>Form G4 Outros - Orgânico</v>
      </c>
      <c r="AJ4" s="11">
        <f>IFERROR(__xludf.DUMMYFUNCTION("""COMPUTED_VALUE"""),185.79354838709665)</f>
        <v>185.7935484</v>
      </c>
      <c r="AK4" s="10">
        <f>IFERROR(__xludf.DUMMYFUNCTION("""COMPUTED_VALUE"""),0.44214876033057854)</f>
        <v>0.4421487603</v>
      </c>
      <c r="AL4" s="9">
        <f>IFERROR(__xludf.DUMMYFUNCTION("""COMPUTED_VALUE"""),5385.981308411216)</f>
        <v>5385.981308</v>
      </c>
      <c r="AM4" s="9">
        <f t="shared" si="7"/>
        <v>442449.6774</v>
      </c>
      <c r="AN4" s="9" t="str">
        <f>IFERROR(__xludf.DUMMYFUNCTION("""COMPUTED_VALUE"""),"Form G4 Outros - Orgânico")</f>
        <v>Form G4 Outros - Orgânico</v>
      </c>
      <c r="AO4" s="11">
        <f>IFERROR(__xludf.DUMMYFUNCTION("""COMPUTED_VALUE"""),165.0)</f>
        <v>165</v>
      </c>
      <c r="AP4" s="10">
        <f>IFERROR(__xludf.DUMMYFUNCTION("""COMPUTED_VALUE"""),0.5212121212121212)</f>
        <v>0.5212121212</v>
      </c>
      <c r="AQ4" s="14">
        <f>IFERROR(__xludf.DUMMYFUNCTION("""COMPUTED_VALUE"""),5695.0505768531975)</f>
        <v>5695.050577</v>
      </c>
      <c r="AR4" s="9">
        <f t="shared" si="8"/>
        <v>489774.3496</v>
      </c>
    </row>
    <row r="5">
      <c r="A5" s="4" t="str">
        <f>IFERROR(__xludf.DUMMYFUNCTION("""COMPUTED_VALUE"""),"[SKL] Outros")</f>
        <v>[SKL] Outros</v>
      </c>
      <c r="B5" s="12">
        <f>IFERROR(__xludf.DUMMYFUNCTION("""COMPUTED_VALUE"""),-156432.0036957266)</f>
        <v>-156432.0037</v>
      </c>
      <c r="C5" s="7">
        <f t="shared" si="1"/>
        <v>0.09965044584</v>
      </c>
      <c r="D5" s="7">
        <f t="shared" si="9"/>
        <v>0.4605502015</v>
      </c>
      <c r="E5" s="3">
        <f t="array" ref="E5">XLOOKUP(A5,'Dados Funil'!$A:$A,'Dados Funil'!$K:$K,"")</f>
        <v>-139.7282258</v>
      </c>
      <c r="F5" s="5">
        <f t="array" ref="F5">XLOOKUP(A5,'Dados Funil'!$A:$A,'Dados Funil'!$L:$L,"")</f>
        <v>-0.7364651475</v>
      </c>
      <c r="G5" s="4" t="str">
        <f>IFERROR(__xludf.DUMMYFUNCTION("""COMPUTED_VALUE"""),"[IM] Chat")</f>
        <v>[IM] Chat</v>
      </c>
      <c r="H5" s="12">
        <f>IFERROR(__xludf.DUMMYFUNCTION("""COMPUTED_VALUE"""),-27204.85564966659)</f>
        <v>-27204.85565</v>
      </c>
      <c r="I5" s="7">
        <f t="shared" si="2"/>
        <v>0.08726952117</v>
      </c>
      <c r="J5" s="7">
        <f t="shared" si="10"/>
        <v>0.8391836595</v>
      </c>
      <c r="K5" s="6">
        <f t="array" ref="K5">XLOOKUP(G5,'Dados Funil'!A:A,'Dados Funil'!O:O,"")</f>
        <v>-2.278042561</v>
      </c>
      <c r="L5" s="4" t="str">
        <f>IFERROR(__xludf.DUMMYFUNCTION("""COMPUTED_VALUE"""),"[IM] Social DM")</f>
        <v>[IM] Social DM</v>
      </c>
      <c r="M5" s="12">
        <f>IFERROR(__xludf.DUMMYFUNCTION("""COMPUTED_VALUE"""),-167260.55995117183)</f>
        <v>-167260.56</v>
      </c>
      <c r="N5" s="7">
        <f t="shared" si="3"/>
        <v>0.1113841985</v>
      </c>
      <c r="O5" s="7">
        <f t="shared" si="11"/>
        <v>0.5781362417</v>
      </c>
      <c r="P5" s="12">
        <f t="array" ref="P5">XLOOKUP(L5,'Dados Funil'!A:A,'Dados Funil'!AM:AM,"")</f>
        <v>-6194.835554</v>
      </c>
      <c r="Q5" s="5">
        <f t="array" ref="Q5">XLOOKUP(L5,'Dados Funil'!A:A,'Dados Funil'!AN:AN,"")</f>
        <v>-0.5049103162</v>
      </c>
      <c r="R5" s="4" t="str">
        <f>IFERROR(__xludf.DUMMYFUNCTION("""COMPUTED_VALUE"""),"[CM] Form G4 - Instagram")</f>
        <v>[CM] Form G4 - Instagram</v>
      </c>
      <c r="S5" s="12">
        <f>IFERROR(__xludf.DUMMYFUNCTION("""COMPUTED_VALUE"""),17554.952632941557)</f>
        <v>17554.95263</v>
      </c>
      <c r="T5" s="7">
        <f t="shared" si="4"/>
        <v>0.1105579262</v>
      </c>
      <c r="U5" s="7">
        <f t="shared" si="12"/>
        <v>0.8580062584</v>
      </c>
      <c r="V5" s="3">
        <f t="array" ref="V5">XLOOKUP(R5,'Dados Funil'!$A:$A,'Dados Funil'!$K:$K,"")</f>
        <v>8.742297934</v>
      </c>
      <c r="W5" s="5">
        <f t="array" ref="W5">XLOOKUP(R5,'Dados Funil'!$A:$A,'Dados Funil'!$L:$L,"")</f>
        <v>0.4112531969</v>
      </c>
      <c r="X5" s="4" t="str">
        <f>IFERROR(__xludf.DUMMYFUNCTION("""COMPUTED_VALUE"""),"Form G4 Instagram Tallis")</f>
        <v>Form G4 Instagram Tallis</v>
      </c>
      <c r="Y5" s="12">
        <f>IFERROR(__xludf.DUMMYFUNCTION("""COMPUTED_VALUE"""),35754.829189614466)</f>
        <v>35754.82919</v>
      </c>
      <c r="Z5" s="7">
        <f t="shared" si="5"/>
        <v>0.1225006191</v>
      </c>
      <c r="AA5" s="7">
        <f t="shared" si="13"/>
        <v>0.733265121</v>
      </c>
      <c r="AB5" s="6">
        <f t="array" ref="AB5">XLOOKUP(X5,'Dados Funil'!A:A,'Dados Funil'!O:O,"")</f>
        <v>8.205574913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IFERROR(__xludf.DUMMYFUNCTION("""COMPUTED_VALUE"""),"Form G4 Instagram Outros")</f>
        <v>Form G4 Instagram Outros</v>
      </c>
      <c r="AJ5" s="11">
        <f>IFERROR(__xludf.DUMMYFUNCTION("""COMPUTED_VALUE"""),186.5612903225806)</f>
        <v>186.5612903</v>
      </c>
      <c r="AK5" s="10">
        <f>IFERROR(__xludf.DUMMYFUNCTION("""COMPUTED_VALUE"""),0.31)</f>
        <v>0.31</v>
      </c>
      <c r="AL5" s="9">
        <f>IFERROR(__xludf.DUMMYFUNCTION("""COMPUTED_VALUE"""),6900.0)</f>
        <v>6900</v>
      </c>
      <c r="AM5" s="9">
        <f t="shared" si="7"/>
        <v>399054.6</v>
      </c>
      <c r="AN5" s="9" t="str">
        <f>IFERROR(__xludf.DUMMYFUNCTION("""COMPUTED_VALUE"""),"Form G4 Instagram Outros")</f>
        <v>Form G4 Instagram Outros</v>
      </c>
      <c r="AO5" s="11">
        <f>IFERROR(__xludf.DUMMYFUNCTION("""COMPUTED_VALUE"""),95.0)</f>
        <v>95</v>
      </c>
      <c r="AP5" s="10">
        <f>IFERROR(__xludf.DUMMYFUNCTION("""COMPUTED_VALUE"""),0.4105263157894737)</f>
        <v>0.4105263158</v>
      </c>
      <c r="AQ5" s="14">
        <f>IFERROR(__xludf.DUMMYFUNCTION("""COMPUTED_VALUE"""),2994.076923076923)</f>
        <v>2994.076923</v>
      </c>
      <c r="AR5" s="9">
        <f t="shared" si="8"/>
        <v>116769</v>
      </c>
    </row>
    <row r="6">
      <c r="A6" s="4" t="str">
        <f>IFERROR(__xludf.DUMMYFUNCTION("""COMPUTED_VALUE"""),"Form G4 Instagram G4")</f>
        <v>Form G4 Instagram G4</v>
      </c>
      <c r="B6" s="12">
        <f>IFERROR(__xludf.DUMMYFUNCTION("""COMPUTED_VALUE"""),-126220.23574010967)</f>
        <v>-126220.2357</v>
      </c>
      <c r="C6" s="7">
        <f t="shared" si="1"/>
        <v>0.08040492015</v>
      </c>
      <c r="D6" s="7">
        <f t="shared" si="9"/>
        <v>0.5409551217</v>
      </c>
      <c r="E6" s="3">
        <f t="array" ref="E6">XLOOKUP(A6,'Dados Funil'!$A:$A,'Dados Funil'!$K:$K,"")</f>
        <v>-69.19354839</v>
      </c>
      <c r="F6" s="5">
        <f t="array" ref="F6">XLOOKUP(A6,'Dados Funil'!$A:$A,'Dados Funil'!$L:$L,"")</f>
        <v>-0.112657563</v>
      </c>
      <c r="G6" s="4" t="str">
        <f>IFERROR(__xludf.DUMMYFUNCTION("""COMPUTED_VALUE"""),"[SKL] Midia Paga - Quente")</f>
        <v>[SKL] Midia Paga - Quente</v>
      </c>
      <c r="H6" s="12">
        <f>IFERROR(__xludf.DUMMYFUNCTION("""COMPUTED_VALUE"""),-19219.29090909094)</f>
        <v>-19219.29091</v>
      </c>
      <c r="I6" s="7">
        <f t="shared" si="2"/>
        <v>0.06165290257</v>
      </c>
      <c r="J6" s="7">
        <f t="shared" si="10"/>
        <v>0.9008365621</v>
      </c>
      <c r="K6" s="6">
        <f t="array" ref="K6">XLOOKUP(G6,'Dados Funil'!A:A,'Dados Funil'!O:O,"")</f>
        <v>-1.850786344</v>
      </c>
      <c r="L6" s="4" t="str">
        <f>IFERROR(__xludf.DUMMYFUNCTION("""COMPUTED_VALUE"""),"Form G4 Instagram Outros")</f>
        <v>Form G4 Instagram Outros</v>
      </c>
      <c r="M6" s="12">
        <f>IFERROR(__xludf.DUMMYFUNCTION("""COMPUTED_VALUE"""),-152331.0)</f>
        <v>-152331</v>
      </c>
      <c r="N6" s="7">
        <f t="shared" si="3"/>
        <v>0.1014421233</v>
      </c>
      <c r="O6" s="7">
        <f t="shared" si="11"/>
        <v>0.679578365</v>
      </c>
      <c r="P6" s="12">
        <f t="array" ref="P6">XLOOKUP(L6,'Dados Funil'!A:A,'Dados Funil'!AM:AM,"")</f>
        <v>-3905.923077</v>
      </c>
      <c r="Q6" s="5">
        <f t="array" ref="Q6">XLOOKUP(L6,'Dados Funil'!A:A,'Dados Funil'!AN:AN,"")</f>
        <v>-0.5660758082</v>
      </c>
      <c r="R6" s="4" t="str">
        <f>IFERROR(__xludf.DUMMYFUNCTION("""COMPUTED_VALUE"""),"[ON] Outros")</f>
        <v>[ON] Outros</v>
      </c>
      <c r="S6" s="12">
        <f>IFERROR(__xludf.DUMMYFUNCTION("""COMPUTED_VALUE"""),9888.698939769965)</f>
        <v>9888.69894</v>
      </c>
      <c r="T6" s="7">
        <f t="shared" si="4"/>
        <v>0.0622772428</v>
      </c>
      <c r="U6" s="7">
        <f t="shared" si="12"/>
        <v>0.9202835012</v>
      </c>
      <c r="V6" s="3">
        <f t="array" ref="V6">XLOOKUP(R6,'Dados Funil'!$A:$A,'Dados Funil'!$K:$K,"")</f>
        <v>16.79354839</v>
      </c>
      <c r="W6" s="5">
        <f t="array" ref="W6">XLOOKUP(R6,'Dados Funil'!$A:$A,'Dados Funil'!$L:$L,"")</f>
        <v>0.08922939805</v>
      </c>
      <c r="X6" s="4" t="str">
        <f>IFERROR(__xludf.DUMMYFUNCTION("""COMPUTED_VALUE"""),"Form G4 Google")</f>
        <v>Form G4 Google</v>
      </c>
      <c r="Y6" s="12">
        <f>IFERROR(__xludf.DUMMYFUNCTION("""COMPUTED_VALUE"""),24341.89999999999)</f>
        <v>24341.9</v>
      </c>
      <c r="Z6" s="7">
        <f t="shared" si="5"/>
        <v>0.08339846358</v>
      </c>
      <c r="AA6" s="7">
        <f t="shared" si="13"/>
        <v>0.8166635845</v>
      </c>
      <c r="AB6" s="6">
        <f t="array" ref="AB6">XLOOKUP(X6,'Dados Funil'!A:A,'Dados Funil'!O:O,"")</f>
        <v>5.208333333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IFERROR(__xludf.DUMMYFUNCTION("""COMPUTED_VALUE"""),"[IM] Chat")</f>
        <v>[IM] Chat</v>
      </c>
      <c r="AJ6" s="11">
        <f>IFERROR(__xludf.DUMMYFUNCTION("""COMPUTED_VALUE"""),268.49654218533874)</f>
        <v>268.4965422</v>
      </c>
      <c r="AK6" s="10">
        <f>IFERROR(__xludf.DUMMYFUNCTION("""COMPUTED_VALUE"""),0.30390492359932086)</f>
        <v>0.3039049236</v>
      </c>
      <c r="AL6" s="9">
        <f>IFERROR(__xludf.DUMMYFUNCTION("""COMPUTED_VALUE"""),4796.067039106146)</f>
        <v>4796.067039</v>
      </c>
      <c r="AM6" s="9">
        <f t="shared" si="7"/>
        <v>391346.702</v>
      </c>
      <c r="AN6" s="9" t="str">
        <f>IFERROR(__xludf.DUMMYFUNCTION("""COMPUTED_VALUE"""),"[IM] Chat")</f>
        <v>[IM] Chat</v>
      </c>
      <c r="AO6" s="11">
        <f>IFERROR(__xludf.DUMMYFUNCTION("""COMPUTED_VALUE"""),249.0)</f>
        <v>249</v>
      </c>
      <c r="AP6" s="10">
        <f>IFERROR(__xludf.DUMMYFUNCTION("""COMPUTED_VALUE"""),0.28112449799196787)</f>
        <v>0.281124498</v>
      </c>
      <c r="AQ6" s="14">
        <f>IFERROR(__xludf.DUMMYFUNCTION("""COMPUTED_VALUE"""),7622.702120535714)</f>
        <v>7622.702121</v>
      </c>
      <c r="AR6" s="9">
        <f t="shared" si="8"/>
        <v>533589.1484</v>
      </c>
    </row>
    <row r="7">
      <c r="A7" s="4" t="str">
        <f>IFERROR(__xludf.DUMMYFUNCTION("""COMPUTED_VALUE"""),"[IM] Form Facebook Ads")</f>
        <v>[IM] Form Facebook Ads</v>
      </c>
      <c r="B7" s="12">
        <f>IFERROR(__xludf.DUMMYFUNCTION("""COMPUTED_VALUE"""),-118269.10967741904)</f>
        <v>-118269.1097</v>
      </c>
      <c r="C7" s="7">
        <f t="shared" si="1"/>
        <v>0.07533988717</v>
      </c>
      <c r="D7" s="7">
        <f t="shared" si="9"/>
        <v>0.6162950089</v>
      </c>
      <c r="E7" s="3">
        <f t="array" ref="E7">XLOOKUP(A7,'Dados Funil'!$A:$A,'Dados Funil'!$K:$K,"")</f>
        <v>-74.96774194</v>
      </c>
      <c r="F7" s="5">
        <f t="array" ref="F7">XLOOKUP(A7,'Dados Funil'!$A:$A,'Dados Funil'!$L:$L,"")</f>
        <v>-0.178934401</v>
      </c>
      <c r="G7" s="4" t="str">
        <f>IFERROR(__xludf.DUMMYFUNCTION("""COMPUTED_VALUE"""),"Form G4 Outros - Não Orgânico")</f>
        <v>Form G4 Outros - Não Orgânico</v>
      </c>
      <c r="H7" s="12">
        <f>IFERROR(__xludf.DUMMYFUNCTION("""COMPUTED_VALUE"""),-18643.41098901099)</f>
        <v>-18643.41099</v>
      </c>
      <c r="I7" s="7">
        <f t="shared" si="2"/>
        <v>0.05980555717</v>
      </c>
      <c r="J7" s="7">
        <f t="shared" si="10"/>
        <v>0.9606421193</v>
      </c>
      <c r="K7" s="6">
        <f t="array" ref="K7">XLOOKUP(G7,'Dados Funil'!A:A,'Dados Funil'!O:O,"")</f>
        <v>-8.026755853</v>
      </c>
      <c r="L7" s="4" t="str">
        <f>IFERROR(__xludf.DUMMYFUNCTION("""COMPUTED_VALUE"""),"[SKL] Midia Paga - Quente")</f>
        <v>[SKL] Midia Paga - Quente</v>
      </c>
      <c r="M7" s="12">
        <f>IFERROR(__xludf.DUMMYFUNCTION("""COMPUTED_VALUE"""),-135881.80000000002)</f>
        <v>-135881.8</v>
      </c>
      <c r="N7" s="7">
        <f t="shared" si="3"/>
        <v>0.09048807078</v>
      </c>
      <c r="O7" s="7">
        <f t="shared" si="11"/>
        <v>0.7700664358</v>
      </c>
      <c r="P7" s="12">
        <f t="array" ref="P7">XLOOKUP(L7,'Dados Funil'!A:A,'Dados Funil'!AM:AM,"")</f>
        <v>-2516.32963</v>
      </c>
      <c r="Q7" s="5">
        <f t="array" ref="Q7">XLOOKUP(L7,'Dados Funil'!A:A,'Dados Funil'!AN:AN,"")</f>
        <v>-0.7657262582</v>
      </c>
      <c r="R7" s="4" t="str">
        <f>IFERROR(__xludf.DUMMYFUNCTION("""COMPUTED_VALUE"""),"[IM] Link de Indicação")</f>
        <v>[IM] Link de Indicação</v>
      </c>
      <c r="S7" s="12">
        <f>IFERROR(__xludf.DUMMYFUNCTION("""COMPUTED_VALUE"""),6978.634957816419)</f>
        <v>6978.634958</v>
      </c>
      <c r="T7" s="7">
        <f t="shared" si="4"/>
        <v>0.04395018458</v>
      </c>
      <c r="U7" s="7">
        <f t="shared" si="12"/>
        <v>0.9642336858</v>
      </c>
      <c r="V7" s="3">
        <f t="array" ref="V7">XLOOKUP(R7,'Dados Funil'!$A:$A,'Dados Funil'!$K:$K,"")</f>
        <v>4.967741935</v>
      </c>
      <c r="W7" s="5">
        <f t="array" ref="W7">XLOOKUP(R7,'Dados Funil'!$A:$A,'Dados Funil'!$L:$L,"")</f>
        <v>0.0871040724</v>
      </c>
      <c r="X7" s="4" t="str">
        <f>IFERROR(__xludf.DUMMYFUNCTION("""COMPUTED_VALUE"""),"[IM] Outros")</f>
        <v>[IM] Outros</v>
      </c>
      <c r="Y7" s="12">
        <f>IFERROR(__xludf.DUMMYFUNCTION("""COMPUTED_VALUE"""),23403.47489239598)</f>
        <v>23403.47489</v>
      </c>
      <c r="Z7" s="7">
        <f t="shared" si="5"/>
        <v>0.08018329911</v>
      </c>
      <c r="AA7" s="7">
        <f t="shared" si="13"/>
        <v>0.8968468836</v>
      </c>
      <c r="AB7" s="6">
        <f t="array" ref="AB7">XLOOKUP(X7,'Dados Funil'!A:A,'Dados Funil'!O:O,"")</f>
        <v>27.23577236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IFERROR(__xludf.DUMMYFUNCTION("""COMPUTED_VALUE"""),"Form G4 Instagram Tallis")</f>
        <v>Form G4 Instagram Tallis</v>
      </c>
      <c r="AJ7" s="11">
        <f>IFERROR(__xludf.DUMMYFUNCTION("""COMPUTED_VALUE"""),163.51906158357764)</f>
        <v>163.5190616</v>
      </c>
      <c r="AK7" s="10">
        <f>IFERROR(__xludf.DUMMYFUNCTION("""COMPUTED_VALUE"""),0.45365853658536587)</f>
        <v>0.4536585366</v>
      </c>
      <c r="AL7" s="9">
        <f>IFERROR(__xludf.DUMMYFUNCTION("""COMPUTED_VALUE"""),5187.360215053764)</f>
        <v>5187.360215</v>
      </c>
      <c r="AM7" s="9">
        <f t="shared" si="7"/>
        <v>384807.8123</v>
      </c>
      <c r="AN7" s="9" t="str">
        <f>IFERROR(__xludf.DUMMYFUNCTION("""COMPUTED_VALUE"""),"Form G4 Instagram Tallis")</f>
        <v>Form G4 Instagram Tallis</v>
      </c>
      <c r="AO7" s="11">
        <f>IFERROR(__xludf.DUMMYFUNCTION("""COMPUTED_VALUE"""),84.0)</f>
        <v>84</v>
      </c>
      <c r="AP7" s="10">
        <f>IFERROR(__xludf.DUMMYFUNCTION("""COMPUTED_VALUE"""),0.5357142857142857)</f>
        <v>0.5357142857</v>
      </c>
      <c r="AQ7" s="14">
        <f>IFERROR(__xludf.DUMMYFUNCTION("""COMPUTED_VALUE"""),1168.0666666666666)</f>
        <v>1168.066667</v>
      </c>
      <c r="AR7" s="9">
        <f t="shared" si="8"/>
        <v>52563</v>
      </c>
    </row>
    <row r="8">
      <c r="A8" s="4" t="str">
        <f>IFERROR(__xludf.DUMMYFUNCTION("""COMPUTED_VALUE"""),"Form G4 Outros - Não Orgânico")</f>
        <v>Form G4 Outros - Não Orgânico</v>
      </c>
      <c r="B8" s="12">
        <f>IFERROR(__xludf.DUMMYFUNCTION("""COMPUTED_VALUE"""),-75419.36320453731)</f>
        <v>-75419.3632</v>
      </c>
      <c r="C8" s="7">
        <f t="shared" si="1"/>
        <v>0.04804370583</v>
      </c>
      <c r="D8" s="7">
        <f t="shared" si="9"/>
        <v>0.6643387147</v>
      </c>
      <c r="E8" s="3">
        <f t="array" ref="E8">XLOOKUP(A8,'Dados Funil'!$A:$A,'Dados Funil'!$K:$K,"")</f>
        <v>-38.83548387</v>
      </c>
      <c r="F8" s="5">
        <f t="array" ref="F8">XLOOKUP(A8,'Dados Funil'!$A:$A,'Dados Funil'!$L:$L,"")</f>
        <v>-0.4577740599</v>
      </c>
      <c r="G8" s="4" t="str">
        <f>IFERROR(__xludf.DUMMYFUNCTION("""COMPUTED_VALUE"""),"[IM] Social DM")</f>
        <v>[IM] Social DM</v>
      </c>
      <c r="H8" s="12">
        <f>IFERROR(__xludf.DUMMYFUNCTION("""COMPUTED_VALUE"""),-12269.179999999998)</f>
        <v>-12269.18</v>
      </c>
      <c r="I8" s="7">
        <f t="shared" si="2"/>
        <v>0.03935788072</v>
      </c>
      <c r="J8" s="7">
        <f t="shared" si="10"/>
        <v>1</v>
      </c>
      <c r="K8" s="6">
        <f t="array" ref="K8">XLOOKUP(G8,'Dados Funil'!A:A,'Dados Funil'!O:O,"")</f>
        <v>-1.5625</v>
      </c>
      <c r="L8" s="4" t="str">
        <f>IFERROR(__xludf.DUMMYFUNCTION("""COMPUTED_VALUE"""),"Form G4 Facebook")</f>
        <v>Form G4 Facebook</v>
      </c>
      <c r="M8" s="12">
        <f>IFERROR(__xludf.DUMMYFUNCTION("""COMPUTED_VALUE"""),-91693.61538461535)</f>
        <v>-91693.61538</v>
      </c>
      <c r="N8" s="7">
        <f t="shared" si="3"/>
        <v>0.06106173424</v>
      </c>
      <c r="O8" s="7">
        <f t="shared" si="11"/>
        <v>0.8311281701</v>
      </c>
      <c r="P8" s="12">
        <f t="array" ref="P8">XLOOKUP(L8,'Dados Funil'!A:A,'Dados Funil'!AM:AM,"")</f>
        <v>-1528.226923</v>
      </c>
      <c r="Q8" s="5">
        <f t="array" ref="Q8">XLOOKUP(L8,'Dados Funil'!A:A,'Dados Funil'!AN:AN,"")</f>
        <v>-0.4305984221</v>
      </c>
      <c r="R8" s="4" t="str">
        <f>IFERROR(__xludf.DUMMYFUNCTION("""COMPUTED_VALUE"""),"[CM] Form G4 - Outros")</f>
        <v>[CM] Form G4 - Outros</v>
      </c>
      <c r="S8" s="12">
        <f>IFERROR(__xludf.DUMMYFUNCTION("""COMPUTED_VALUE"""),5679.158183865799)</f>
        <v>5679.158184</v>
      </c>
      <c r="T8" s="7">
        <f t="shared" si="4"/>
        <v>0.03576631418</v>
      </c>
      <c r="U8" s="7">
        <f t="shared" si="12"/>
        <v>1</v>
      </c>
      <c r="V8" s="3">
        <f t="array" ref="V8">XLOOKUP(R8,'Dados Funil'!$A:$A,'Dados Funil'!$K:$K,"")</f>
        <v>2.828198623</v>
      </c>
      <c r="W8" s="5">
        <f t="array" ref="W8">XLOOKUP(R8,'Dados Funil'!$A:$A,'Dados Funil'!$L:$L,"")</f>
        <v>0.1995652174</v>
      </c>
      <c r="X8" s="4" t="str">
        <f>IFERROR(__xludf.DUMMYFUNCTION("""COMPUTED_VALUE"""),"Form G4 Facebook")</f>
        <v>Form G4 Facebook</v>
      </c>
      <c r="Y8" s="12">
        <f>IFERROR(__xludf.DUMMYFUNCTION("""COMPUTED_VALUE"""),21598.668131868133)</f>
        <v>21598.66813</v>
      </c>
      <c r="Z8" s="7">
        <f t="shared" si="5"/>
        <v>0.07399980025</v>
      </c>
      <c r="AA8" s="7">
        <f t="shared" si="13"/>
        <v>0.9708466839</v>
      </c>
      <c r="AB8" s="6">
        <f t="array" ref="AB8">XLOOKUP(X8,'Dados Funil'!A:A,'Dados Funil'!O:O,"")</f>
        <v>2.983193277</v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IFERROR(__xludf.DUMMYFUNCTION("""COMPUTED_VALUE"""),"[IM] Social DM")</f>
        <v>[IM] Social DM</v>
      </c>
      <c r="AJ8" s="11">
        <f>IFERROR(__xludf.DUMMYFUNCTION("""COMPUTED_VALUE"""),56.77419354838707)</f>
        <v>56.77419355</v>
      </c>
      <c r="AK8" s="10">
        <f>IFERROR(__xludf.DUMMYFUNCTION("""COMPUTED_VALUE"""),0.4375)</f>
        <v>0.4375</v>
      </c>
      <c r="AL8" s="9">
        <f>IFERROR(__xludf.DUMMYFUNCTION("""COMPUTED_VALUE"""),12269.179999999998)</f>
        <v>12269.18</v>
      </c>
      <c r="AM8" s="9">
        <f t="shared" si="7"/>
        <v>304750.6</v>
      </c>
      <c r="AN8" s="9" t="str">
        <f>IFERROR(__xludf.DUMMYFUNCTION("""COMPUTED_VALUE"""),"[IM] Social DM")</f>
        <v>[IM] Social DM</v>
      </c>
      <c r="AO8" s="11">
        <f>IFERROR(__xludf.DUMMYFUNCTION("""COMPUTED_VALUE"""),64.0)</f>
        <v>64</v>
      </c>
      <c r="AP8" s="10">
        <f>IFERROR(__xludf.DUMMYFUNCTION("""COMPUTED_VALUE"""),0.421875)</f>
        <v>0.421875</v>
      </c>
      <c r="AQ8" s="14">
        <f>IFERROR(__xludf.DUMMYFUNCTION("""COMPUTED_VALUE"""),6074.344446252893)</f>
        <v>6074.344446</v>
      </c>
      <c r="AR8" s="9">
        <f t="shared" si="8"/>
        <v>164007.3</v>
      </c>
    </row>
    <row r="9">
      <c r="A9" s="4" t="str">
        <f>IFERROR(__xludf.DUMMYFUNCTION("""COMPUTED_VALUE"""),"Form G4 - K Instagram")</f>
        <v>Form G4 - K Instagram</v>
      </c>
      <c r="B9" s="12">
        <f>IFERROR(__xludf.DUMMYFUNCTION("""COMPUTED_VALUE"""),-72308.81835207366)</f>
        <v>-72308.81835</v>
      </c>
      <c r="C9" s="7">
        <f t="shared" si="1"/>
        <v>0.04606222395</v>
      </c>
      <c r="D9" s="7">
        <f t="shared" si="9"/>
        <v>0.7104009386</v>
      </c>
      <c r="E9" s="3">
        <f t="array" ref="E9">XLOOKUP(A9,'Dados Funil'!$A:$A,'Dados Funil'!$K:$K,"")</f>
        <v>-287.1096774</v>
      </c>
      <c r="F9" s="5">
        <f t="array" ref="F9">XLOOKUP(A9,'Dados Funil'!$A:$A,'Dados Funil'!$L:$L,"")</f>
        <v>-0.4966353075</v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IFERROR(__xludf.DUMMYFUNCTION("""COMPUTED_VALUE"""),"Form G4 Google")</f>
        <v>Form G4 Google</v>
      </c>
      <c r="M9" s="12">
        <f>IFERROR(__xludf.DUMMYFUNCTION("""COMPUTED_VALUE"""),-91621.42997558594)</f>
        <v>-91621.42998</v>
      </c>
      <c r="N9" s="7">
        <f t="shared" si="3"/>
        <v>0.06101366365</v>
      </c>
      <c r="O9" s="7">
        <f t="shared" si="11"/>
        <v>0.8921418337</v>
      </c>
      <c r="P9" s="12">
        <f t="array" ref="P9">XLOOKUP(L9,'Dados Funil'!A:A,'Dados Funil'!AM:AM,"")</f>
        <v>-2234.669024</v>
      </c>
      <c r="Q9" s="5">
        <f t="array" ref="Q9">XLOOKUP(L9,'Dados Funil'!A:A,'Dados Funil'!AN:AN,"")</f>
        <v>-0.4590169674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 t="str">
        <f>IFERROR(__xludf.DUMMYFUNCTION("""COMPUTED_VALUE"""),"Form G4 - K Instagram")</f>
        <v>Form G4 - K Instagram</v>
      </c>
      <c r="Y9" s="12">
        <f>IFERROR(__xludf.DUMMYFUNCTION("""COMPUTED_VALUE"""),8509.114857142857)</f>
        <v>8509.114857</v>
      </c>
      <c r="Z9" s="7">
        <f t="shared" si="5"/>
        <v>0.02915331611</v>
      </c>
      <c r="AA9" s="7">
        <f t="shared" si="13"/>
        <v>1</v>
      </c>
      <c r="AB9" s="6">
        <f t="array" ref="AB9">XLOOKUP(X9,'Dados Funil'!A:A,'Dados Funil'!O:O,"")</f>
        <v>2.716838488</v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Midia Paga - Quente")</f>
        <v>[SKL] Midia Paga - Quente</v>
      </c>
      <c r="AJ9" s="11">
        <f>IFERROR(__xludf.DUMMYFUNCTION("""COMPUTED_VALUE"""),377.29032258064495)</f>
        <v>377.2903226</v>
      </c>
      <c r="AK9" s="10">
        <f>IFERROR(__xludf.DUMMYFUNCTION("""COMPUTED_VALUE"""),0.18939393939393942)</f>
        <v>0.1893939394</v>
      </c>
      <c r="AL9" s="9">
        <f>IFERROR(__xludf.DUMMYFUNCTION("""COMPUTED_VALUE"""),3286.2000000000003)</f>
        <v>3286.2</v>
      </c>
      <c r="AM9" s="9">
        <f t="shared" si="7"/>
        <v>234820.3519</v>
      </c>
      <c r="AN9" s="9" t="str">
        <f>IFERROR(__xludf.DUMMYFUNCTION("""COMPUTED_VALUE"""),"[SKL] Midia Paga - Quente")</f>
        <v>[SKL] Midia Paga - Quente</v>
      </c>
      <c r="AO9" s="11">
        <f>IFERROR(__xludf.DUMMYFUNCTION("""COMPUTED_VALUE"""),316.0)</f>
        <v>316</v>
      </c>
      <c r="AP9" s="10">
        <f>IFERROR(__xludf.DUMMYFUNCTION("""COMPUTED_VALUE"""),0.17088607594936708)</f>
        <v>0.1708860759</v>
      </c>
      <c r="AQ9" s="14">
        <f>IFERROR(__xludf.DUMMYFUNCTION("""COMPUTED_VALUE"""),769.8703703703703)</f>
        <v>769.8703704</v>
      </c>
      <c r="AR9" s="9">
        <f t="shared" si="8"/>
        <v>41573</v>
      </c>
    </row>
    <row r="10">
      <c r="A10" s="4" t="str">
        <f>IFERROR(__xludf.DUMMYFUNCTION("""COMPUTED_VALUE"""),"Form G4 Google")</f>
        <v>Form G4 Google</v>
      </c>
      <c r="B10" s="12">
        <f>IFERROR(__xludf.DUMMYFUNCTION("""COMPUTED_VALUE"""),-54103.79886290313)</f>
        <v>-54103.79886</v>
      </c>
      <c r="C10" s="7">
        <f t="shared" si="1"/>
        <v>0.03446524721</v>
      </c>
      <c r="D10" s="7">
        <f t="shared" si="9"/>
        <v>0.7448661859</v>
      </c>
      <c r="E10" s="3">
        <f t="array" ref="E10">XLOOKUP(A10,'Dados Funil'!$A:$A,'Dados Funil'!$K:$K,"")</f>
        <v>-29.63548387</v>
      </c>
      <c r="F10" s="5">
        <f t="array" ref="F10">XLOOKUP(A10,'Dados Funil'!$A:$A,'Dados Funil'!$L:$L,"")</f>
        <v>-0.2358846638</v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IFERROR(__xludf.DUMMYFUNCTION("""COMPUTED_VALUE"""),"Form G4 - K Instagram")</f>
        <v>Form G4 - K Instagram</v>
      </c>
      <c r="M10" s="12">
        <f>IFERROR(__xludf.DUMMYFUNCTION("""COMPUTED_VALUE"""),-58747.71428571428)</f>
        <v>-58747.71429</v>
      </c>
      <c r="N10" s="7">
        <f t="shared" si="3"/>
        <v>0.03912199668</v>
      </c>
      <c r="O10" s="7">
        <f t="shared" si="11"/>
        <v>0.9312638304</v>
      </c>
      <c r="P10" s="12">
        <f t="array" ref="P10">XLOOKUP(L10,'Dados Funil'!A:A,'Dados Funil'!AM:AM,"")</f>
        <v>-772.9962406</v>
      </c>
      <c r="Q10" s="5">
        <f t="array" ref="Q10">XLOOKUP(L10,'Dados Funil'!A:A,'Dados Funil'!AN:AN,"")</f>
        <v>-0.7182072849</v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Google")</f>
        <v>Form G4 Google</v>
      </c>
      <c r="AJ10" s="11">
        <f>IFERROR(__xludf.DUMMYFUNCTION("""COMPUTED_VALUE"""),125.63548387096769)</f>
        <v>125.6354839</v>
      </c>
      <c r="AK10" s="10">
        <f>IFERROR(__xludf.DUMMYFUNCTION("""COMPUTED_VALUE"""),0.375)</f>
        <v>0.375</v>
      </c>
      <c r="AL10" s="9">
        <f>IFERROR(__xludf.DUMMYFUNCTION("""COMPUTED_VALUE"""),4868.38)</f>
        <v>4868.38</v>
      </c>
      <c r="AM10" s="9">
        <f t="shared" si="7"/>
        <v>229365.4789</v>
      </c>
      <c r="AN10" s="9" t="str">
        <f>IFERROR(__xludf.DUMMYFUNCTION("""COMPUTED_VALUE"""),"Form G4 Google")</f>
        <v>Form G4 Google</v>
      </c>
      <c r="AO10" s="11">
        <f>IFERROR(__xludf.DUMMYFUNCTION("""COMPUTED_VALUE"""),96.0)</f>
        <v>96</v>
      </c>
      <c r="AP10" s="10">
        <f>IFERROR(__xludf.DUMMYFUNCTION("""COMPUTED_VALUE"""),0.4270833333333333)</f>
        <v>0.4270833333</v>
      </c>
      <c r="AQ10" s="14">
        <f>IFERROR(__xludf.DUMMYFUNCTION("""COMPUTED_VALUE"""),2633.710976205221)</f>
        <v>2633.710976</v>
      </c>
      <c r="AR10" s="9">
        <f t="shared" si="8"/>
        <v>107982.15</v>
      </c>
    </row>
    <row r="11">
      <c r="A11" s="4" t="str">
        <f>IFERROR(__xludf.DUMMYFUNCTION("""COMPUTED_VALUE"""),"[SKL] CRM - Email")</f>
        <v>[SKL] CRM - Email</v>
      </c>
      <c r="B11" s="12">
        <f>IFERROR(__xludf.DUMMYFUNCTION("""COMPUTED_VALUE"""),-51676.8187772177)</f>
        <v>-51676.81878</v>
      </c>
      <c r="C11" s="7">
        <f t="shared" si="1"/>
        <v>0.03291921032</v>
      </c>
      <c r="D11" s="7">
        <f t="shared" si="9"/>
        <v>0.7777853962</v>
      </c>
      <c r="E11" s="3">
        <f t="array" ref="E11">XLOOKUP(A11,'Dados Funil'!$A:$A,'Dados Funil'!$K:$K,"")</f>
        <v>-100.1948387</v>
      </c>
      <c r="F11" s="5">
        <f t="array" ref="F11">XLOOKUP(A11,'Dados Funil'!$A:$A,'Dados Funil'!$L:$L,"")</f>
        <v>-0.6997098472</v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Outros - Não Orgânico")</f>
        <v>Form G4 Outros - Não Orgânico</v>
      </c>
      <c r="M11" s="12">
        <f>IFERROR(__xludf.DUMMYFUNCTION("""COMPUTED_VALUE"""),-48789.6)</f>
        <v>-48789.6</v>
      </c>
      <c r="N11" s="7">
        <f t="shared" si="3"/>
        <v>0.03249056738</v>
      </c>
      <c r="O11" s="7">
        <f t="shared" si="11"/>
        <v>0.9637543978</v>
      </c>
      <c r="P11" s="12">
        <f t="array" ref="P11">XLOOKUP(L11,'Dados Funil'!A:A,'Dados Funil'!AM:AM,"")</f>
        <v>-3484.971429</v>
      </c>
      <c r="Q11" s="5">
        <f t="array" ref="Q11">XLOOKUP(L11,'Dados Funil'!A:A,'Dados Funil'!AN:AN,"")</f>
        <v>-0.6901948802</v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IFERROR(__xludf.DUMMYFUNCTION("""COMPUTED_VALUE"""),"[SKL] Outros")</f>
        <v>[SKL] Outros</v>
      </c>
      <c r="AJ11" s="11">
        <f>IFERROR(__xludf.DUMMYFUNCTION("""COMPUTED_VALUE"""),189.72822580645155)</f>
        <v>189.7282258</v>
      </c>
      <c r="AK11" s="10">
        <f>IFERROR(__xludf.DUMMYFUNCTION("""COMPUTED_VALUE"""),0.26251896813353565)</f>
        <v>0.2625189681</v>
      </c>
      <c r="AL11" s="9">
        <f>IFERROR(__xludf.DUMMYFUNCTION("""COMPUTED_VALUE"""),4264.624277456647)</f>
        <v>4264.624277</v>
      </c>
      <c r="AM11" s="9">
        <f t="shared" si="7"/>
        <v>212409.2419</v>
      </c>
      <c r="AN11" s="9" t="str">
        <f>IFERROR(__xludf.DUMMYFUNCTION("""COMPUTED_VALUE"""),"[SKL] Outros")</f>
        <v>[SKL] Outros</v>
      </c>
      <c r="AO11" s="11">
        <f>IFERROR(__xludf.DUMMYFUNCTION("""COMPUTED_VALUE"""),50.0)</f>
        <v>50</v>
      </c>
      <c r="AP11" s="10">
        <f>IFERROR(__xludf.DUMMYFUNCTION("""COMPUTED_VALUE"""),0.46)</f>
        <v>0.46</v>
      </c>
      <c r="AQ11" s="14">
        <f>IFERROR(__xludf.DUMMYFUNCTION("""COMPUTED_VALUE"""),3671.1304347826085)</f>
        <v>3671.130435</v>
      </c>
      <c r="AR11" s="9">
        <f t="shared" si="8"/>
        <v>84436</v>
      </c>
    </row>
    <row r="12">
      <c r="A12" s="4" t="str">
        <f>IFERROR(__xludf.DUMMYFUNCTION("""COMPUTED_VALUE"""),"Form G4 Outros - Orgânico")</f>
        <v>Form G4 Outros - Orgânico</v>
      </c>
      <c r="B12" s="12">
        <f>IFERROR(__xludf.DUMMYFUNCTION("""COMPUTED_VALUE"""),-49517.859237536366)</f>
        <v>-49517.85924</v>
      </c>
      <c r="C12" s="7">
        <f t="shared" si="1"/>
        <v>0.03154390811</v>
      </c>
      <c r="D12" s="7">
        <f t="shared" si="9"/>
        <v>0.8093293043</v>
      </c>
      <c r="E12" s="3">
        <f t="array" ref="E12">XLOOKUP(A12,'Dados Funil'!$A:$A,'Dados Funil'!$K:$K,"")</f>
        <v>-20.79354839</v>
      </c>
      <c r="F12" s="5">
        <f t="array" ref="F12">XLOOKUP(A12,'Dados Funil'!$A:$A,'Dados Funil'!$L:$L,"")</f>
        <v>-0.1119174943</v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 t="str">
        <f>IFERROR(__xludf.DUMMYFUNCTION("""COMPUTED_VALUE"""),"[IM] Outros")</f>
        <v>[IM] Outros</v>
      </c>
      <c r="M12" s="12">
        <f>IFERROR(__xludf.DUMMYFUNCTION("""COMPUTED_VALUE"""),-40095.35294117646)</f>
        <v>-40095.35294</v>
      </c>
      <c r="N12" s="7">
        <f t="shared" si="3"/>
        <v>0.026700788</v>
      </c>
      <c r="O12" s="7">
        <f t="shared" si="11"/>
        <v>0.9904551858</v>
      </c>
      <c r="P12" s="12">
        <f t="array" ref="P12">XLOOKUP(L12,'Dados Funil'!A:A,'Dados Funil'!AM:AM,"")</f>
        <v>-5727.907563</v>
      </c>
      <c r="Q12" s="5">
        <f t="array" ref="Q12">XLOOKUP(L12,'Dados Funil'!A:A,'Dados Funil'!AN:AN,"")</f>
        <v>-0.7999016583</v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IFERROR(__xludf.DUMMYFUNCTION("""COMPUTED_VALUE"""),"[IM] Outros")</f>
        <v>[IM] Outros</v>
      </c>
      <c r="AJ12" s="11">
        <f>IFERROR(__xludf.DUMMYFUNCTION("""COMPUTED_VALUE"""),94.43225806451609)</f>
        <v>94.43225806</v>
      </c>
      <c r="AK12" s="10">
        <f>IFERROR(__xludf.DUMMYFUNCTION("""COMPUTED_VALUE"""),0.31097560975609756)</f>
        <v>0.3109756098</v>
      </c>
      <c r="AL12" s="9">
        <f>IFERROR(__xludf.DUMMYFUNCTION("""COMPUTED_VALUE"""),7160.764705882352)</f>
        <v>7160.764706</v>
      </c>
      <c r="AM12" s="9">
        <f t="shared" si="7"/>
        <v>210283.9403</v>
      </c>
      <c r="AN12" s="9" t="str">
        <f>IFERROR(__xludf.DUMMYFUNCTION("""COMPUTED_VALUE"""),"[IM] Outros")</f>
        <v>[IM] Outros</v>
      </c>
      <c r="AO12" s="11">
        <f>IFERROR(__xludf.DUMMYFUNCTION("""COMPUTED_VALUE"""),12.0)</f>
        <v>12</v>
      </c>
      <c r="AP12" s="10">
        <f>IFERROR(__xludf.DUMMYFUNCTION("""COMPUTED_VALUE"""),0.5833333333333334)</f>
        <v>0.5833333333</v>
      </c>
      <c r="AQ12" s="14">
        <f>IFERROR(__xludf.DUMMYFUNCTION("""COMPUTED_VALUE"""),1432.857142857143)</f>
        <v>1432.857143</v>
      </c>
      <c r="AR12" s="9">
        <f t="shared" si="8"/>
        <v>10030</v>
      </c>
    </row>
    <row r="13">
      <c r="A13" s="4" t="str">
        <f>IFERROR(__xludf.DUMMYFUNCTION("""COMPUTED_VALUE"""),"[SKL] Midia Paga - Quente")</f>
        <v>[SKL] Midia Paga - Quente</v>
      </c>
      <c r="B13" s="12">
        <f>IFERROR(__xludf.DUMMYFUNCTION("""COMPUTED_VALUE"""),-38146.26099706733)</f>
        <v>-38146.261</v>
      </c>
      <c r="C13" s="7">
        <f t="shared" si="1"/>
        <v>0.02429996309</v>
      </c>
      <c r="D13" s="7">
        <f t="shared" si="9"/>
        <v>0.8336292674</v>
      </c>
      <c r="E13" s="3">
        <f t="array" ref="E13">XLOOKUP(A13,'Dados Funil'!$A:$A,'Dados Funil'!$K:$K,"")</f>
        <v>-61.29032258</v>
      </c>
      <c r="F13" s="5">
        <f t="array" ref="F13">XLOOKUP(A13,'Dados Funil'!$A:$A,'Dados Funil'!$L:$L,"")</f>
        <v>-0.1624487004</v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 t="str">
        <f>IFERROR(__xludf.DUMMYFUNCTION("""COMPUTED_VALUE"""),"[SKL] Outros")</f>
        <v>[SKL] Outros</v>
      </c>
      <c r="M13" s="12">
        <f>IFERROR(__xludf.DUMMYFUNCTION("""COMPUTED_VALUE"""),-13650.358381502889)</f>
        <v>-13650.35838</v>
      </c>
      <c r="N13" s="7">
        <f t="shared" si="3"/>
        <v>0.009090213667</v>
      </c>
      <c r="O13" s="7">
        <f t="shared" si="11"/>
        <v>0.9995453994</v>
      </c>
      <c r="P13" s="12">
        <f t="array" ref="P13">XLOOKUP(L13,'Dados Funil'!A:A,'Dados Funil'!AM:AM,"")</f>
        <v>-593.4938427</v>
      </c>
      <c r="Q13" s="5">
        <f t="array" ref="Q13">XLOOKUP(L13,'Dados Funil'!A:A,'Dados Funil'!AN:AN,"")</f>
        <v>-0.1391667364</v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Outros - Não Orgânico")</f>
        <v>Form G4 Outros - Não Orgânico</v>
      </c>
      <c r="AJ13" s="11">
        <f>IFERROR(__xludf.DUMMYFUNCTION("""COMPUTED_VALUE"""),84.83548387096769)</f>
        <v>84.83548387</v>
      </c>
      <c r="AK13" s="10">
        <f>IFERROR(__xludf.DUMMYFUNCTION("""COMPUTED_VALUE"""),0.38461538461538464)</f>
        <v>0.3846153846</v>
      </c>
      <c r="AL13" s="9">
        <f>IFERROR(__xludf.DUMMYFUNCTION("""COMPUTED_VALUE"""),5049.257142857143)</f>
        <v>5049.257143</v>
      </c>
      <c r="AM13" s="9">
        <f t="shared" si="7"/>
        <v>164752.3742</v>
      </c>
      <c r="AN13" s="9" t="str">
        <f>IFERROR(__xludf.DUMMYFUNCTION("""COMPUTED_VALUE"""),"Form G4 Outros - Não Orgânico")</f>
        <v>Form G4 Outros - Não Orgânico</v>
      </c>
      <c r="AO13" s="11">
        <f>IFERROR(__xludf.DUMMYFUNCTION("""COMPUTED_VALUE"""),46.0)</f>
        <v>46</v>
      </c>
      <c r="AP13" s="10">
        <f>IFERROR(__xludf.DUMMYFUNCTION("""COMPUTED_VALUE"""),0.30434782608695654)</f>
        <v>0.3043478261</v>
      </c>
      <c r="AQ13" s="14">
        <f>IFERROR(__xludf.DUMMYFUNCTION("""COMPUTED_VALUE"""),1564.2857142857142)</f>
        <v>1564.285714</v>
      </c>
      <c r="AR13" s="9">
        <f t="shared" si="8"/>
        <v>21900</v>
      </c>
    </row>
    <row r="14">
      <c r="A14" s="4" t="str">
        <f>IFERROR(__xludf.DUMMYFUNCTION("""COMPUTED_VALUE"""),"[SKL] Social")</f>
        <v>[SKL] Social</v>
      </c>
      <c r="B14" s="12">
        <f>IFERROR(__xludf.DUMMYFUNCTION("""COMPUTED_VALUE"""),-35860.09388138471)</f>
        <v>-35860.09388</v>
      </c>
      <c r="C14" s="7">
        <f t="shared" si="1"/>
        <v>0.022843627</v>
      </c>
      <c r="D14" s="7">
        <f t="shared" si="9"/>
        <v>0.8564728944</v>
      </c>
      <c r="E14" s="3">
        <f t="array" ref="E14">XLOOKUP(A14,'Dados Funil'!$A:$A,'Dados Funil'!$K:$K,"")</f>
        <v>-110.0412685</v>
      </c>
      <c r="F14" s="5">
        <f t="array" ref="F14">XLOOKUP(A14,'Dados Funil'!$A:$A,'Dados Funil'!$L:$L,"")</f>
        <v>-0.6627344484</v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 t="str">
        <f>IFERROR(__xludf.DUMMYFUNCTION("""COMPUTED_VALUE"""),"[ON] Outros")</f>
        <v>[ON] Outros</v>
      </c>
      <c r="M14" s="12">
        <f>IFERROR(__xludf.DUMMYFUNCTION("""COMPUTED_VALUE"""),-682.6528925619787)</f>
        <v>-682.6528926</v>
      </c>
      <c r="N14" s="7">
        <f t="shared" si="3"/>
        <v>0.0004546005665</v>
      </c>
      <c r="O14" s="7">
        <f t="shared" si="11"/>
        <v>1</v>
      </c>
      <c r="P14" s="12">
        <f t="array" ref="P14">XLOOKUP(L14,'Dados Funil'!A:A,'Dados Funil'!AM:AM,"")</f>
        <v>-42.66580579</v>
      </c>
      <c r="Q14" s="5">
        <f t="array" ref="Q14">XLOOKUP(L14,'Dados Funil'!A:A,'Dados Funil'!AN:AN,"")</f>
        <v>-0.01532754531</v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IFERROR(__xludf.DUMMYFUNCTION("""COMPUTED_VALUE"""),"Form G4 - K Instagram")</f>
        <v>Form G4 - K Instagram</v>
      </c>
      <c r="AJ14" s="11">
        <f>IFERROR(__xludf.DUMMYFUNCTION("""COMPUTED_VALUE"""),578.1096774193546)</f>
        <v>578.1096774</v>
      </c>
      <c r="AK14" s="10">
        <f>IFERROR(__xludf.DUMMYFUNCTION("""COMPUTED_VALUE"""),0.234)</f>
        <v>0.234</v>
      </c>
      <c r="AL14" s="9">
        <f>IFERROR(__xludf.DUMMYFUNCTION("""COMPUTED_VALUE"""),1076.2857142857142)</f>
        <v>1076.285714</v>
      </c>
      <c r="AM14" s="9">
        <f t="shared" si="7"/>
        <v>145597.4178</v>
      </c>
      <c r="AN14" s="9" t="str">
        <f>IFERROR(__xludf.DUMMYFUNCTION("""COMPUTED_VALUE"""),"Form G4 - K Instagram")</f>
        <v>Form G4 - K Instagram</v>
      </c>
      <c r="AO14" s="11">
        <f>IFERROR(__xludf.DUMMYFUNCTION("""COMPUTED_VALUE"""),291.0)</f>
        <v>291</v>
      </c>
      <c r="AP14" s="10">
        <f>IFERROR(__xludf.DUMMYFUNCTION("""COMPUTED_VALUE"""),0.2611683848797251)</f>
        <v>0.2611683849</v>
      </c>
      <c r="AQ14" s="14">
        <f>IFERROR(__xludf.DUMMYFUNCTION("""COMPUTED_VALUE"""),303.2894736842105)</f>
        <v>303.2894737</v>
      </c>
      <c r="AR14" s="9">
        <f t="shared" si="8"/>
        <v>23050</v>
      </c>
    </row>
    <row r="15">
      <c r="A15" s="4" t="str">
        <f>IFERROR(__xludf.DUMMYFUNCTION("""COMPUTED_VALUE"""),"Form G4 Incompleto Instagram")</f>
        <v>Form G4 Incompleto Instagram</v>
      </c>
      <c r="B15" s="12">
        <f>IFERROR(__xludf.DUMMYFUNCTION("""COMPUTED_VALUE"""),-32574.193548387047)</f>
        <v>-32574.19355</v>
      </c>
      <c r="C15" s="7">
        <f t="shared" si="1"/>
        <v>0.02075044002</v>
      </c>
      <c r="D15" s="7">
        <f t="shared" si="9"/>
        <v>0.8772233344</v>
      </c>
      <c r="E15" s="3">
        <f t="array" ref="E15">XLOOKUP(A15,'Dados Funil'!$A:$A,'Dados Funil'!$K:$K,"")</f>
        <v>-88.70967742</v>
      </c>
      <c r="F15" s="5">
        <f t="array" ref="F15">XLOOKUP(A15,'Dados Funil'!$A:$A,'Dados Funil'!$L:$L,"")</f>
        <v>-0.3301320528</v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IFERROR(__xludf.DUMMYFUNCTION("""COMPUTED_VALUE"""),"Form G4 Facebook")</f>
        <v>Form G4 Facebook</v>
      </c>
      <c r="AJ15" s="11">
        <f>IFERROR(__xludf.DUMMYFUNCTION("""COMPUTED_VALUE"""),140.11290322580638)</f>
        <v>140.1129032</v>
      </c>
      <c r="AK15" s="10">
        <f>IFERROR(__xludf.DUMMYFUNCTION("""COMPUTED_VALUE"""),0.2642857142857143)</f>
        <v>0.2642857143</v>
      </c>
      <c r="AL15" s="9">
        <f>IFERROR(__xludf.DUMMYFUNCTION("""COMPUTED_VALUE"""),3549.0769230769224)</f>
        <v>3549.076923</v>
      </c>
      <c r="AM15" s="9">
        <f t="shared" si="7"/>
        <v>131421.746</v>
      </c>
      <c r="AN15" s="9" t="str">
        <f>IFERROR(__xludf.DUMMYFUNCTION("""COMPUTED_VALUE"""),"Form G4 Facebook")</f>
        <v>Form G4 Facebook</v>
      </c>
      <c r="AO15" s="11">
        <f>IFERROR(__xludf.DUMMYFUNCTION("""COMPUTED_VALUE"""),204.0)</f>
        <v>204</v>
      </c>
      <c r="AP15" s="10">
        <f>IFERROR(__xludf.DUMMYFUNCTION("""COMPUTED_VALUE"""),0.29411764705882354)</f>
        <v>0.2941176471</v>
      </c>
      <c r="AQ15" s="14">
        <f>IFERROR(__xludf.DUMMYFUNCTION("""COMPUTED_VALUE"""),2020.85)</f>
        <v>2020.85</v>
      </c>
      <c r="AR15" s="9">
        <f t="shared" si="8"/>
        <v>121251</v>
      </c>
    </row>
    <row r="16">
      <c r="A16" s="4" t="str">
        <f>IFERROR(__xludf.DUMMYFUNCTION("""COMPUTED_VALUE"""),"Form G4 - K Outros")</f>
        <v>Form G4 - K Outros</v>
      </c>
      <c r="B16" s="12">
        <f>IFERROR(__xludf.DUMMYFUNCTION("""COMPUTED_VALUE"""),-32378.58714999996)</f>
        <v>-32378.58715</v>
      </c>
      <c r="C16" s="7">
        <f t="shared" si="1"/>
        <v>0.02062583467</v>
      </c>
      <c r="D16" s="7">
        <f t="shared" si="9"/>
        <v>0.8978491691</v>
      </c>
      <c r="E16" s="3">
        <f t="array" ref="E16">XLOOKUP(A16,'Dados Funil'!$A:$A,'Dados Funil'!$K:$K,"")</f>
        <v>-93.30645161</v>
      </c>
      <c r="F16" s="5">
        <f t="array" ref="F16">XLOOKUP(A16,'Dados Funil'!$A:$A,'Dados Funil'!$L:$L,"")</f>
        <v>-0.3819238133</v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I16" s="9" t="str">
        <f>IFERROR(__xludf.DUMMYFUNCTION("""COMPUTED_VALUE"""),"[ON] Outros")</f>
        <v>[ON] Outros</v>
      </c>
      <c r="AJ16" s="11">
        <f>IFERROR(__xludf.DUMMYFUNCTION("""COMPUTED_VALUE"""),188.20645161290312)</f>
        <v>188.2064516</v>
      </c>
      <c r="AK16" s="10">
        <f>IFERROR(__xludf.DUMMYFUNCTION("""COMPUTED_VALUE"""),0.21153846153846154)</f>
        <v>0.2115384615</v>
      </c>
      <c r="AL16" s="9">
        <f>IFERROR(__xludf.DUMMYFUNCTION("""COMPUTED_VALUE"""),2783.6033057851237)</f>
        <v>2783.603306</v>
      </c>
      <c r="AM16" s="9">
        <f t="shared" si="7"/>
        <v>110823.329</v>
      </c>
      <c r="AN16" s="9" t="str">
        <f>IFERROR(__xludf.DUMMYFUNCTION("""COMPUTED_VALUE"""),"[ON] Outros")</f>
        <v>[ON] Outros</v>
      </c>
      <c r="AO16" s="11">
        <f>IFERROR(__xludf.DUMMYFUNCTION("""COMPUTED_VALUE"""),205.0)</f>
        <v>205</v>
      </c>
      <c r="AP16" s="10">
        <f>IFERROR(__xludf.DUMMYFUNCTION("""COMPUTED_VALUE"""),0.07804878048780488)</f>
        <v>0.07804878049</v>
      </c>
      <c r="AQ16" s="14">
        <f>IFERROR(__xludf.DUMMYFUNCTION("""COMPUTED_VALUE"""),2740.9375)</f>
        <v>2740.9375</v>
      </c>
      <c r="AR16" s="9">
        <f t="shared" si="8"/>
        <v>43855</v>
      </c>
    </row>
    <row r="17">
      <c r="A17" s="4" t="str">
        <f>IFERROR(__xludf.DUMMYFUNCTION("""COMPUTED_VALUE"""),"[IM] Chat")</f>
        <v>[IM] Chat</v>
      </c>
      <c r="B17" s="12">
        <f>IFERROR(__xludf.DUMMYFUNCTION("""COMPUTED_VALUE"""),-28417.153616204698)</f>
        <v>-28417.15362</v>
      </c>
      <c r="C17" s="7">
        <f t="shared" si="1"/>
        <v>0.01810231897</v>
      </c>
      <c r="D17" s="7">
        <f t="shared" si="9"/>
        <v>0.915951488</v>
      </c>
      <c r="E17" s="3">
        <f t="array" ref="E17">XLOOKUP(A17,'Dados Funil'!$A:$A,'Dados Funil'!$K:$K,"")</f>
        <v>-19.49654219</v>
      </c>
      <c r="F17" s="5">
        <f t="array" ref="F17">XLOOKUP(A17,'Dados Funil'!$A:$A,'Dados Funil'!$L:$L,"")</f>
        <v>-0.0726137552</v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I17" s="9" t="str">
        <f>IFERROR(__xludf.DUMMYFUNCTION("""COMPUTED_VALUE"""),"Form G4 Incompleto Instagram")</f>
        <v>Form G4 Incompleto Instagram</v>
      </c>
      <c r="AJ17" s="11">
        <f>IFERROR(__xludf.DUMMYFUNCTION("""COMPUTED_VALUE"""),268.7096774193547)</f>
        <v>268.7096774</v>
      </c>
      <c r="AK17" s="10">
        <f>IFERROR(__xludf.DUMMYFUNCTION("""COMPUTED_VALUE"""),0.18)</f>
        <v>0.18</v>
      </c>
      <c r="AL17" s="9">
        <f>IFERROR(__xludf.DUMMYFUNCTION("""COMPUTED_VALUE"""),2040.0)</f>
        <v>2040</v>
      </c>
      <c r="AM17" s="9">
        <f t="shared" si="7"/>
        <v>98670.19355</v>
      </c>
      <c r="AN17" s="9" t="str">
        <f>IFERROR(__xludf.DUMMYFUNCTION("""COMPUTED_VALUE"""),"Form G4 Incompleto Instagram")</f>
        <v>Form G4 Incompleto Instagram</v>
      </c>
      <c r="AO17" s="11">
        <f>IFERROR(__xludf.DUMMYFUNCTION("""COMPUTED_VALUE"""),180.0)</f>
        <v>180</v>
      </c>
      <c r="AP17" s="10">
        <f>IFERROR(__xludf.DUMMYFUNCTION("""COMPUTED_VALUE"""),0.18888888888888888)</f>
        <v>0.1888888889</v>
      </c>
      <c r="AQ17" s="14">
        <f>IFERROR(__xludf.DUMMYFUNCTION("""COMPUTED_VALUE"""),1165.3823529411766)</f>
        <v>1165.382353</v>
      </c>
      <c r="AR17" s="9">
        <f t="shared" si="8"/>
        <v>39623</v>
      </c>
    </row>
    <row r="18">
      <c r="A18" s="4" t="str">
        <f>IFERROR(__xludf.DUMMYFUNCTION("""COMPUTED_VALUE"""),"[ON] Abandono de carrinho")</f>
        <v>[ON] Abandono de carrinho</v>
      </c>
      <c r="B18" s="12">
        <f>IFERROR(__xludf.DUMMYFUNCTION("""COMPUTED_VALUE"""),-21419.465123179238)</f>
        <v>-21419.46512</v>
      </c>
      <c r="C18" s="7">
        <f t="shared" si="1"/>
        <v>0.01364464559</v>
      </c>
      <c r="D18" s="7">
        <f t="shared" si="9"/>
        <v>0.9295961336</v>
      </c>
      <c r="E18" s="3">
        <f t="array" ref="E18">XLOOKUP(A18,'Dados Funil'!$A:$A,'Dados Funil'!$K:$K,"")</f>
        <v>-45.98060433</v>
      </c>
      <c r="F18" s="5">
        <f t="array" ref="F18">XLOOKUP(A18,'Dados Funil'!$A:$A,'Dados Funil'!$L:$L,"")</f>
        <v>-0.3708693354</v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I18" s="9" t="str">
        <f>IFERROR(__xludf.DUMMYFUNCTION("""COMPUTED_VALUE"""),"[SKL] CRM - WhatsApp")</f>
        <v>[SKL] CRM - WhatsApp</v>
      </c>
      <c r="AJ18" s="11">
        <f>IFERROR(__xludf.DUMMYFUNCTION("""COMPUTED_VALUE"""),230.32258064516117)</f>
        <v>230.3225806</v>
      </c>
      <c r="AK18" s="10">
        <f>IFERROR(__xludf.DUMMYFUNCTION("""COMPUTED_VALUE"""),0.2014285714285714)</f>
        <v>0.2014285714</v>
      </c>
      <c r="AL18" s="9">
        <f>IFERROR(__xludf.DUMMYFUNCTION("""COMPUTED_VALUE"""),2110.574468085106)</f>
        <v>2110.574468</v>
      </c>
      <c r="AM18" s="9">
        <f t="shared" si="7"/>
        <v>97917.03871</v>
      </c>
      <c r="AN18" s="9" t="str">
        <f>IFERROR(__xludf.DUMMYFUNCTION("""COMPUTED_VALUE"""),"[SKL] CRM - WhatsApp")</f>
        <v>[SKL] CRM - WhatsApp</v>
      </c>
      <c r="AO18" s="11">
        <f>IFERROR(__xludf.DUMMYFUNCTION("""COMPUTED_VALUE"""),181.0)</f>
        <v>181</v>
      </c>
      <c r="AP18" s="10">
        <f>IFERROR(__xludf.DUMMYFUNCTION("""COMPUTED_VALUE"""),0.143646408839779)</f>
        <v>0.1436464088</v>
      </c>
      <c r="AQ18" s="14">
        <f>IFERROR(__xludf.DUMMYFUNCTION("""COMPUTED_VALUE"""),530.7692307692307)</f>
        <v>530.7692308</v>
      </c>
      <c r="AR18" s="9">
        <f t="shared" si="8"/>
        <v>13800</v>
      </c>
    </row>
    <row r="19">
      <c r="A19" s="4" t="str">
        <f>IFERROR(__xludf.DUMMYFUNCTION("""COMPUTED_VALUE"""),"[SKL] CRM - WhatsApp")</f>
        <v>[SKL] CRM - WhatsApp</v>
      </c>
      <c r="B19" s="12">
        <f>IFERROR(__xludf.DUMMYFUNCTION("""COMPUTED_VALUE"""),-20968.508709677364)</f>
        <v>-20968.50871</v>
      </c>
      <c r="C19" s="7">
        <f t="shared" si="1"/>
        <v>0.01335737696</v>
      </c>
      <c r="D19" s="7">
        <f t="shared" si="9"/>
        <v>0.9429535106</v>
      </c>
      <c r="E19" s="3">
        <f t="array" ref="E19">XLOOKUP(A19,'Dados Funil'!$A:$A,'Dados Funil'!$K:$K,"")</f>
        <v>-49.32258065</v>
      </c>
      <c r="F19" s="5">
        <f t="array" ref="F19">XLOOKUP(A19,'Dados Funil'!$A:$A,'Dados Funil'!$L:$L,"")</f>
        <v>-0.2141456583</v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I19" s="9" t="str">
        <f>IFERROR(__xludf.DUMMYFUNCTION("""COMPUTED_VALUE"""),"Form G4 - K Outros")</f>
        <v>Form G4 - K Outros</v>
      </c>
      <c r="AJ19" s="11">
        <f>IFERROR(__xludf.DUMMYFUNCTION("""COMPUTED_VALUE"""),244.30645161290312)</f>
        <v>244.3064516</v>
      </c>
      <c r="AK19" s="10">
        <f>IFERROR(__xludf.DUMMYFUNCTION("""COMPUTED_VALUE"""),0.217)</f>
        <v>0.217</v>
      </c>
      <c r="AL19" s="9">
        <f>IFERROR(__xludf.DUMMYFUNCTION("""COMPUTED_VALUE"""),1599.1399999999996)</f>
        <v>1599.14</v>
      </c>
      <c r="AM19" s="9">
        <f t="shared" si="7"/>
        <v>84777.60753</v>
      </c>
      <c r="AN19" s="9" t="str">
        <f>IFERROR(__xludf.DUMMYFUNCTION("""COMPUTED_VALUE"""),"Form G4 - K Outros")</f>
        <v>Form G4 - K Outros</v>
      </c>
      <c r="AO19" s="11">
        <f>IFERROR(__xludf.DUMMYFUNCTION("""COMPUTED_VALUE"""),151.0)</f>
        <v>151</v>
      </c>
      <c r="AP19" s="10">
        <f>IFERROR(__xludf.DUMMYFUNCTION("""COMPUTED_VALUE"""),0.23178807947019867)</f>
        <v>0.2317880795</v>
      </c>
      <c r="AQ19" s="14">
        <f>IFERROR(__xludf.DUMMYFUNCTION("""COMPUTED_VALUE"""),1991.3142857142857)</f>
        <v>1991.314286</v>
      </c>
      <c r="AR19" s="9">
        <f t="shared" si="8"/>
        <v>69696</v>
      </c>
    </row>
    <row r="20">
      <c r="A20" s="4" t="str">
        <f>IFERROR(__xludf.DUMMYFUNCTION("""COMPUTED_VALUE"""),"Indicação - Outros")</f>
        <v>Indicação - Outros</v>
      </c>
      <c r="B20" s="12">
        <f>IFERROR(__xludf.DUMMYFUNCTION("""COMPUTED_VALUE"""),-19305.950474450456)</f>
        <v>-19305.95047</v>
      </c>
      <c r="C20" s="7">
        <f t="shared" si="1"/>
        <v>0.01229829272</v>
      </c>
      <c r="D20" s="7">
        <f t="shared" si="9"/>
        <v>0.9552518033</v>
      </c>
      <c r="E20" s="3">
        <f t="array" ref="E20">XLOOKUP(A20,'Dados Funil'!$A:$A,'Dados Funil'!$K:$K,"")</f>
        <v>-5.646709677</v>
      </c>
      <c r="F20" s="5">
        <f t="array" ref="F20">XLOOKUP(A20,'Dados Funil'!$A:$A,'Dados Funil'!$L:$L,"")</f>
        <v>-0.7384495967</v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I20" s="9" t="str">
        <f>IFERROR(__xludf.DUMMYFUNCTION("""COMPUTED_VALUE"""),"[IM] Link de Indicação")</f>
        <v>[IM] Link de Indicação</v>
      </c>
      <c r="AJ20" s="11">
        <f>IFERROR(__xludf.DUMMYFUNCTION("""COMPUTED_VALUE"""),57.0322580645161)</f>
        <v>57.03225806</v>
      </c>
      <c r="AK20" s="10">
        <f>IFERROR(__xludf.DUMMYFUNCTION("""COMPUTED_VALUE"""),0.3076923076923077)</f>
        <v>0.3076923077</v>
      </c>
      <c r="AL20" s="9">
        <f>IFERROR(__xludf.DUMMYFUNCTION("""COMPUTED_VALUE"""),4565.568)</f>
        <v>4565.568</v>
      </c>
      <c r="AM20" s="9">
        <f t="shared" si="7"/>
        <v>80118.35458</v>
      </c>
      <c r="AN20" s="9" t="str">
        <f>IFERROR(__xludf.DUMMYFUNCTION("""COMPUTED_VALUE"""),"[IM] Link de Indicação")</f>
        <v>[IM] Link de Indicação</v>
      </c>
      <c r="AO20" s="11">
        <f>IFERROR(__xludf.DUMMYFUNCTION("""COMPUTED_VALUE"""),62.0)</f>
        <v>62</v>
      </c>
      <c r="AP20" s="10">
        <f>IFERROR(__xludf.DUMMYFUNCTION("""COMPUTED_VALUE"""),0.3225806451612903)</f>
        <v>0.3225806452</v>
      </c>
      <c r="AQ20" s="14">
        <f>IFERROR(__xludf.DUMMYFUNCTION("""COMPUTED_VALUE"""),7622.55)</f>
        <v>7622.55</v>
      </c>
      <c r="AR20" s="9">
        <f t="shared" si="8"/>
        <v>152451</v>
      </c>
    </row>
    <row r="21">
      <c r="A21" s="4" t="str">
        <f>IFERROR(__xludf.DUMMYFUNCTION("""COMPUTED_VALUE"""),"Form G4 Incompleto Outros")</f>
        <v>Form G4 Incompleto Outros</v>
      </c>
      <c r="B21" s="12">
        <f>IFERROR(__xludf.DUMMYFUNCTION("""COMPUTED_VALUE"""),-19222.19024501841)</f>
        <v>-19222.19025</v>
      </c>
      <c r="C21" s="7">
        <f t="shared" si="1"/>
        <v>0.01224493571</v>
      </c>
      <c r="D21" s="7">
        <f t="shared" si="9"/>
        <v>0.967496739</v>
      </c>
      <c r="E21" s="3">
        <f t="array" ref="E21">XLOOKUP(A21,'Dados Funil'!$A:$A,'Dados Funil'!$K:$K,"")</f>
        <v>-61.27110501</v>
      </c>
      <c r="F21" s="5">
        <f t="array" ref="F21">XLOOKUP(A21,'Dados Funil'!$A:$A,'Dados Funil'!$L:$L,"")</f>
        <v>-0.2846229874</v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I21" s="9" t="str">
        <f>IFERROR(__xludf.DUMMYFUNCTION("""COMPUTED_VALUE"""),"[SKL] CRM - Email")</f>
        <v>[SKL] CRM - Email</v>
      </c>
      <c r="AJ21" s="11">
        <f>IFERROR(__xludf.DUMMYFUNCTION("""COMPUTED_VALUE"""),143.19483870967736)</f>
        <v>143.1948387</v>
      </c>
      <c r="AK21" s="10">
        <f>IFERROR(__xludf.DUMMYFUNCTION("""COMPUTED_VALUE"""),0.19140625)</f>
        <v>0.19140625</v>
      </c>
      <c r="AL21" s="9">
        <f>IFERROR(__xludf.DUMMYFUNCTION("""COMPUTED_VALUE"""),2694.5999999999995)</f>
        <v>2694.6</v>
      </c>
      <c r="AM21" s="9">
        <f t="shared" si="7"/>
        <v>73854.63987</v>
      </c>
      <c r="AN21" s="9" t="str">
        <f>IFERROR(__xludf.DUMMYFUNCTION("""COMPUTED_VALUE"""),"[SKL] CRM - Email")</f>
        <v>[SKL] CRM - Email</v>
      </c>
      <c r="AO21" s="11">
        <f>IFERROR(__xludf.DUMMYFUNCTION("""COMPUTED_VALUE"""),43.0)</f>
        <v>43</v>
      </c>
      <c r="AP21" s="10">
        <f>IFERROR(__xludf.DUMMYFUNCTION("""COMPUTED_VALUE"""),0.27906976744186046)</f>
        <v>0.2790697674</v>
      </c>
      <c r="AQ21" s="14">
        <f>IFERROR(__xludf.DUMMYFUNCTION("""COMPUTED_VALUE"""),1825.0)</f>
        <v>1825</v>
      </c>
      <c r="AR21" s="9">
        <f t="shared" si="8"/>
        <v>21900</v>
      </c>
    </row>
    <row r="22">
      <c r="A22" s="4" t="str">
        <f>IFERROR(__xludf.DUMMYFUNCTION("""COMPUTED_VALUE"""),"Aplicativo G4 - Indicação")</f>
        <v>Aplicativo G4 - Indicação</v>
      </c>
      <c r="B22" s="12">
        <f>IFERROR(__xludf.DUMMYFUNCTION("""COMPUTED_VALUE"""),-18867.54082039027)</f>
        <v>-18867.54082</v>
      </c>
      <c r="C22" s="7">
        <f t="shared" si="1"/>
        <v>0.01201901664</v>
      </c>
      <c r="D22" s="7">
        <f t="shared" si="9"/>
        <v>0.9795157556</v>
      </c>
      <c r="E22" s="3">
        <f t="array" ref="E22">XLOOKUP(A22,'Dados Funil'!$A:$A,'Dados Funil'!$K:$K,"")</f>
        <v>-26.97741935</v>
      </c>
      <c r="F22" s="5">
        <f t="array" ref="F22">XLOOKUP(A22,'Dados Funil'!$A:$A,'Dados Funil'!$L:$L,"")</f>
        <v>-0.6748164286</v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I22" s="9" t="str">
        <f>IFERROR(__xludf.DUMMYFUNCTION("""COMPUTED_VALUE"""),"[SKL] Site")</f>
        <v>[SKL] Site</v>
      </c>
      <c r="AJ22" s="11">
        <f>IFERROR(__xludf.DUMMYFUNCTION("""COMPUTED_VALUE"""),91.7816476031358)</f>
        <v>91.7816476</v>
      </c>
      <c r="AK22" s="10">
        <f>IFERROR(__xludf.DUMMYFUNCTION("""COMPUTED_VALUE"""),0.21393034825870647)</f>
        <v>0.2139303483</v>
      </c>
      <c r="AL22" s="9">
        <f>IFERROR(__xludf.DUMMYFUNCTION("""COMPUTED_VALUE"""),3674.3023255813955)</f>
        <v>3674.302326</v>
      </c>
      <c r="AM22" s="9">
        <f t="shared" si="7"/>
        <v>72144.48464</v>
      </c>
      <c r="AN22" s="9" t="str">
        <f>IFERROR(__xludf.DUMMYFUNCTION("""COMPUTED_VALUE"""),"[SKL] Site")</f>
        <v>[SKL] Site</v>
      </c>
      <c r="AO22" s="11">
        <f>IFERROR(__xludf.DUMMYFUNCTION("""COMPUTED_VALUE"""),68.0)</f>
        <v>68</v>
      </c>
      <c r="AP22" s="10">
        <f>IFERROR(__xludf.DUMMYFUNCTION("""COMPUTED_VALUE"""),0.16176470588235295)</f>
        <v>0.1617647059</v>
      </c>
      <c r="AQ22" s="14">
        <f>IFERROR(__xludf.DUMMYFUNCTION("""COMPUTED_VALUE"""),3068.590909090909)</f>
        <v>3068.590909</v>
      </c>
      <c r="AR22" s="9">
        <f t="shared" si="8"/>
        <v>33754.5</v>
      </c>
    </row>
    <row r="23">
      <c r="A23" s="4" t="str">
        <f>IFERROR(__xludf.DUMMYFUNCTION("""COMPUTED_VALUE"""),"[SKL] Site")</f>
        <v>[SKL] Site</v>
      </c>
      <c r="B23" s="12">
        <f>IFERROR(__xludf.DUMMYFUNCTION("""COMPUTED_VALUE"""),-18693.43986595741)</f>
        <v>-18693.43987</v>
      </c>
      <c r="C23" s="7">
        <f t="shared" si="1"/>
        <v>0.0119081107</v>
      </c>
      <c r="D23" s="7">
        <f t="shared" si="9"/>
        <v>0.9914238663</v>
      </c>
      <c r="E23" s="3">
        <f t="array" ref="E23">XLOOKUP(A23,'Dados Funil'!$A:$A,'Dados Funil'!$K:$K,"")</f>
        <v>-23.7816476</v>
      </c>
      <c r="F23" s="5">
        <f t="array" ref="F23">XLOOKUP(A23,'Dados Funil'!$A:$A,'Dados Funil'!$L:$L,"")</f>
        <v>-0.2591111429</v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I23" s="9" t="str">
        <f>IFERROR(__xludf.DUMMYFUNCTION("""COMPUTED_VALUE"""),"Form G4 Incompleto Outros")</f>
        <v>Form G4 Incompleto Outros</v>
      </c>
      <c r="AJ23" s="11">
        <f>IFERROR(__xludf.DUMMYFUNCTION("""COMPUTED_VALUE"""),215.27110501029503)</f>
        <v>215.271105</v>
      </c>
      <c r="AK23" s="10">
        <f>IFERROR(__xludf.DUMMYFUNCTION("""COMPUTED_VALUE"""),0.18247515808491416)</f>
        <v>0.1824751581</v>
      </c>
      <c r="AL23" s="9">
        <f>IFERROR(__xludf.DUMMYFUNCTION("""COMPUTED_VALUE"""),1719.2673267326736)</f>
        <v>1719.267327</v>
      </c>
      <c r="AM23" s="9">
        <f t="shared" si="7"/>
        <v>67535.62114</v>
      </c>
      <c r="AN23" s="9" t="str">
        <f>IFERROR(__xludf.DUMMYFUNCTION("""COMPUTED_VALUE"""),"Form G4 Incompleto Outros")</f>
        <v>Form G4 Incompleto Outros</v>
      </c>
      <c r="AO23" s="11">
        <f>IFERROR(__xludf.DUMMYFUNCTION("""COMPUTED_VALUE"""),154.0)</f>
        <v>154</v>
      </c>
      <c r="AP23" s="10">
        <f>IFERROR(__xludf.DUMMYFUNCTION("""COMPUTED_VALUE"""),0.19480519480519481)</f>
        <v>0.1948051948</v>
      </c>
      <c r="AQ23" s="14">
        <f>IFERROR(__xludf.DUMMYFUNCTION("""COMPUTED_VALUE"""),1270.2)</f>
        <v>1270.2</v>
      </c>
      <c r="AR23" s="9">
        <f t="shared" si="8"/>
        <v>38106</v>
      </c>
    </row>
    <row r="24">
      <c r="A24" s="4" t="str">
        <f>IFERROR(__xludf.DUMMYFUNCTION("""COMPUTED_VALUE"""),"[ON] Chat")</f>
        <v>[ON] Chat</v>
      </c>
      <c r="B24" s="12">
        <f>IFERROR(__xludf.DUMMYFUNCTION("""COMPUTED_VALUE"""),-6839.273166248965)</f>
        <v>-6839.273166</v>
      </c>
      <c r="C24" s="7">
        <f t="shared" si="1"/>
        <v>0.004356759513</v>
      </c>
      <c r="D24" s="7">
        <f t="shared" si="9"/>
        <v>0.9957806259</v>
      </c>
      <c r="E24" s="3">
        <f t="array" ref="E24">XLOOKUP(A24,'Dados Funil'!$A:$A,'Dados Funil'!$K:$K,"")</f>
        <v>-7.363853088</v>
      </c>
      <c r="F24" s="5">
        <f t="array" ref="F24">XLOOKUP(A24,'Dados Funil'!$A:$A,'Dados Funil'!$L:$L,"")</f>
        <v>-0.173823969</v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I24" s="9" t="str">
        <f>IFERROR(__xludf.DUMMYFUNCTION("""COMPUTED_VALUE"""),"[ON] Abandono de carrinho")</f>
        <v>[ON] Abandono de carrinho</v>
      </c>
      <c r="AJ24" s="11">
        <f>IFERROR(__xludf.DUMMYFUNCTION("""COMPUTED_VALUE"""),123.98060432829722)</f>
        <v>123.9806043</v>
      </c>
      <c r="AK24" s="10">
        <f>IFERROR(__xludf.DUMMYFUNCTION("""COMPUTED_VALUE"""),0.213)</f>
        <v>0.213</v>
      </c>
      <c r="AL24" s="9">
        <f>IFERROR(__xludf.DUMMYFUNCTION("""COMPUTED_VALUE"""),2187.0280000000002)</f>
        <v>2187.028</v>
      </c>
      <c r="AM24" s="9">
        <f t="shared" si="7"/>
        <v>57754.74832</v>
      </c>
      <c r="AN24" s="9" t="str">
        <f>IFERROR(__xludf.DUMMYFUNCTION("""COMPUTED_VALUE"""),"[ON] Abandono de carrinho")</f>
        <v>[ON] Abandono de carrinho</v>
      </c>
      <c r="AO24" s="11">
        <f>IFERROR(__xludf.DUMMYFUNCTION("""COMPUTED_VALUE"""),78.0)</f>
        <v>78</v>
      </c>
      <c r="AP24" s="10">
        <f>IFERROR(__xludf.DUMMYFUNCTION("""COMPUTED_VALUE"""),0.15384615384615385)</f>
        <v>0.1538461538</v>
      </c>
      <c r="AQ24" s="14">
        <f>IFERROR(__xludf.DUMMYFUNCTION("""COMPUTED_VALUE"""),1322.7750040690105)</f>
        <v>1322.775004</v>
      </c>
      <c r="AR24" s="9">
        <f t="shared" si="8"/>
        <v>15873.30005</v>
      </c>
    </row>
    <row r="25">
      <c r="A25" s="4" t="str">
        <f>IFERROR(__xludf.DUMMYFUNCTION("""COMPUTED_VALUE"""),"[SKL] Chat")</f>
        <v>[SKL] Chat</v>
      </c>
      <c r="B25" s="12">
        <f>IFERROR(__xludf.DUMMYFUNCTION("""COMPUTED_VALUE"""),-6623.604603870959)</f>
        <v>-6623.604604</v>
      </c>
      <c r="C25" s="7">
        <f t="shared" si="1"/>
        <v>0.004219374145</v>
      </c>
      <c r="D25" s="7">
        <f t="shared" si="9"/>
        <v>1</v>
      </c>
      <c r="E25" s="3">
        <f t="array" ref="E25">XLOOKUP(A25,'Dados Funil'!$A:$A,'Dados Funil'!$K:$K,"")</f>
        <v>-3.984516129</v>
      </c>
      <c r="F25" s="5">
        <f t="array" ref="F25">XLOOKUP(A25,'Dados Funil'!$A:$A,'Dados Funil'!$L:$L,"")</f>
        <v>-0.4990303814</v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I25" s="9" t="str">
        <f>IFERROR(__xludf.DUMMYFUNCTION("""COMPUTED_VALUE"""),"[IM] Form G4 Facebook Ads - K")</f>
        <v>[IM] Form G4 Facebook Ads - K</v>
      </c>
      <c r="AJ25" s="11">
        <f>IFERROR(__xludf.DUMMYFUNCTION("""COMPUTED_VALUE"""),94.26774193548383)</f>
        <v>94.26774194</v>
      </c>
      <c r="AK25" s="10">
        <f>IFERROR(__xludf.DUMMYFUNCTION("""COMPUTED_VALUE"""),0.26947643979057595)</f>
        <v>0.2694764398</v>
      </c>
      <c r="AL25" s="9">
        <f>IFERROR(__xludf.DUMMYFUNCTION("""COMPUTED_VALUE"""),2264.368421052631)</f>
        <v>2264.368421</v>
      </c>
      <c r="AM25" s="9">
        <f t="shared" si="7"/>
        <v>57521.60491</v>
      </c>
      <c r="AN25" s="9" t="str">
        <f>IFERROR(__xludf.DUMMYFUNCTION("""COMPUTED_VALUE"""),"[IM] Form G4 Facebook Ads - K")</f>
        <v>[IM] Form G4 Facebook Ads - K</v>
      </c>
      <c r="AO25" s="11">
        <f>IFERROR(__xludf.DUMMYFUNCTION("""COMPUTED_VALUE"""),127.0)</f>
        <v>127</v>
      </c>
      <c r="AP25" s="10">
        <f>IFERROR(__xludf.DUMMYFUNCTION("""COMPUTED_VALUE"""),0.2283464566929134)</f>
        <v>0.2283464567</v>
      </c>
      <c r="AQ25" s="14">
        <f>IFERROR(__xludf.DUMMYFUNCTION("""COMPUTED_VALUE"""),334.17241379310343)</f>
        <v>334.1724138</v>
      </c>
      <c r="AR25" s="9">
        <f t="shared" si="8"/>
        <v>9691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I26" s="9" t="str">
        <f>IFERROR(__xludf.DUMMYFUNCTION("""COMPUTED_VALUE"""),"[SKL] Social")</f>
        <v>[SKL] Social</v>
      </c>
      <c r="AJ26" s="11">
        <f>IFERROR(__xludf.DUMMYFUNCTION("""COMPUTED_VALUE"""),166.04126847915114)</f>
        <v>166.0412685</v>
      </c>
      <c r="AK26" s="10">
        <f>IFERROR(__xludf.DUMMYFUNCTION("""COMPUTED_VALUE"""),0.16134185303514376)</f>
        <v>0.161341853</v>
      </c>
      <c r="AL26" s="9">
        <f>IFERROR(__xludf.DUMMYFUNCTION("""COMPUTED_VALUE"""),2019.8019801980197)</f>
        <v>2019.80198</v>
      </c>
      <c r="AM26" s="9">
        <f t="shared" si="7"/>
        <v>54109.29516</v>
      </c>
      <c r="AN26" s="9" t="str">
        <f>IFERROR(__xludf.DUMMYFUNCTION("""COMPUTED_VALUE"""),"[SKL] Social")</f>
        <v>[SKL] Social</v>
      </c>
      <c r="AO26" s="11">
        <f>IFERROR(__xludf.DUMMYFUNCTION("""COMPUTED_VALUE"""),56.0)</f>
        <v>56</v>
      </c>
      <c r="AP26" s="10">
        <f>IFERROR(__xludf.DUMMYFUNCTION("""COMPUTED_VALUE"""),0.26785714285714285)</f>
        <v>0.2678571429</v>
      </c>
      <c r="AQ26" s="14">
        <f>IFERROR(__xludf.DUMMYFUNCTION("""COMPUTED_VALUE"""),606.4666666666667)</f>
        <v>606.4666667</v>
      </c>
      <c r="AR26" s="9">
        <f t="shared" si="8"/>
        <v>9097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I27" s="9" t="str">
        <f>IFERROR(__xludf.DUMMYFUNCTION("""COMPUTED_VALUE"""),"[CM] Form G4 - Instagram")</f>
        <v>[CM] Form G4 - Instagram</v>
      </c>
      <c r="AJ27" s="11">
        <f>IFERROR(__xludf.DUMMYFUNCTION("""COMPUTED_VALUE"""),21.257702065965923)</f>
        <v>21.25770207</v>
      </c>
      <c r="AK27" s="10">
        <f>IFERROR(__xludf.DUMMYFUNCTION("""COMPUTED_VALUE"""),0.276)</f>
        <v>0.276</v>
      </c>
      <c r="AL27" s="9">
        <f>IFERROR(__xludf.DUMMYFUNCTION("""COMPUTED_VALUE"""),7275.535714285716)</f>
        <v>7275.535714</v>
      </c>
      <c r="AM27" s="9">
        <f t="shared" si="7"/>
        <v>42686.48308</v>
      </c>
      <c r="AN27" s="9" t="str">
        <f>IFERROR(__xludf.DUMMYFUNCTION("""COMPUTED_VALUE"""),"[CM] Form G4 - Instagram")</f>
        <v>[CM] Form G4 - Instagram</v>
      </c>
      <c r="AO27" s="11">
        <f>IFERROR(__xludf.DUMMYFUNCTION("""COMPUTED_VALUE"""),30.0)</f>
        <v>30</v>
      </c>
      <c r="AP27" s="10">
        <f>IFERROR(__xludf.DUMMYFUNCTION("""COMPUTED_VALUE"""),0.2)</f>
        <v>0.2</v>
      </c>
      <c r="AQ27" s="14">
        <f>IFERROR(__xludf.DUMMYFUNCTION("""COMPUTED_VALUE"""),0.0)</f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I28" s="9" t="str">
        <f>IFERROR(__xludf.DUMMYFUNCTION("""COMPUTED_VALUE"""),"[ON] Chat")</f>
        <v>[ON] Chat</v>
      </c>
      <c r="AJ28" s="11">
        <f>IFERROR(__xludf.DUMMYFUNCTION("""COMPUTED_VALUE"""),42.3638530879833)</f>
        <v>42.36385309</v>
      </c>
      <c r="AK28" s="10">
        <f>IFERROR(__xludf.DUMMYFUNCTION("""COMPUTED_VALUE"""),0.641)</f>
        <v>0.641</v>
      </c>
      <c r="AL28" s="9">
        <f>IFERROR(__xludf.DUMMYFUNCTION("""COMPUTED_VALUE"""),1448.9279999999999)</f>
        <v>1448.928</v>
      </c>
      <c r="AM28" s="9">
        <f t="shared" si="7"/>
        <v>39345.97285</v>
      </c>
      <c r="AN28" s="9" t="str">
        <f>IFERROR(__xludf.DUMMYFUNCTION("""COMPUTED_VALUE"""),"[ON] Chat")</f>
        <v>[ON] Chat</v>
      </c>
      <c r="AO28" s="11">
        <f>IFERROR(__xludf.DUMMYFUNCTION("""COMPUTED_VALUE"""),35.0)</f>
        <v>35</v>
      </c>
      <c r="AP28" s="10">
        <f>IFERROR(__xludf.DUMMYFUNCTION("""COMPUTED_VALUE"""),0.6857142857142857)</f>
        <v>0.6857142857</v>
      </c>
      <c r="AQ28" s="14">
        <f>IFERROR(__xludf.DUMMYFUNCTION("""COMPUTED_VALUE"""),1078.9166666666667)</f>
        <v>1078.916667</v>
      </c>
      <c r="AR28" s="9">
        <f t="shared" si="8"/>
        <v>25894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I29" s="9" t="str">
        <f>IFERROR(__xludf.DUMMYFUNCTION("""COMPUTED_VALUE"""),"[CM] Form G4 - Outros")</f>
        <v>[CM] Form G4 - Outros</v>
      </c>
      <c r="AJ29" s="11">
        <f>IFERROR(__xludf.DUMMYFUNCTION("""COMPUTED_VALUE"""),14.171801377310615)</f>
        <v>14.17180138</v>
      </c>
      <c r="AK29" s="10">
        <f>IFERROR(__xludf.DUMMYFUNCTION("""COMPUTED_VALUE"""),0.276)</f>
        <v>0.276</v>
      </c>
      <c r="AL29" s="9">
        <f>IFERROR(__xludf.DUMMYFUNCTION("""COMPUTED_VALUE"""),7275.535714285715)</f>
        <v>7275.535714</v>
      </c>
      <c r="AM29" s="9">
        <f t="shared" si="7"/>
        <v>28457.65539</v>
      </c>
      <c r="AN29" s="9" t="str">
        <f>IFERROR(__xludf.DUMMYFUNCTION("""COMPUTED_VALUE"""),"[CM] Form G4 - Outros")</f>
        <v>[CM] Form G4 - Outros</v>
      </c>
      <c r="AO29" s="11">
        <f>IFERROR(__xludf.DUMMYFUNCTION("""COMPUTED_VALUE"""),17.0)</f>
        <v>17</v>
      </c>
      <c r="AP29" s="10">
        <f>IFERROR(__xludf.DUMMYFUNCTION("""COMPUTED_VALUE"""),0.23529411764705882)</f>
        <v>0.2352941176</v>
      </c>
      <c r="AQ29" s="14">
        <f>IFERROR(__xludf.DUMMYFUNCTION("""COMPUTED_VALUE"""),39510.0)</f>
        <v>39510</v>
      </c>
      <c r="AR29" s="9">
        <f t="shared" si="8"/>
        <v>158040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I30" s="9" t="str">
        <f>IFERROR(__xludf.DUMMYFUNCTION("""COMPUTED_VALUE"""),"Aplicativo G4 - Indicação")</f>
        <v>Aplicativo G4 - Indicação</v>
      </c>
      <c r="AJ30" s="11">
        <f>IFERROR(__xludf.DUMMYFUNCTION("""COMPUTED_VALUE"""),39.977419354838695)</f>
        <v>39.97741935</v>
      </c>
      <c r="AK30" s="10">
        <f>IFERROR(__xludf.DUMMYFUNCTION("""COMPUTED_VALUE"""),0.16049382716049382)</f>
        <v>0.1604938272</v>
      </c>
      <c r="AL30" s="9">
        <f>IFERROR(__xludf.DUMMYFUNCTION("""COMPUTED_VALUE"""),4357.692307692308)</f>
        <v>4357.692308</v>
      </c>
      <c r="AM30" s="9">
        <f t="shared" si="7"/>
        <v>27959.51613</v>
      </c>
      <c r="AN30" s="9" t="str">
        <f>IFERROR(__xludf.DUMMYFUNCTION("""COMPUTED_VALUE"""),"Aplicativo G4 - Indicação")</f>
        <v>Aplicativo G4 - Indicação</v>
      </c>
      <c r="AO30" s="11">
        <f>IFERROR(__xludf.DUMMYFUNCTION("""COMPUTED_VALUE"""),13.0)</f>
        <v>13</v>
      </c>
      <c r="AP30" s="10">
        <f>IFERROR(__xludf.DUMMYFUNCTION("""COMPUTED_VALUE"""),0.6923076923076923)</f>
        <v>0.6923076923</v>
      </c>
      <c r="AQ30" s="14">
        <f>IFERROR(__xludf.DUMMYFUNCTION("""COMPUTED_VALUE"""),7000.0)</f>
        <v>7000</v>
      </c>
      <c r="AR30" s="9">
        <f t="shared" si="8"/>
        <v>63000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I31" s="9" t="str">
        <f>IFERROR(__xludf.DUMMYFUNCTION("""COMPUTED_VALUE"""),"Indicação - Outros")</f>
        <v>Indicação - Outros</v>
      </c>
      <c r="AJ31" s="11">
        <f>IFERROR(__xludf.DUMMYFUNCTION("""COMPUTED_VALUE"""),7.6467096774193495)</f>
        <v>7.646709677</v>
      </c>
      <c r="AK31" s="10">
        <f>IFERROR(__xludf.DUMMYFUNCTION("""COMPUTED_VALUE"""),0.19469026548672566)</f>
        <v>0.1946902655</v>
      </c>
      <c r="AL31" s="9">
        <f>IFERROR(__xludf.DUMMYFUNCTION("""COMPUTED_VALUE"""),17561.09090909091)</f>
        <v>17561.09091</v>
      </c>
      <c r="AM31" s="9">
        <f t="shared" si="7"/>
        <v>26143.89738</v>
      </c>
      <c r="AN31" s="9" t="str">
        <f>IFERROR(__xludf.DUMMYFUNCTION("""COMPUTED_VALUE"""),"Indicação - Outros")</f>
        <v>Indicação - Outros</v>
      </c>
      <c r="AO31" s="11">
        <f>IFERROR(__xludf.DUMMYFUNCTION("""COMPUTED_VALUE"""),2.0)</f>
        <v>2</v>
      </c>
      <c r="AP31" s="10">
        <f>IFERROR(__xludf.DUMMYFUNCTION("""COMPUTED_VALUE"""),0.5)</f>
        <v>0.5</v>
      </c>
      <c r="AQ31" s="14">
        <f>IFERROR(__xludf.DUMMYFUNCTION("""COMPUTED_VALUE"""),0.0)</f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I32" s="9" t="str">
        <f>IFERROR(__xludf.DUMMYFUNCTION("""COMPUTED_VALUE"""),"[SKL] Chat")</f>
        <v>[SKL] Chat</v>
      </c>
      <c r="AJ32" s="11">
        <f>IFERROR(__xludf.DUMMYFUNCTION("""COMPUTED_VALUE"""),7.9845161290322535)</f>
        <v>7.984516129</v>
      </c>
      <c r="AK32" s="10">
        <f>IFERROR(__xludf.DUMMYFUNCTION("""COMPUTED_VALUE"""),0.36)</f>
        <v>0.36</v>
      </c>
      <c r="AL32" s="9">
        <f>IFERROR(__xludf.DUMMYFUNCTION("""COMPUTED_VALUE"""),4617.599999999999)</f>
        <v>4617.6</v>
      </c>
      <c r="AM32" s="9">
        <f t="shared" si="7"/>
        <v>13272.9486</v>
      </c>
      <c r="AN32" s="9" t="str">
        <f>IFERROR(__xludf.DUMMYFUNCTION("""COMPUTED_VALUE"""),"[SKL] Chat")</f>
        <v>[SKL] Chat</v>
      </c>
      <c r="AO32" s="11">
        <f>IFERROR(__xludf.DUMMYFUNCTION("""COMPUTED_VALUE"""),4.0)</f>
        <v>4</v>
      </c>
      <c r="AP32" s="10">
        <f>IFERROR(__xludf.DUMMYFUNCTION("""COMPUTED_VALUE"""),0.5)</f>
        <v>0.5</v>
      </c>
      <c r="AQ32" s="14">
        <f>IFERROR(__xludf.DUMMYFUNCTION("""COMPUTED_VALUE"""),0.0)</f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8">
        <f>IFERROR(__xludf.DUMMYFUNCTION("""COMPUTED_VALUE"""),767.7419354838706)</f>
        <v>767.7419355</v>
      </c>
      <c r="C2" s="19">
        <f>IFERROR(__xludf.DUMMYFUNCTION("""COMPUTED_VALUE"""),709.0)</f>
        <v>709</v>
      </c>
      <c r="D2" s="20">
        <f>IFERROR(__xludf.DUMMYFUNCTION("""COMPUTED_VALUE"""),-58.741935483870634)</f>
        <v>-58.74193548</v>
      </c>
      <c r="E2" s="21">
        <f>IFERROR(__xludf.DUMMYFUNCTION("""COMPUTED_VALUE"""),-0.0765126050420164)</f>
        <v>-0.07651260504</v>
      </c>
      <c r="F2" s="22">
        <f>IFERROR(__xludf.DUMMYFUNCTION("""COMPUTED_VALUE"""),0.8)</f>
        <v>0.8</v>
      </c>
      <c r="G2" s="22">
        <f>IFERROR(__xludf.DUMMYFUNCTION("""COMPUTED_VALUE"""),0.768688293370945)</f>
        <v>0.7686882934</v>
      </c>
      <c r="H2" s="23">
        <f>IFERROR(__xludf.DUMMYFUNCTION("""COMPUTED_VALUE"""),-3.1311706629055025)</f>
        <v>-3.131170663</v>
      </c>
      <c r="I2" s="18">
        <f>IFERROR(__xludf.DUMMYFUNCTION("""COMPUTED_VALUE"""),614.1935483870965)</f>
        <v>614.1935484</v>
      </c>
      <c r="J2" s="19">
        <f>IFERROR(__xludf.DUMMYFUNCTION("""COMPUTED_VALUE"""),545.0)</f>
        <v>545</v>
      </c>
      <c r="K2" s="20">
        <f>IFERROR(__xludf.DUMMYFUNCTION("""COMPUTED_VALUE"""),-69.19354838709648)</f>
        <v>-69.19354839</v>
      </c>
      <c r="L2" s="21">
        <f>IFERROR(__xludf.DUMMYFUNCTION("""COMPUTED_VALUE"""),-0.11265756302520967)</f>
        <v>-0.112657563</v>
      </c>
      <c r="M2" s="24">
        <f>IFERROR(__xludf.DUMMYFUNCTION("""COMPUTED_VALUE"""),0.3619368879216539)</f>
        <v>0.3619368879</v>
      </c>
      <c r="N2" s="22">
        <f>IFERROR(__xludf.DUMMYFUNCTION("""COMPUTED_VALUE"""),0.3431192660550459)</f>
        <v>0.3431192661</v>
      </c>
      <c r="O2" s="25">
        <f>IFERROR(__xludf.DUMMYFUNCTION("""COMPUTED_VALUE"""),-1.8817621866608014)</f>
        <v>-1.881762187</v>
      </c>
      <c r="P2" s="18">
        <f>IFERROR(__xludf.DUMMYFUNCTION("""COMPUTED_VALUE"""),222.95312295973878)</f>
        <v>222.953123</v>
      </c>
      <c r="Q2" s="19">
        <f>IFERROR(__xludf.DUMMYFUNCTION("""COMPUTED_VALUE"""),187.0)</f>
        <v>187</v>
      </c>
      <c r="R2" s="20">
        <f>IFERROR(__xludf.DUMMYFUNCTION("""COMPUTED_VALUE"""),-35.95312295973878)</f>
        <v>-35.95312296</v>
      </c>
      <c r="S2" s="26">
        <f>IFERROR(__xludf.DUMMYFUNCTION("""COMPUTED_VALUE"""),-0.16125866497161043)</f>
        <v>-0.161258665</v>
      </c>
      <c r="T2" s="22">
        <f>IFERROR(__xludf.DUMMYFUNCTION("""COMPUTED_VALUE"""),0.18)</f>
        <v>0.18</v>
      </c>
      <c r="U2" s="22">
        <f>IFERROR(__xludf.DUMMYFUNCTION("""COMPUTED_VALUE"""),0.10160427807486631)</f>
        <v>0.1016042781</v>
      </c>
      <c r="V2" s="23">
        <f>IFERROR(__xludf.DUMMYFUNCTION("""COMPUTED_VALUE"""),-7.839572192513368)</f>
        <v>-7.839572193</v>
      </c>
      <c r="W2" s="18">
        <f>IFERROR(__xludf.DUMMYFUNCTION("""COMPUTED_VALUE"""),40.13156213275298)</f>
        <v>40.13156213</v>
      </c>
      <c r="X2" s="19">
        <f>IFERROR(__xludf.DUMMYFUNCTION("""COMPUTED_VALUE"""),19.0)</f>
        <v>19</v>
      </c>
      <c r="Y2" s="20">
        <f>IFERROR(__xludf.DUMMYFUNCTION("""COMPUTED_VALUE"""),-21.131562132752983)</f>
        <v>-21.13156213</v>
      </c>
      <c r="Z2" s="27">
        <f>IFERROR(__xludf.DUMMYFUNCTION("""COMPUTED_VALUE"""),-0.5265571786827272)</f>
        <v>-0.5265571787</v>
      </c>
      <c r="AA2" s="18">
        <f>IFERROR(__xludf.DUMMYFUNCTION("""COMPUTED_VALUE"""),28000.0)</f>
        <v>28000</v>
      </c>
      <c r="AB2" s="19">
        <f>IFERROR(__xludf.DUMMYFUNCTION("""COMPUTED_VALUE"""),34776.15789473684)</f>
        <v>34776.15789</v>
      </c>
      <c r="AC2" s="20">
        <f>IFERROR(__xludf.DUMMYFUNCTION("""COMPUTED_VALUE"""),6776.15789473684)</f>
        <v>6776.157895</v>
      </c>
      <c r="AD2" s="27">
        <f>IFERROR(__xludf.DUMMYFUNCTION("""COMPUTED_VALUE"""),0.24200563909774428)</f>
        <v>0.2420056391</v>
      </c>
      <c r="AE2" s="18">
        <f>IFERROR(__xludf.DUMMYFUNCTION("""COMPUTED_VALUE"""),867075.2347926005)</f>
        <v>867075.2348</v>
      </c>
      <c r="AF2" s="19">
        <f>IFERROR(__xludf.DUMMYFUNCTION("""COMPUTED_VALUE"""),660747.0)</f>
        <v>660747</v>
      </c>
      <c r="AG2" s="20">
        <f>IFERROR(__xludf.DUMMYFUNCTION("""COMPUTED_VALUE"""),-206328.2347926005)</f>
        <v>-206328.2348</v>
      </c>
      <c r="AH2" s="28">
        <f>IFERROR(__xludf.DUMMYFUNCTION("""COMPUTED_VALUE"""),-0.23795886044646755)</f>
        <v>-0.2379588604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"),-126220.23574010967)</f>
        <v>-126220.2357</v>
      </c>
      <c r="AJ2" s="29">
        <f>IFERROR(__xludf.DUMMYFUNCTION("""COMPUTED_VALUE"""),-333421.243743199)</f>
        <v>-333421.2437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"),5040.0)</f>
        <v>5040</v>
      </c>
      <c r="AL2" s="30">
        <f>IFERROR(__xludf.DUMMYFUNCTION("""COMPUTED_VALUE"""),3533.4064171122996)</f>
        <v>3533.406417</v>
      </c>
      <c r="AM2" s="29">
        <f t="shared" ref="AM2:AM16" si="1">AL2-AK2</f>
        <v>-1506.593583</v>
      </c>
      <c r="AN2" s="31">
        <f t="shared" ref="AN2:AN16" si="2">AM2/AK2</f>
        <v>-0.2989272982</v>
      </c>
      <c r="AO2" s="12">
        <f t="shared" ref="AO2:AO16" si="3">J2*(N2-M2)*AK2</f>
        <v>-51688.24374</v>
      </c>
      <c r="AP2" s="12">
        <f t="shared" ref="AP2:AP16" si="4">J2*N2*AM2</f>
        <v>-281733</v>
      </c>
      <c r="AQ2" s="12">
        <f>SUMIFS(AP2:AP16,AP2:AP16,"&lt;"&amp;0)</f>
        <v>-1501654.293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IFERROR(__xludf.DUMMYFUNCTION("""COMPUTED_VALUE"""),"[IM] Form Facebook Ads")</f>
        <v>[IM] Form Facebook Ads</v>
      </c>
      <c r="B3" s="18">
        <f>IFERROR(__xludf.DUMMYFUNCTION("""COMPUTED_VALUE"""),523.7096774193545)</f>
        <v>523.7096774</v>
      </c>
      <c r="C3" s="19">
        <f>IFERROR(__xludf.DUMMYFUNCTION("""COMPUTED_VALUE"""),481.0)</f>
        <v>481</v>
      </c>
      <c r="D3" s="20">
        <f>IFERROR(__xludf.DUMMYFUNCTION("""COMPUTED_VALUE"""),-42.709677419354534)</f>
        <v>-42.70967742</v>
      </c>
      <c r="E3" s="21">
        <f>IFERROR(__xludf.DUMMYFUNCTION("""COMPUTED_VALUE"""),-0.08155220203264499)</f>
        <v>-0.08155220203</v>
      </c>
      <c r="F3" s="22">
        <f>IFERROR(__xludf.DUMMYFUNCTION("""COMPUTED_VALUE"""),0.8)</f>
        <v>0.8</v>
      </c>
      <c r="G3" s="22">
        <f>IFERROR(__xludf.DUMMYFUNCTION("""COMPUTED_VALUE"""),0.7151767151767152)</f>
        <v>0.7151767152</v>
      </c>
      <c r="H3" s="23">
        <f>IFERROR(__xludf.DUMMYFUNCTION("""COMPUTED_VALUE"""),-8.482328482328484)</f>
        <v>-8.482328482</v>
      </c>
      <c r="I3" s="18">
        <f>IFERROR(__xludf.DUMMYFUNCTION("""COMPUTED_VALUE"""),418.9677419354837)</f>
        <v>418.9677419</v>
      </c>
      <c r="J3" s="19">
        <f>IFERROR(__xludf.DUMMYFUNCTION("""COMPUTED_VALUE"""),344.0)</f>
        <v>344</v>
      </c>
      <c r="K3" s="20">
        <f>IFERROR(__xludf.DUMMYFUNCTION("""COMPUTED_VALUE"""),-74.96774193548367)</f>
        <v>-74.96774194</v>
      </c>
      <c r="L3" s="21">
        <f>IFERROR(__xludf.DUMMYFUNCTION("""COMPUTED_VALUE"""),-0.1789344009855247)</f>
        <v>-0.178934401</v>
      </c>
      <c r="M3" s="24">
        <f>IFERROR(__xludf.DUMMYFUNCTION("""COMPUTED_VALUE"""),0.34)</f>
        <v>0.34</v>
      </c>
      <c r="N3" s="22">
        <f>IFERROR(__xludf.DUMMYFUNCTION("""COMPUTED_VALUE"""),0.27325581395348836)</f>
        <v>0.273255814</v>
      </c>
      <c r="O3" s="25">
        <f>IFERROR(__xludf.DUMMYFUNCTION("""COMPUTED_VALUE"""),-6.674418604651167)</f>
        <v>-6.674418605</v>
      </c>
      <c r="P3" s="18">
        <f>IFERROR(__xludf.DUMMYFUNCTION("""COMPUTED_VALUE"""),142.86799999999997)</f>
        <v>142.868</v>
      </c>
      <c r="Q3" s="19">
        <f>IFERROR(__xludf.DUMMYFUNCTION("""COMPUTED_VALUE"""),94.0)</f>
        <v>94</v>
      </c>
      <c r="R3" s="20">
        <f>IFERROR(__xludf.DUMMYFUNCTION("""COMPUTED_VALUE"""),-48.86799999999997)</f>
        <v>-48.868</v>
      </c>
      <c r="S3" s="26">
        <f>IFERROR(__xludf.DUMMYFUNCTION("""COMPUTED_VALUE"""),-0.3420500041996807)</f>
        <v>-0.3420500042</v>
      </c>
      <c r="T3" s="22">
        <f>IFERROR(__xludf.DUMMYFUNCTION("""COMPUTED_VALUE"""),0.16)</f>
        <v>0.16</v>
      </c>
      <c r="U3" s="22">
        <f>IFERROR(__xludf.DUMMYFUNCTION("""COMPUTED_VALUE"""),0.06382978723404255)</f>
        <v>0.06382978723</v>
      </c>
      <c r="V3" s="23">
        <f>IFERROR(__xludf.DUMMYFUNCTION("""COMPUTED_VALUE"""),-9.617021276595745)</f>
        <v>-9.617021277</v>
      </c>
      <c r="W3" s="18">
        <f>IFERROR(__xludf.DUMMYFUNCTION("""COMPUTED_VALUE"""),22.858879999999996)</f>
        <v>22.85888</v>
      </c>
      <c r="X3" s="19">
        <f>IFERROR(__xludf.DUMMYFUNCTION("""COMPUTED_VALUE"""),6.0)</f>
        <v>6</v>
      </c>
      <c r="Y3" s="20">
        <f>IFERROR(__xludf.DUMMYFUNCTION("""COMPUTED_VALUE"""),-16.858879999999996)</f>
        <v>-16.85888</v>
      </c>
      <c r="Z3" s="27">
        <f>IFERROR(__xludf.DUMMYFUNCTION("""COMPUTED_VALUE"""),-0.7375199484839152)</f>
        <v>-0.7375199485</v>
      </c>
      <c r="AA3" s="18">
        <f>IFERROR(__xludf.DUMMYFUNCTION("""COMPUTED_VALUE"""),29000.0)</f>
        <v>29000</v>
      </c>
      <c r="AB3" s="19">
        <f>IFERROR(__xludf.DUMMYFUNCTION("""COMPUTED_VALUE"""),32976.833333333336)</f>
        <v>32976.83333</v>
      </c>
      <c r="AC3" s="20">
        <f>IFERROR(__xludf.DUMMYFUNCTION("""COMPUTED_VALUE"""),3976.8333333333358)</f>
        <v>3976.833333</v>
      </c>
      <c r="AD3" s="27">
        <f>IFERROR(__xludf.DUMMYFUNCTION("""COMPUTED_VALUE"""),0.13713218390804607)</f>
        <v>0.1371321839</v>
      </c>
      <c r="AE3" s="18">
        <f>IFERROR(__xludf.DUMMYFUNCTION("""COMPUTED_VALUE"""),511523.54815999995)</f>
        <v>511523.5482</v>
      </c>
      <c r="AF3" s="19">
        <f>IFERROR(__xludf.DUMMYFUNCTION("""COMPUTED_VALUE"""),197861.0)</f>
        <v>197861</v>
      </c>
      <c r="AG3" s="20">
        <f>IFERROR(__xludf.DUMMYFUNCTION("""COMPUTED_VALUE"""),-313662.54815999995)</f>
        <v>-313662.5482</v>
      </c>
      <c r="AH3" s="28">
        <f>IFERROR(__xludf.DUMMYFUNCTION("""COMPUTED_VALUE"""),-0.6131927831832468)</f>
        <v>-0.6131927832</v>
      </c>
      <c r="AI3" s="29">
        <f>IFERROR(__xludf.DUMMYFUNCTION("""COMPUTED_VALUE"""),-118269.10967741904)</f>
        <v>-118269.1097</v>
      </c>
      <c r="AJ3" s="29">
        <f>IFERROR(__xludf.DUMMYFUNCTION("""COMPUTED_VALUE"""),-344833.39999999997)</f>
        <v>-344833.4</v>
      </c>
      <c r="AK3" s="4">
        <f>IFERROR(__xludf.DUMMYFUNCTION("""COMPUTED_VALUE"""),4640.0)</f>
        <v>4640</v>
      </c>
      <c r="AL3" s="30">
        <f>IFERROR(__xludf.DUMMYFUNCTION("""COMPUTED_VALUE"""),2104.904255319149)</f>
        <v>2104.904255</v>
      </c>
      <c r="AM3" s="29">
        <f t="shared" si="1"/>
        <v>-2535.095745</v>
      </c>
      <c r="AN3" s="31">
        <f t="shared" si="2"/>
        <v>-0.5463568415</v>
      </c>
      <c r="AO3" s="12">
        <f t="shared" si="3"/>
        <v>-106534.4</v>
      </c>
      <c r="AP3" s="12">
        <f t="shared" si="4"/>
        <v>-238299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Outros - Orgânico")</f>
        <v>Form G4 Outros - Orgânico</v>
      </c>
      <c r="B4" s="18">
        <f>IFERROR(__xludf.DUMMYFUNCTION("""COMPUTED_VALUE"""),319.38064516129015)</f>
        <v>319.3806452</v>
      </c>
      <c r="C4" s="19">
        <f>IFERROR(__xludf.DUMMYFUNCTION("""COMPUTED_VALUE"""),263.0)</f>
        <v>263</v>
      </c>
      <c r="D4" s="20">
        <f>IFERROR(__xludf.DUMMYFUNCTION("""COMPUTED_VALUE"""),-56.38064516129015)</f>
        <v>-56.38064516</v>
      </c>
      <c r="E4" s="21">
        <f>IFERROR(__xludf.DUMMYFUNCTION("""COMPUTED_VALUE"""),-0.176531189398836)</f>
        <v>-0.1765311894</v>
      </c>
      <c r="F4" s="22">
        <f>IFERROR(__xludf.DUMMYFUNCTION("""COMPUTED_VALUE"""),0.5817307692307692)</f>
        <v>0.5817307692</v>
      </c>
      <c r="G4" s="22">
        <f>IFERROR(__xludf.DUMMYFUNCTION("""COMPUTED_VALUE"""),0.6273764258555133)</f>
        <v>0.6273764259</v>
      </c>
      <c r="H4" s="23">
        <f>IFERROR(__xludf.DUMMYFUNCTION("""COMPUTED_VALUE"""),4.564565662474418)</f>
        <v>4.564565662</v>
      </c>
      <c r="I4" s="18">
        <f>IFERROR(__xludf.DUMMYFUNCTION("""COMPUTED_VALUE"""),185.79354838709665)</f>
        <v>185.7935484</v>
      </c>
      <c r="J4" s="19">
        <f>IFERROR(__xludf.DUMMYFUNCTION("""COMPUTED_VALUE"""),165.0)</f>
        <v>165</v>
      </c>
      <c r="K4" s="20">
        <f>IFERROR(__xludf.DUMMYFUNCTION("""COMPUTED_VALUE"""),-20.79354838709665)</f>
        <v>-20.79354839</v>
      </c>
      <c r="L4" s="21">
        <f>IFERROR(__xludf.DUMMYFUNCTION("""COMPUTED_VALUE"""),-0.11191749427043485)</f>
        <v>-0.1119174943</v>
      </c>
      <c r="M4" s="24">
        <f>IFERROR(__xludf.DUMMYFUNCTION("""COMPUTED_VALUE"""),0.44214876033057854)</f>
        <v>0.4421487603</v>
      </c>
      <c r="N4" s="22">
        <f>IFERROR(__xludf.DUMMYFUNCTION("""COMPUTED_VALUE"""),0.5212121212121212)</f>
        <v>0.5212121212</v>
      </c>
      <c r="O4" s="25">
        <f>IFERROR(__xludf.DUMMYFUNCTION("""COMPUTED_VALUE"""),7.90633608815427)</f>
        <v>7.906336088</v>
      </c>
      <c r="P4" s="18">
        <f>IFERROR(__xludf.DUMMYFUNCTION("""COMPUTED_VALUE"""),82.38999999999999)</f>
        <v>82.39</v>
      </c>
      <c r="Q4" s="19">
        <f>IFERROR(__xludf.DUMMYFUNCTION("""COMPUTED_VALUE"""),86.0)</f>
        <v>86</v>
      </c>
      <c r="R4" s="20">
        <f>IFERROR(__xludf.DUMMYFUNCTION("""COMPUTED_VALUE"""),3.6100000000000136)</f>
        <v>3.61</v>
      </c>
      <c r="S4" s="26">
        <f>IFERROR(__xludf.DUMMYFUNCTION("""COMPUTED_VALUE"""),0.0438159970870253)</f>
        <v>0.04381599709</v>
      </c>
      <c r="T4" s="22">
        <f>IFERROR(__xludf.DUMMYFUNCTION("""COMPUTED_VALUE"""),0.23364485981308414)</f>
        <v>0.2336448598</v>
      </c>
      <c r="U4" s="22">
        <f>IFERROR(__xludf.DUMMYFUNCTION("""COMPUTED_VALUE"""),0.16279069767441862)</f>
        <v>0.1627906977</v>
      </c>
      <c r="V4" s="23">
        <f>IFERROR(__xludf.DUMMYFUNCTION("""COMPUTED_VALUE"""),-7.085416213866552)</f>
        <v>-7.085416214</v>
      </c>
      <c r="W4" s="18">
        <f>IFERROR(__xludf.DUMMYFUNCTION("""COMPUTED_VALUE"""),19.249999999999996)</f>
        <v>19.25</v>
      </c>
      <c r="X4" s="19">
        <f>IFERROR(__xludf.DUMMYFUNCTION("""COMPUTED_VALUE"""),14.0)</f>
        <v>14</v>
      </c>
      <c r="Y4" s="20">
        <f>IFERROR(__xludf.DUMMYFUNCTION("""COMPUTED_VALUE"""),-5.2499999999999964)</f>
        <v>-5.25</v>
      </c>
      <c r="Z4" s="27">
        <f>IFERROR(__xludf.DUMMYFUNCTION("""COMPUTED_VALUE"""),-0.2727272727272726)</f>
        <v>-0.2727272727</v>
      </c>
      <c r="AA4" s="18">
        <f>IFERROR(__xludf.DUMMYFUNCTION("""COMPUTED_VALUE"""),23052.0)</f>
        <v>23052</v>
      </c>
      <c r="AB4" s="19">
        <f>IFERROR(__xludf.DUMMYFUNCTION("""COMPUTED_VALUE"""),34983.882114955355)</f>
        <v>34983.88211</v>
      </c>
      <c r="AC4" s="20">
        <f>IFERROR(__xludf.DUMMYFUNCTION("""COMPUTED_VALUE"""),11931.882114955355)</f>
        <v>11931.88211</v>
      </c>
      <c r="AD4" s="27">
        <f>IFERROR(__xludf.DUMMYFUNCTION("""COMPUTED_VALUE"""),0.5176072408014643)</f>
        <v>0.5176072408</v>
      </c>
      <c r="AE4" s="18">
        <f>IFERROR(__xludf.DUMMYFUNCTION("""COMPUTED_VALUE"""),342414.408)</f>
        <v>342414.408</v>
      </c>
      <c r="AF4" s="19">
        <f>IFERROR(__xludf.DUMMYFUNCTION("""COMPUTED_VALUE"""),489774.349609375)</f>
        <v>489774.3496</v>
      </c>
      <c r="AG4" s="20">
        <f>IFERROR(__xludf.DUMMYFUNCTION("""COMPUTED_VALUE"""),147359.941609375)</f>
        <v>147359.9416</v>
      </c>
      <c r="AH4" s="28">
        <f>IFERROR(__xludf.DUMMYFUNCTION("""COMPUTED_VALUE"""),0.43035555212202115)</f>
        <v>0.4303555521</v>
      </c>
      <c r="AI4" s="29">
        <f>IFERROR(__xludf.DUMMYFUNCTION("""COMPUTED_VALUE"""),-49517.859237536366)</f>
        <v>-49517.85924</v>
      </c>
      <c r="AJ4" s="29">
        <f>IFERROR(__xludf.DUMMYFUNCTION("""COMPUTED_VALUE"""),96842.53142755672)</f>
        <v>96842.53143</v>
      </c>
      <c r="AK4" s="4">
        <f>IFERROR(__xludf.DUMMYFUNCTION("""COMPUTED_VALUE"""),5385.981308411216)</f>
        <v>5385.981308</v>
      </c>
      <c r="AL4" s="30">
        <f>IFERROR(__xludf.DUMMYFUNCTION("""COMPUTED_VALUE"""),5695.0505768531975)</f>
        <v>5695.050577</v>
      </c>
      <c r="AM4" s="29">
        <f t="shared" si="1"/>
        <v>309.0692684</v>
      </c>
      <c r="AN4" s="31">
        <f t="shared" si="2"/>
        <v>0.05738402173</v>
      </c>
      <c r="AO4" s="12">
        <f t="shared" si="3"/>
        <v>70262.57434</v>
      </c>
      <c r="AP4" s="12">
        <f t="shared" si="4"/>
        <v>26579.95709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IFERROR(__xludf.DUMMYFUNCTION("""COMPUTED_VALUE"""),"Form G4 Instagram Outros")</f>
        <v>Form G4 Instagram Outros</v>
      </c>
      <c r="B5" s="18">
        <f>IFERROR(__xludf.DUMMYFUNCTION("""COMPUTED_VALUE"""),230.32258064516117)</f>
        <v>230.3225806</v>
      </c>
      <c r="C5" s="19">
        <f>IFERROR(__xludf.DUMMYFUNCTION("""COMPUTED_VALUE"""),108.0)</f>
        <v>108</v>
      </c>
      <c r="D5" s="20">
        <f>IFERROR(__xludf.DUMMYFUNCTION("""COMPUTED_VALUE"""),-122.32258064516117)</f>
        <v>-122.3225806</v>
      </c>
      <c r="E5" s="21">
        <f>IFERROR(__xludf.DUMMYFUNCTION("""COMPUTED_VALUE"""),-0.5310924369747897)</f>
        <v>-0.531092437</v>
      </c>
      <c r="F5" s="22">
        <f>IFERROR(__xludf.DUMMYFUNCTION("""COMPUTED_VALUE"""),0.81)</f>
        <v>0.81</v>
      </c>
      <c r="G5" s="22">
        <f>IFERROR(__xludf.DUMMYFUNCTION("""COMPUTED_VALUE"""),0.8796296296296297)</f>
        <v>0.8796296296</v>
      </c>
      <c r="H5" s="23">
        <f>IFERROR(__xludf.DUMMYFUNCTION("""COMPUTED_VALUE"""),6.96296296296296)</f>
        <v>6.962962963</v>
      </c>
      <c r="I5" s="18">
        <f>IFERROR(__xludf.DUMMYFUNCTION("""COMPUTED_VALUE"""),186.5612903225806)</f>
        <v>186.5612903</v>
      </c>
      <c r="J5" s="19">
        <f>IFERROR(__xludf.DUMMYFUNCTION("""COMPUTED_VALUE"""),95.0)</f>
        <v>95</v>
      </c>
      <c r="K5" s="20">
        <f>IFERROR(__xludf.DUMMYFUNCTION("""COMPUTED_VALUE"""),-91.56129032258059)</f>
        <v>-91.56129032</v>
      </c>
      <c r="L5" s="21">
        <f>IFERROR(__xludf.DUMMYFUNCTION("""COMPUTED_VALUE"""),-0.49078396790815076)</f>
        <v>-0.4907839679</v>
      </c>
      <c r="M5" s="24">
        <f>IFERROR(__xludf.DUMMYFUNCTION("""COMPUTED_VALUE"""),0.31)</f>
        <v>0.31</v>
      </c>
      <c r="N5" s="22">
        <f>IFERROR(__xludf.DUMMYFUNCTION("""COMPUTED_VALUE"""),0.4105263157894737)</f>
        <v>0.4105263158</v>
      </c>
      <c r="O5" s="25">
        <f>IFERROR(__xludf.DUMMYFUNCTION("""COMPUTED_VALUE"""),10.052631578947368)</f>
        <v>10.05263158</v>
      </c>
      <c r="P5" s="18">
        <f>IFERROR(__xludf.DUMMYFUNCTION("""COMPUTED_VALUE"""),58.0041)</f>
        <v>58.0041</v>
      </c>
      <c r="Q5" s="19">
        <f>IFERROR(__xludf.DUMMYFUNCTION("""COMPUTED_VALUE"""),39.0)</f>
        <v>39</v>
      </c>
      <c r="R5" s="20">
        <f>IFERROR(__xludf.DUMMYFUNCTION("""COMPUTED_VALUE"""),-19.0041)</f>
        <v>-19.0041</v>
      </c>
      <c r="S5" s="26">
        <f>IFERROR(__xludf.DUMMYFUNCTION("""COMPUTED_VALUE"""),-0.32763373623588676)</f>
        <v>-0.3276337362</v>
      </c>
      <c r="T5" s="22">
        <f>IFERROR(__xludf.DUMMYFUNCTION("""COMPUTED_VALUE"""),0.23)</f>
        <v>0.23</v>
      </c>
      <c r="U5" s="22">
        <f>IFERROR(__xludf.DUMMYFUNCTION("""COMPUTED_VALUE"""),0.1282051282051282)</f>
        <v>0.1282051282</v>
      </c>
      <c r="V5" s="23">
        <f>IFERROR(__xludf.DUMMYFUNCTION("""COMPUTED_VALUE"""),-10.179487179487182)</f>
        <v>-10.17948718</v>
      </c>
      <c r="W5" s="18">
        <f>IFERROR(__xludf.DUMMYFUNCTION("""COMPUTED_VALUE"""),13.340943000000001)</f>
        <v>13.340943</v>
      </c>
      <c r="X5" s="19">
        <f>IFERROR(__xludf.DUMMYFUNCTION("""COMPUTED_VALUE"""),5.0)</f>
        <v>5</v>
      </c>
      <c r="Y5" s="20">
        <f>IFERROR(__xludf.DUMMYFUNCTION("""COMPUTED_VALUE"""),-8.340943000000001)</f>
        <v>-8.340943</v>
      </c>
      <c r="Z5" s="27">
        <f>IFERROR(__xludf.DUMMYFUNCTION("""COMPUTED_VALUE"""),-0.6252138997970383)</f>
        <v>-0.6252138998</v>
      </c>
      <c r="AA5" s="18">
        <f>IFERROR(__xludf.DUMMYFUNCTION("""COMPUTED_VALUE"""),30000.0)</f>
        <v>30000</v>
      </c>
      <c r="AB5" s="19">
        <f>IFERROR(__xludf.DUMMYFUNCTION("""COMPUTED_VALUE"""),23353.8)</f>
        <v>23353.8</v>
      </c>
      <c r="AC5" s="20">
        <f>IFERROR(__xludf.DUMMYFUNCTION("""COMPUTED_VALUE"""),-6646.200000000001)</f>
        <v>-6646.2</v>
      </c>
      <c r="AD5" s="27">
        <f>IFERROR(__xludf.DUMMYFUNCTION("""COMPUTED_VALUE"""),-0.22154000000000001)</f>
        <v>-0.22154</v>
      </c>
      <c r="AE5" s="18">
        <f>IFERROR(__xludf.DUMMYFUNCTION("""COMPUTED_VALUE"""),308830.70232000004)</f>
        <v>308830.7023</v>
      </c>
      <c r="AF5" s="19">
        <f>IFERROR(__xludf.DUMMYFUNCTION("""COMPUTED_VALUE"""),116769.0)</f>
        <v>116769</v>
      </c>
      <c r="AG5" s="20">
        <f>IFERROR(__xludf.DUMMYFUNCTION("""COMPUTED_VALUE"""),-192061.70232000004)</f>
        <v>-192061.7023</v>
      </c>
      <c r="AH5" s="28">
        <f>IFERROR(__xludf.DUMMYFUNCTION("""COMPUTED_VALUE"""),-0.6218996391135754)</f>
        <v>-0.6218996391</v>
      </c>
      <c r="AI5" s="29">
        <f>IFERROR(__xludf.DUMMYFUNCTION("""COMPUTED_VALUE"""),-195849.5999999999)</f>
        <v>-195849.6</v>
      </c>
      <c r="AJ5" s="29">
        <f>IFERROR(__xludf.DUMMYFUNCTION("""COMPUTED_VALUE"""),-86436.00000000001)</f>
        <v>-86436</v>
      </c>
      <c r="AK5" s="4">
        <f>IFERROR(__xludf.DUMMYFUNCTION("""COMPUTED_VALUE"""),6900.0)</f>
        <v>6900</v>
      </c>
      <c r="AL5" s="30">
        <f>IFERROR(__xludf.DUMMYFUNCTION("""COMPUTED_VALUE"""),2994.076923076923)</f>
        <v>2994.076923</v>
      </c>
      <c r="AM5" s="29">
        <f t="shared" si="1"/>
        <v>-3905.923077</v>
      </c>
      <c r="AN5" s="31">
        <f t="shared" si="2"/>
        <v>-0.5660758082</v>
      </c>
      <c r="AO5" s="12">
        <f t="shared" si="3"/>
        <v>65895</v>
      </c>
      <c r="AP5" s="12">
        <f t="shared" si="4"/>
        <v>-152331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IFERROR(__xludf.DUMMYFUNCTION("""COMPUTED_VALUE"""),"[IM] Chat")</f>
        <v>[IM] Chat</v>
      </c>
      <c r="B6" s="18">
        <f>IFERROR(__xludf.DUMMYFUNCTION("""COMPUTED_VALUE"""),329.58064516129014)</f>
        <v>329.5806452</v>
      </c>
      <c r="C6" s="19">
        <f>IFERROR(__xludf.DUMMYFUNCTION("""COMPUTED_VALUE"""),332.0)</f>
        <v>332</v>
      </c>
      <c r="D6" s="20">
        <f>IFERROR(__xludf.DUMMYFUNCTION("""COMPUTED_VALUE"""),2.4193548387098645)</f>
        <v>2.419354839</v>
      </c>
      <c r="E6" s="21">
        <f>IFERROR(__xludf.DUMMYFUNCTION("""COMPUTED_VALUE"""),0.0073407066653622234)</f>
        <v>0.007340706665</v>
      </c>
      <c r="F6" s="22">
        <f>IFERROR(__xludf.DUMMYFUNCTION("""COMPUTED_VALUE"""),0.8146611341632088)</f>
        <v>0.8146611342</v>
      </c>
      <c r="G6" s="22">
        <f>IFERROR(__xludf.DUMMYFUNCTION("""COMPUTED_VALUE"""),0.75)</f>
        <v>0.75</v>
      </c>
      <c r="H6" s="23">
        <f>IFERROR(__xludf.DUMMYFUNCTION("""COMPUTED_VALUE"""),-6.466113416320884)</f>
        <v>-6.466113416</v>
      </c>
      <c r="I6" s="18">
        <f>IFERROR(__xludf.DUMMYFUNCTION("""COMPUTED_VALUE"""),268.49654218533874)</f>
        <v>268.4965422</v>
      </c>
      <c r="J6" s="19">
        <f>IFERROR(__xludf.DUMMYFUNCTION("""COMPUTED_VALUE"""),249.0)</f>
        <v>249</v>
      </c>
      <c r="K6" s="20">
        <f>IFERROR(__xludf.DUMMYFUNCTION("""COMPUTED_VALUE"""),-19.49654218533874)</f>
        <v>-19.49654219</v>
      </c>
      <c r="L6" s="21">
        <f>IFERROR(__xludf.DUMMYFUNCTION("""COMPUTED_VALUE"""),-0.07261375519644718)</f>
        <v>-0.0726137552</v>
      </c>
      <c r="M6" s="24">
        <f>IFERROR(__xludf.DUMMYFUNCTION("""COMPUTED_VALUE"""),0.30390492359932086)</f>
        <v>0.3039049236</v>
      </c>
      <c r="N6" s="22">
        <f>IFERROR(__xludf.DUMMYFUNCTION("""COMPUTED_VALUE"""),0.28112449799196787)</f>
        <v>0.281124498</v>
      </c>
      <c r="O6" s="25">
        <f>IFERROR(__xludf.DUMMYFUNCTION("""COMPUTED_VALUE"""),-2.278042560735299)</f>
        <v>-2.278042561</v>
      </c>
      <c r="P6" s="18">
        <f>IFERROR(__xludf.DUMMYFUNCTION("""COMPUTED_VALUE"""),81.83741355463346)</f>
        <v>81.83741355</v>
      </c>
      <c r="Q6" s="19">
        <f>IFERROR(__xludf.DUMMYFUNCTION("""COMPUTED_VALUE"""),70.0)</f>
        <v>70</v>
      </c>
      <c r="R6" s="20">
        <f>IFERROR(__xludf.DUMMYFUNCTION("""COMPUTED_VALUE"""),-11.837413554633457)</f>
        <v>-11.83741355</v>
      </c>
      <c r="S6" s="26">
        <f>IFERROR(__xludf.DUMMYFUNCTION("""COMPUTED_VALUE"""),-0.14464549941734137)</f>
        <v>-0.1446454994</v>
      </c>
      <c r="T6" s="22">
        <f>IFERROR(__xludf.DUMMYFUNCTION("""COMPUTED_VALUE"""),0.1787709497206704)</f>
        <v>0.1787709497</v>
      </c>
      <c r="U6" s="22">
        <f>IFERROR(__xludf.DUMMYFUNCTION("""COMPUTED_VALUE"""),0.14285714285714285)</f>
        <v>0.1428571429</v>
      </c>
      <c r="V6" s="23">
        <f>IFERROR(__xludf.DUMMYFUNCTION("""COMPUTED_VALUE"""),-3.5913806863527546)</f>
        <v>-3.591380686</v>
      </c>
      <c r="W6" s="18">
        <f>IFERROR(__xludf.DUMMYFUNCTION("""COMPUTED_VALUE"""),14.630152143845088)</f>
        <v>14.63015214</v>
      </c>
      <c r="X6" s="19">
        <f>IFERROR(__xludf.DUMMYFUNCTION("""COMPUTED_VALUE"""),10.0)</f>
        <v>10</v>
      </c>
      <c r="Y6" s="20">
        <f>IFERROR(__xludf.DUMMYFUNCTION("""COMPUTED_VALUE"""),-4.630152143845088)</f>
        <v>-4.630152144</v>
      </c>
      <c r="Z6" s="27">
        <f>IFERROR(__xludf.DUMMYFUNCTION("""COMPUTED_VALUE"""),-0.3164801089093933)</f>
        <v>-0.3164801089</v>
      </c>
      <c r="AA6" s="18">
        <f>IFERROR(__xludf.DUMMYFUNCTION("""COMPUTED_VALUE"""),26828.0)</f>
        <v>26828</v>
      </c>
      <c r="AB6" s="19">
        <f>IFERROR(__xludf.DUMMYFUNCTION("""COMPUTED_VALUE"""),53358.91484375)</f>
        <v>53358.91484</v>
      </c>
      <c r="AC6" s="20">
        <f>IFERROR(__xludf.DUMMYFUNCTION("""COMPUTED_VALUE"""),26530.914843749997)</f>
        <v>26530.91484</v>
      </c>
      <c r="AD6" s="27">
        <f>IFERROR(__xludf.DUMMYFUNCTION("""COMPUTED_VALUE"""),0.9889263025104368)</f>
        <v>0.9889263025</v>
      </c>
      <c r="AE6" s="18">
        <f>IFERROR(__xludf.DUMMYFUNCTION("""COMPUTED_VALUE"""),302865.5147197787)</f>
        <v>302865.5147</v>
      </c>
      <c r="AF6" s="19">
        <f>IFERROR(__xludf.DUMMYFUNCTION("""COMPUTED_VALUE"""),533589.1484375)</f>
        <v>533589.1484</v>
      </c>
      <c r="AG6" s="20">
        <f>IFERROR(__xludf.DUMMYFUNCTION("""COMPUTED_VALUE"""),230723.63371772133)</f>
        <v>230723.6337</v>
      </c>
      <c r="AH6" s="28">
        <f>IFERROR(__xludf.DUMMYFUNCTION("""COMPUTED_VALUE"""),0.7618022604230613)</f>
        <v>0.7618022604</v>
      </c>
      <c r="AI6" s="29">
        <f>IFERROR(__xludf.DUMMYFUNCTION("""COMPUTED_VALUE"""),-28417.153616204698)</f>
        <v>-28417.15362</v>
      </c>
      <c r="AJ6" s="29">
        <f>IFERROR(__xludf.DUMMYFUNCTION("""COMPUTED_VALUE"""),170659.60005040324)</f>
        <v>170659.6001</v>
      </c>
      <c r="AK6" s="4">
        <f>IFERROR(__xludf.DUMMYFUNCTION("""COMPUTED_VALUE"""),4796.067039106146)</f>
        <v>4796.067039</v>
      </c>
      <c r="AL6" s="30">
        <f>IFERROR(__xludf.DUMMYFUNCTION("""COMPUTED_VALUE"""),7622.702120535714)</f>
        <v>7622.702121</v>
      </c>
      <c r="AM6" s="29">
        <f t="shared" si="1"/>
        <v>2826.635081</v>
      </c>
      <c r="AN6" s="31">
        <f t="shared" si="2"/>
        <v>0.589365215</v>
      </c>
      <c r="AO6" s="12">
        <f t="shared" si="3"/>
        <v>-27204.85565</v>
      </c>
      <c r="AP6" s="12">
        <f t="shared" si="4"/>
        <v>197864.4557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IFERROR(__xludf.DUMMYFUNCTION("""COMPUTED_VALUE"""),"Form G4 Instagram Tallis")</f>
        <v>Form G4 Instagram Tallis</v>
      </c>
      <c r="B7" s="18">
        <f>IFERROR(__xludf.DUMMYFUNCTION("""COMPUTED_VALUE"""),219.35483870967732)</f>
        <v>219.3548387</v>
      </c>
      <c r="C7" s="19">
        <f>IFERROR(__xludf.DUMMYFUNCTION("""COMPUTED_VALUE"""),102.0)</f>
        <v>102</v>
      </c>
      <c r="D7" s="20">
        <f>IFERROR(__xludf.DUMMYFUNCTION("""COMPUTED_VALUE"""),-117.35483870967732)</f>
        <v>-117.3548387</v>
      </c>
      <c r="E7" s="21">
        <f>IFERROR(__xludf.DUMMYFUNCTION("""COMPUTED_VALUE"""),-0.5349999999999998)</f>
        <v>-0.535</v>
      </c>
      <c r="F7" s="22">
        <f>IFERROR(__xludf.DUMMYFUNCTION("""COMPUTED_VALUE"""),0.7454545454545455)</f>
        <v>0.7454545455</v>
      </c>
      <c r="G7" s="22">
        <f>IFERROR(__xludf.DUMMYFUNCTION("""COMPUTED_VALUE"""),0.8235294117647058)</f>
        <v>0.8235294118</v>
      </c>
      <c r="H7" s="23">
        <f>IFERROR(__xludf.DUMMYFUNCTION("""COMPUTED_VALUE"""),7.807486631016037)</f>
        <v>7.807486631</v>
      </c>
      <c r="I7" s="18">
        <f>IFERROR(__xludf.DUMMYFUNCTION("""COMPUTED_VALUE"""),163.51906158357764)</f>
        <v>163.5190616</v>
      </c>
      <c r="J7" s="19">
        <f>IFERROR(__xludf.DUMMYFUNCTION("""COMPUTED_VALUE"""),84.0)</f>
        <v>84</v>
      </c>
      <c r="K7" s="20">
        <f>IFERROR(__xludf.DUMMYFUNCTION("""COMPUTED_VALUE"""),-79.51906158357764)</f>
        <v>-79.51906158</v>
      </c>
      <c r="L7" s="21">
        <f>IFERROR(__xludf.DUMMYFUNCTION("""COMPUTED_VALUE"""),-0.48629842180774724)</f>
        <v>-0.4862984218</v>
      </c>
      <c r="M7" s="24">
        <f>IFERROR(__xludf.DUMMYFUNCTION("""COMPUTED_VALUE"""),0.45365853658536587)</f>
        <v>0.4536585366</v>
      </c>
      <c r="N7" s="22">
        <f>IFERROR(__xludf.DUMMYFUNCTION("""COMPUTED_VALUE"""),0.5357142857142857)</f>
        <v>0.5357142857</v>
      </c>
      <c r="O7" s="25">
        <f>IFERROR(__xludf.DUMMYFUNCTION("""COMPUTED_VALUE"""),8.205574912891983)</f>
        <v>8.205574913</v>
      </c>
      <c r="P7" s="18">
        <f>IFERROR(__xludf.DUMMYFUNCTION("""COMPUTED_VALUE"""),74.39999999999999)</f>
        <v>74.4</v>
      </c>
      <c r="Q7" s="19">
        <f>IFERROR(__xludf.DUMMYFUNCTION("""COMPUTED_VALUE"""),45.0)</f>
        <v>45</v>
      </c>
      <c r="R7" s="20">
        <f>IFERROR(__xludf.DUMMYFUNCTION("""COMPUTED_VALUE"""),-29.39999999999999)</f>
        <v>-29.4</v>
      </c>
      <c r="S7" s="26">
        <f>IFERROR(__xludf.DUMMYFUNCTION("""COMPUTED_VALUE"""),-0.39516129032258057)</f>
        <v>-0.3951612903</v>
      </c>
      <c r="T7" s="22">
        <f>IFERROR(__xludf.DUMMYFUNCTION("""COMPUTED_VALUE"""),0.1989247311827957)</f>
        <v>0.1989247312</v>
      </c>
      <c r="U7" s="22">
        <f>IFERROR(__xludf.DUMMYFUNCTION("""COMPUTED_VALUE"""),0.06666666666666667)</f>
        <v>0.06666666667</v>
      </c>
      <c r="V7" s="23">
        <f>IFERROR(__xludf.DUMMYFUNCTION("""COMPUTED_VALUE"""),-13.225806451612904)</f>
        <v>-13.22580645</v>
      </c>
      <c r="W7" s="18">
        <f>IFERROR(__xludf.DUMMYFUNCTION("""COMPUTED_VALUE"""),14.799999999999999)</f>
        <v>14.8</v>
      </c>
      <c r="X7" s="19">
        <f>IFERROR(__xludf.DUMMYFUNCTION("""COMPUTED_VALUE"""),3.0)</f>
        <v>3</v>
      </c>
      <c r="Y7" s="20">
        <f>IFERROR(__xludf.DUMMYFUNCTION("""COMPUTED_VALUE"""),-11.799999999999999)</f>
        <v>-11.8</v>
      </c>
      <c r="Z7" s="27">
        <f>IFERROR(__xludf.DUMMYFUNCTION("""COMPUTED_VALUE"""),-0.7972972972972973)</f>
        <v>-0.7972972973</v>
      </c>
      <c r="AA7" s="18">
        <f>IFERROR(__xludf.DUMMYFUNCTION("""COMPUTED_VALUE"""),26077.0)</f>
        <v>26077</v>
      </c>
      <c r="AB7" s="19">
        <f>IFERROR(__xludf.DUMMYFUNCTION("""COMPUTED_VALUE"""),17521.0)</f>
        <v>17521</v>
      </c>
      <c r="AC7" s="20">
        <f>IFERROR(__xludf.DUMMYFUNCTION("""COMPUTED_VALUE"""),-8556.0)</f>
        <v>-8556</v>
      </c>
      <c r="AD7" s="27">
        <f>IFERROR(__xludf.DUMMYFUNCTION("""COMPUTED_VALUE"""),-0.32810522682823945)</f>
        <v>-0.3281052268</v>
      </c>
      <c r="AE7" s="18">
        <f>IFERROR(__xludf.DUMMYFUNCTION("""COMPUTED_VALUE"""),297805.02952727274)</f>
        <v>297805.0295</v>
      </c>
      <c r="AF7" s="19">
        <f>IFERROR(__xludf.DUMMYFUNCTION("""COMPUTED_VALUE"""),52563.0)</f>
        <v>52563</v>
      </c>
      <c r="AG7" s="20">
        <f>IFERROR(__xludf.DUMMYFUNCTION("""COMPUTED_VALUE"""),-245242.02952727274)</f>
        <v>-245242.0295</v>
      </c>
      <c r="AH7" s="28">
        <f>IFERROR(__xludf.DUMMYFUNCTION("""COMPUTED_VALUE"""),-0.8234986155759793)</f>
        <v>-0.8234986156</v>
      </c>
      <c r="AI7" s="29">
        <f>IFERROR(__xludf.DUMMYFUNCTION("""COMPUTED_VALUE"""),-187131.4318289105)</f>
        <v>-187131.4318</v>
      </c>
      <c r="AJ7" s="29">
        <f>IFERROR(__xludf.DUMMYFUNCTION("""COMPUTED_VALUE"""),-145113.38048780488)</f>
        <v>-145113.3805</v>
      </c>
      <c r="AK7" s="4">
        <f>IFERROR(__xludf.DUMMYFUNCTION("""COMPUTED_VALUE"""),5187.360215053764)</f>
        <v>5187.360215</v>
      </c>
      <c r="AL7" s="30">
        <f>IFERROR(__xludf.DUMMYFUNCTION("""COMPUTED_VALUE"""),1168.0666666666666)</f>
        <v>1168.066667</v>
      </c>
      <c r="AM7" s="29">
        <f t="shared" si="1"/>
        <v>-4019.293548</v>
      </c>
      <c r="AN7" s="31">
        <f t="shared" si="2"/>
        <v>-0.7748244544</v>
      </c>
      <c r="AO7" s="12">
        <f t="shared" si="3"/>
        <v>35754.82919</v>
      </c>
      <c r="AP7" s="12">
        <f t="shared" si="4"/>
        <v>-180868.2097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IFERROR(__xludf.DUMMYFUNCTION("""COMPUTED_VALUE"""),"[IM] Social DM")</f>
        <v>[IM] Social DM</v>
      </c>
      <c r="B8" s="18">
        <f>IFERROR(__xludf.DUMMYFUNCTION("""COMPUTED_VALUE"""),60.32258064516126)</f>
        <v>60.32258065</v>
      </c>
      <c r="C8" s="19">
        <f>IFERROR(__xludf.DUMMYFUNCTION("""COMPUTED_VALUE"""),64.0)</f>
        <v>64</v>
      </c>
      <c r="D8" s="20">
        <f>IFERROR(__xludf.DUMMYFUNCTION("""COMPUTED_VALUE"""),3.67741935483874)</f>
        <v>3.677419355</v>
      </c>
      <c r="E8" s="21">
        <f>IFERROR(__xludf.DUMMYFUNCTION("""COMPUTED_VALUE"""),0.060962566844920324)</f>
        <v>0.06096256684</v>
      </c>
      <c r="F8" s="22">
        <f>IFERROR(__xludf.DUMMYFUNCTION("""COMPUTED_VALUE"""),0.9411764705882353)</f>
        <v>0.9411764706</v>
      </c>
      <c r="G8" s="22">
        <f>IFERROR(__xludf.DUMMYFUNCTION("""COMPUTED_VALUE"""),1.0)</f>
        <v>1</v>
      </c>
      <c r="H8" s="23">
        <f>IFERROR(__xludf.DUMMYFUNCTION("""COMPUTED_VALUE"""),5.882352941176472)</f>
        <v>5.882352941</v>
      </c>
      <c r="I8" s="18">
        <f>IFERROR(__xludf.DUMMYFUNCTION("""COMPUTED_VALUE"""),56.77419354838707)</f>
        <v>56.77419355</v>
      </c>
      <c r="J8" s="19">
        <f>IFERROR(__xludf.DUMMYFUNCTION("""COMPUTED_VALUE"""),64.0)</f>
        <v>64</v>
      </c>
      <c r="K8" s="20">
        <f>IFERROR(__xludf.DUMMYFUNCTION("""COMPUTED_VALUE"""),7.225806451612932)</f>
        <v>7.225806452</v>
      </c>
      <c r="L8" s="21">
        <f>IFERROR(__xludf.DUMMYFUNCTION("""COMPUTED_VALUE"""),0.12727272727272784)</f>
        <v>0.1272727273</v>
      </c>
      <c r="M8" s="24">
        <f>IFERROR(__xludf.DUMMYFUNCTION("""COMPUTED_VALUE"""),0.4375)</f>
        <v>0.4375</v>
      </c>
      <c r="N8" s="22">
        <f>IFERROR(__xludf.DUMMYFUNCTION("""COMPUTED_VALUE"""),0.421875)</f>
        <v>0.421875</v>
      </c>
      <c r="O8" s="25">
        <f>IFERROR(__xludf.DUMMYFUNCTION("""COMPUTED_VALUE"""),-1.5625)</f>
        <v>-1.5625</v>
      </c>
      <c r="P8" s="18">
        <f>IFERROR(__xludf.DUMMYFUNCTION("""COMPUTED_VALUE"""),24.91176470588235)</f>
        <v>24.91176471</v>
      </c>
      <c r="Q8" s="19">
        <f>IFERROR(__xludf.DUMMYFUNCTION("""COMPUTED_VALUE"""),27.0)</f>
        <v>27</v>
      </c>
      <c r="R8" s="20">
        <f>IFERROR(__xludf.DUMMYFUNCTION("""COMPUTED_VALUE"""),2.0882352941176485)</f>
        <v>2.088235294</v>
      </c>
      <c r="S8" s="26">
        <f>IFERROR(__xludf.DUMMYFUNCTION("""COMPUTED_VALUE"""),0.08382526564344753)</f>
        <v>0.08382526564</v>
      </c>
      <c r="T8" s="22">
        <f>IFERROR(__xludf.DUMMYFUNCTION("""COMPUTED_VALUE"""),0.31)</f>
        <v>0.31</v>
      </c>
      <c r="U8" s="22">
        <f>IFERROR(__xludf.DUMMYFUNCTION("""COMPUTED_VALUE"""),0.2222222222222222)</f>
        <v>0.2222222222</v>
      </c>
      <c r="V8" s="23">
        <f>IFERROR(__xludf.DUMMYFUNCTION("""COMPUTED_VALUE"""),-8.777777777777779)</f>
        <v>-8.777777778</v>
      </c>
      <c r="W8" s="18">
        <f>IFERROR(__xludf.DUMMYFUNCTION("""COMPUTED_VALUE"""),7.7226470588235285)</f>
        <v>7.722647059</v>
      </c>
      <c r="X8" s="19">
        <f>IFERROR(__xludf.DUMMYFUNCTION("""COMPUTED_VALUE"""),6.0)</f>
        <v>6</v>
      </c>
      <c r="Y8" s="20">
        <f>IFERROR(__xludf.DUMMYFUNCTION("""COMPUTED_VALUE"""),-1.7226470588235285)</f>
        <v>-1.722647059</v>
      </c>
      <c r="Z8" s="27">
        <f>IFERROR(__xludf.DUMMYFUNCTION("""COMPUTED_VALUE"""),-0.2230643257036218)</f>
        <v>-0.2230643257</v>
      </c>
      <c r="AA8" s="18">
        <f>IFERROR(__xludf.DUMMYFUNCTION("""COMPUTED_VALUE"""),39578.0)</f>
        <v>39578</v>
      </c>
      <c r="AB8" s="19">
        <f>IFERROR(__xludf.DUMMYFUNCTION("""COMPUTED_VALUE"""),27334.55000813802)</f>
        <v>27334.55001</v>
      </c>
      <c r="AC8" s="20">
        <f>IFERROR(__xludf.DUMMYFUNCTION("""COMPUTED_VALUE"""),-12243.44999186198)</f>
        <v>-12243.44999</v>
      </c>
      <c r="AD8" s="27">
        <f>IFERROR(__xludf.DUMMYFUNCTION("""COMPUTED_VALUE"""),-0.30934989114816264)</f>
        <v>-0.3093498911</v>
      </c>
      <c r="AE8" s="18">
        <f>IFERROR(__xludf.DUMMYFUNCTION("""COMPUTED_VALUE"""),235848.2819905882)</f>
        <v>235848.282</v>
      </c>
      <c r="AF8" s="19">
        <f>IFERROR(__xludf.DUMMYFUNCTION("""COMPUTED_VALUE"""),164007.30004882812)</f>
        <v>164007.3</v>
      </c>
      <c r="AG8" s="20">
        <f>IFERROR(__xludf.DUMMYFUNCTION("""COMPUTED_VALUE"""),-71840.98194176008)</f>
        <v>-71840.98194</v>
      </c>
      <c r="AH8" s="28">
        <f>IFERROR(__xludf.DUMMYFUNCTION("""COMPUTED_VALUE"""),-0.3046067638713051)</f>
        <v>-0.3046067639</v>
      </c>
      <c r="AI8" s="29">
        <f>IFERROR(__xludf.DUMMYFUNCTION("""COMPUTED_VALUE"""),38786.440000000155)</f>
        <v>38786.44</v>
      </c>
      <c r="AJ8" s="29">
        <f>IFERROR(__xludf.DUMMYFUNCTION("""COMPUTED_VALUE"""),-179529.73995117185)</f>
        <v>-179529.74</v>
      </c>
      <c r="AK8" s="4">
        <f>IFERROR(__xludf.DUMMYFUNCTION("""COMPUTED_VALUE"""),12269.179999999998)</f>
        <v>12269.18</v>
      </c>
      <c r="AL8" s="30">
        <f>IFERROR(__xludf.DUMMYFUNCTION("""COMPUTED_VALUE"""),6074.344446252893)</f>
        <v>6074.344446</v>
      </c>
      <c r="AM8" s="29">
        <f t="shared" si="1"/>
        <v>-6194.835554</v>
      </c>
      <c r="AN8" s="31">
        <f t="shared" si="2"/>
        <v>-0.5049103162</v>
      </c>
      <c r="AO8" s="12">
        <f t="shared" si="3"/>
        <v>-12269.18</v>
      </c>
      <c r="AP8" s="12">
        <f t="shared" si="4"/>
        <v>-167260.56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Midia Paga - Quente")</f>
        <v>[SKL] Midia Paga - Quente</v>
      </c>
      <c r="B9" s="18">
        <f>IFERROR(__xludf.DUMMYFUNCTION("""COMPUTED_VALUE"""),471.61290322580624)</f>
        <v>471.6129032</v>
      </c>
      <c r="C9" s="19">
        <f>IFERROR(__xludf.DUMMYFUNCTION("""COMPUTED_VALUE"""),395.0)</f>
        <v>395</v>
      </c>
      <c r="D9" s="20">
        <f>IFERROR(__xludf.DUMMYFUNCTION("""COMPUTED_VALUE"""),-76.61290322580624)</f>
        <v>-76.61290323</v>
      </c>
      <c r="E9" s="21">
        <f>IFERROR(__xludf.DUMMYFUNCTION("""COMPUTED_VALUE"""),-0.16244870041039633)</f>
        <v>-0.1624487004</v>
      </c>
      <c r="F9" s="22">
        <f>IFERROR(__xludf.DUMMYFUNCTION("""COMPUTED_VALUE"""),0.8)</f>
        <v>0.8</v>
      </c>
      <c r="G9" s="22">
        <f>IFERROR(__xludf.DUMMYFUNCTION("""COMPUTED_VALUE"""),0.8)</f>
        <v>0.8</v>
      </c>
      <c r="H9" s="23">
        <f>IFERROR(__xludf.DUMMYFUNCTION("""COMPUTED_VALUE"""),0.0)</f>
        <v>0</v>
      </c>
      <c r="I9" s="18">
        <f>IFERROR(__xludf.DUMMYFUNCTION("""COMPUTED_VALUE"""),377.29032258064495)</f>
        <v>377.2903226</v>
      </c>
      <c r="J9" s="19">
        <f>IFERROR(__xludf.DUMMYFUNCTION("""COMPUTED_VALUE"""),316.0)</f>
        <v>316</v>
      </c>
      <c r="K9" s="20">
        <f>IFERROR(__xludf.DUMMYFUNCTION("""COMPUTED_VALUE"""),-61.290322580644954)</f>
        <v>-61.29032258</v>
      </c>
      <c r="L9" s="21">
        <f>IFERROR(__xludf.DUMMYFUNCTION("""COMPUTED_VALUE"""),-0.16244870041039625)</f>
        <v>-0.1624487004</v>
      </c>
      <c r="M9" s="24">
        <f>IFERROR(__xludf.DUMMYFUNCTION("""COMPUTED_VALUE"""),0.18939393939393942)</f>
        <v>0.1893939394</v>
      </c>
      <c r="N9" s="22">
        <f>IFERROR(__xludf.DUMMYFUNCTION("""COMPUTED_VALUE"""),0.17088607594936708)</f>
        <v>0.1708860759</v>
      </c>
      <c r="O9" s="25">
        <f>IFERROR(__xludf.DUMMYFUNCTION("""COMPUTED_VALUE"""),-1.8507863444572337)</f>
        <v>-1.850786344</v>
      </c>
      <c r="P9" s="18">
        <f>IFERROR(__xludf.DUMMYFUNCTION("""COMPUTED_VALUE"""),71.66666666666666)</f>
        <v>71.66666667</v>
      </c>
      <c r="Q9" s="19">
        <f>IFERROR(__xludf.DUMMYFUNCTION("""COMPUTED_VALUE"""),54.0)</f>
        <v>54</v>
      </c>
      <c r="R9" s="20">
        <f>IFERROR(__xludf.DUMMYFUNCTION("""COMPUTED_VALUE"""),-17.666666666666657)</f>
        <v>-17.66666667</v>
      </c>
      <c r="S9" s="26">
        <f>IFERROR(__xludf.DUMMYFUNCTION("""COMPUTED_VALUE"""),-0.24651162790697664)</f>
        <v>-0.2465116279</v>
      </c>
      <c r="T9" s="22">
        <f>IFERROR(__xludf.DUMMYFUNCTION("""COMPUTED_VALUE"""),0.2)</f>
        <v>0.2</v>
      </c>
      <c r="U9" s="22">
        <f>IFERROR(__xludf.DUMMYFUNCTION("""COMPUTED_VALUE"""),0.07407407407407407)</f>
        <v>0.07407407407</v>
      </c>
      <c r="V9" s="23">
        <f>IFERROR(__xludf.DUMMYFUNCTION("""COMPUTED_VALUE"""),-12.592592592592593)</f>
        <v>-12.59259259</v>
      </c>
      <c r="W9" s="18">
        <f>IFERROR(__xludf.DUMMYFUNCTION("""COMPUTED_VALUE"""),14.333333333333332)</f>
        <v>14.33333333</v>
      </c>
      <c r="X9" s="19">
        <f>IFERROR(__xludf.DUMMYFUNCTION("""COMPUTED_VALUE"""),4.0)</f>
        <v>4</v>
      </c>
      <c r="Y9" s="20">
        <f>IFERROR(__xludf.DUMMYFUNCTION("""COMPUTED_VALUE"""),-10.333333333333332)</f>
        <v>-10.33333333</v>
      </c>
      <c r="Z9" s="27">
        <f>IFERROR(__xludf.DUMMYFUNCTION("""COMPUTED_VALUE"""),-0.7209302325581395)</f>
        <v>-0.7209302326</v>
      </c>
      <c r="AA9" s="18">
        <f>IFERROR(__xludf.DUMMYFUNCTION("""COMPUTED_VALUE"""),16431.0)</f>
        <v>16431</v>
      </c>
      <c r="AB9" s="19">
        <f>IFERROR(__xludf.DUMMYFUNCTION("""COMPUTED_VALUE"""),10393.25)</f>
        <v>10393.25</v>
      </c>
      <c r="AC9" s="20">
        <f>IFERROR(__xludf.DUMMYFUNCTION("""COMPUTED_VALUE"""),-6037.75)</f>
        <v>-6037.75</v>
      </c>
      <c r="AD9" s="27">
        <f>IFERROR(__xludf.DUMMYFUNCTION("""COMPUTED_VALUE"""),-0.36746089708477875)</f>
        <v>-0.3674608971</v>
      </c>
      <c r="AE9" s="18">
        <f>IFERROR(__xludf.DUMMYFUNCTION("""COMPUTED_VALUE"""),181728.85163636366)</f>
        <v>181728.8516</v>
      </c>
      <c r="AF9" s="19">
        <f>IFERROR(__xludf.DUMMYFUNCTION("""COMPUTED_VALUE"""),41573.0)</f>
        <v>41573</v>
      </c>
      <c r="AG9" s="20">
        <f>IFERROR(__xludf.DUMMYFUNCTION("""COMPUTED_VALUE"""),-140155.85163636366)</f>
        <v>-140155.8516</v>
      </c>
      <c r="AH9" s="28">
        <f>IFERROR(__xludf.DUMMYFUNCTION("""COMPUTED_VALUE"""),-0.7712361046379863)</f>
        <v>-0.7712361046</v>
      </c>
      <c r="AI9" s="29">
        <f>IFERROR(__xludf.DUMMYFUNCTION("""COMPUTED_VALUE"""),-38146.26099706733)</f>
        <v>-38146.261</v>
      </c>
      <c r="AJ9" s="29">
        <f>IFERROR(__xludf.DUMMYFUNCTION("""COMPUTED_VALUE"""),-155101.09090909094)</f>
        <v>-155101.0909</v>
      </c>
      <c r="AK9" s="4">
        <f>IFERROR(__xludf.DUMMYFUNCTION("""COMPUTED_VALUE"""),3286.2000000000003)</f>
        <v>3286.2</v>
      </c>
      <c r="AL9" s="30">
        <f>IFERROR(__xludf.DUMMYFUNCTION("""COMPUTED_VALUE"""),769.8703703703703)</f>
        <v>769.8703704</v>
      </c>
      <c r="AM9" s="29">
        <f t="shared" si="1"/>
        <v>-2516.32963</v>
      </c>
      <c r="AN9" s="31">
        <f t="shared" si="2"/>
        <v>-0.7657262582</v>
      </c>
      <c r="AO9" s="12">
        <f t="shared" si="3"/>
        <v>-19219.29091</v>
      </c>
      <c r="AP9" s="12">
        <f t="shared" si="4"/>
        <v>-135881.8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Google")</f>
        <v>Form G4 Google</v>
      </c>
      <c r="B10" s="18">
        <f>IFERROR(__xludf.DUMMYFUNCTION("""COMPUTED_VALUE"""),159.03225806451604)</f>
        <v>159.0322581</v>
      </c>
      <c r="C10" s="19">
        <f>IFERROR(__xludf.DUMMYFUNCTION("""COMPUTED_VALUE"""),125.0)</f>
        <v>125</v>
      </c>
      <c r="D10" s="20">
        <f>IFERROR(__xludf.DUMMYFUNCTION("""COMPUTED_VALUE"""),-34.03225806451604)</f>
        <v>-34.03225806</v>
      </c>
      <c r="E10" s="21">
        <f>IFERROR(__xludf.DUMMYFUNCTION("""COMPUTED_VALUE"""),-0.21399594320486773)</f>
        <v>-0.2139959432</v>
      </c>
      <c r="F10" s="22">
        <f>IFERROR(__xludf.DUMMYFUNCTION("""COMPUTED_VALUE"""),0.79)</f>
        <v>0.79</v>
      </c>
      <c r="G10" s="22">
        <f>IFERROR(__xludf.DUMMYFUNCTION("""COMPUTED_VALUE"""),0.768)</f>
        <v>0.768</v>
      </c>
      <c r="H10" s="23">
        <f>IFERROR(__xludf.DUMMYFUNCTION("""COMPUTED_VALUE"""),-2.200000000000002)</f>
        <v>-2.2</v>
      </c>
      <c r="I10" s="18">
        <f>IFERROR(__xludf.DUMMYFUNCTION("""COMPUTED_VALUE"""),125.63548387096769)</f>
        <v>125.6354839</v>
      </c>
      <c r="J10" s="19">
        <f>IFERROR(__xludf.DUMMYFUNCTION("""COMPUTED_VALUE"""),96.0)</f>
        <v>96</v>
      </c>
      <c r="K10" s="20">
        <f>IFERROR(__xludf.DUMMYFUNCTION("""COMPUTED_VALUE"""),-29.63548387096769)</f>
        <v>-29.63548387</v>
      </c>
      <c r="L10" s="21">
        <f>IFERROR(__xludf.DUMMYFUNCTION("""COMPUTED_VALUE"""),-0.2358846637738462)</f>
        <v>-0.2358846638</v>
      </c>
      <c r="M10" s="24">
        <f>IFERROR(__xludf.DUMMYFUNCTION("""COMPUTED_VALUE"""),0.375)</f>
        <v>0.375</v>
      </c>
      <c r="N10" s="22">
        <f>IFERROR(__xludf.DUMMYFUNCTION("""COMPUTED_VALUE"""),0.4270833333333333)</f>
        <v>0.4270833333</v>
      </c>
      <c r="O10" s="25">
        <f>IFERROR(__xludf.DUMMYFUNCTION("""COMPUTED_VALUE"""),5.208333333333331)</f>
        <v>5.208333333</v>
      </c>
      <c r="P10" s="18">
        <f>IFERROR(__xludf.DUMMYFUNCTION("""COMPUTED_VALUE"""),47.251875)</f>
        <v>47.251875</v>
      </c>
      <c r="Q10" s="19">
        <f>IFERROR(__xludf.DUMMYFUNCTION("""COMPUTED_VALUE"""),41.0)</f>
        <v>41</v>
      </c>
      <c r="R10" s="20">
        <f>IFERROR(__xludf.DUMMYFUNCTION("""COMPUTED_VALUE"""),-6.251874999999998)</f>
        <v>-6.251875</v>
      </c>
      <c r="S10" s="26">
        <f>IFERROR(__xludf.DUMMYFUNCTION("""COMPUTED_VALUE"""),-0.1323095644352737)</f>
        <v>-0.1323095644</v>
      </c>
      <c r="T10" s="22">
        <f>IFERROR(__xludf.DUMMYFUNCTION("""COMPUTED_VALUE"""),0.22)</f>
        <v>0.22</v>
      </c>
      <c r="U10" s="22">
        <f>IFERROR(__xludf.DUMMYFUNCTION("""COMPUTED_VALUE"""),0.0975609756097561)</f>
        <v>0.09756097561</v>
      </c>
      <c r="V10" s="23">
        <f>IFERROR(__xludf.DUMMYFUNCTION("""COMPUTED_VALUE"""),-12.24390243902439)</f>
        <v>-12.24390244</v>
      </c>
      <c r="W10" s="18">
        <f>IFERROR(__xludf.DUMMYFUNCTION("""COMPUTED_VALUE"""),10.395412499999999)</f>
        <v>10.3954125</v>
      </c>
      <c r="X10" s="19">
        <f>IFERROR(__xludf.DUMMYFUNCTION("""COMPUTED_VALUE"""),4.0)</f>
        <v>4</v>
      </c>
      <c r="Y10" s="20">
        <f>IFERROR(__xludf.DUMMYFUNCTION("""COMPUTED_VALUE"""),-6.395412499999999)</f>
        <v>-6.3954125</v>
      </c>
      <c r="Z10" s="27">
        <f>IFERROR(__xludf.DUMMYFUNCTION("""COMPUTED_VALUE"""),-0.6152148844502322)</f>
        <v>-0.6152148845</v>
      </c>
      <c r="AA10" s="18">
        <f>IFERROR(__xludf.DUMMYFUNCTION("""COMPUTED_VALUE"""),22129.0)</f>
        <v>22129</v>
      </c>
      <c r="AB10" s="19">
        <f>IFERROR(__xludf.DUMMYFUNCTION("""COMPUTED_VALUE"""),26995.537506103516)</f>
        <v>26995.53751</v>
      </c>
      <c r="AC10" s="20">
        <f>IFERROR(__xludf.DUMMYFUNCTION("""COMPUTED_VALUE"""),4866.537506103516)</f>
        <v>4866.537506</v>
      </c>
      <c r="AD10" s="27">
        <f>IFERROR(__xludf.DUMMYFUNCTION("""COMPUTED_VALUE"""),0.2199167384926348)</f>
        <v>0.2199167385</v>
      </c>
      <c r="AE10" s="18">
        <f>IFERROR(__xludf.DUMMYFUNCTION("""COMPUTED_VALUE"""),177507.29330070002)</f>
        <v>177507.2933</v>
      </c>
      <c r="AF10" s="19">
        <f>IFERROR(__xludf.DUMMYFUNCTION("""COMPUTED_VALUE"""),107982.15002441406)</f>
        <v>107982.15</v>
      </c>
      <c r="AG10" s="20">
        <f>IFERROR(__xludf.DUMMYFUNCTION("""COMPUTED_VALUE"""),-69525.14327628596)</f>
        <v>-69525.14328</v>
      </c>
      <c r="AH10" s="28">
        <f>IFERROR(__xludf.DUMMYFUNCTION("""COMPUTED_VALUE"""),-0.3916748545002561)</f>
        <v>-0.3916748545</v>
      </c>
      <c r="AI10" s="29">
        <f>IFERROR(__xludf.DUMMYFUNCTION("""COMPUTED_VALUE"""),-54103.79886290313)</f>
        <v>-54103.79886</v>
      </c>
      <c r="AJ10" s="29">
        <f>IFERROR(__xludf.DUMMYFUNCTION("""COMPUTED_VALUE"""),-67279.52997558595)</f>
        <v>-67279.52998</v>
      </c>
      <c r="AK10" s="4">
        <f>IFERROR(__xludf.DUMMYFUNCTION("""COMPUTED_VALUE"""),4868.38)</f>
        <v>4868.38</v>
      </c>
      <c r="AL10" s="30">
        <f>IFERROR(__xludf.DUMMYFUNCTION("""COMPUTED_VALUE"""),2633.710976205221)</f>
        <v>2633.710976</v>
      </c>
      <c r="AM10" s="29">
        <f t="shared" si="1"/>
        <v>-2234.669024</v>
      </c>
      <c r="AN10" s="31">
        <f t="shared" si="2"/>
        <v>-0.4590169674</v>
      </c>
      <c r="AO10" s="12">
        <f t="shared" si="3"/>
        <v>24341.9</v>
      </c>
      <c r="AP10" s="12">
        <f t="shared" si="4"/>
        <v>-91621.42998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Outros")</f>
        <v>[SKL] Outros</v>
      </c>
      <c r="B11" s="18">
        <f>IFERROR(__xludf.DUMMYFUNCTION("""COMPUTED_VALUE"""),230.03467741935475)</f>
        <v>230.0346774</v>
      </c>
      <c r="C11" s="19">
        <f>IFERROR(__xludf.DUMMYFUNCTION("""COMPUTED_VALUE"""),56.0)</f>
        <v>56</v>
      </c>
      <c r="D11" s="20">
        <f>IFERROR(__xludf.DUMMYFUNCTION("""COMPUTED_VALUE"""),-174.03467741935475)</f>
        <v>-174.0346774</v>
      </c>
      <c r="E11" s="21">
        <f>IFERROR(__xludf.DUMMYFUNCTION("""COMPUTED_VALUE"""),-0.7565584431519791)</f>
        <v>-0.7565584432</v>
      </c>
      <c r="F11" s="22">
        <f>IFERROR(__xludf.DUMMYFUNCTION("""COMPUTED_VALUE"""),0.8247809762202754)</f>
        <v>0.8247809762</v>
      </c>
      <c r="G11" s="22">
        <f>IFERROR(__xludf.DUMMYFUNCTION("""COMPUTED_VALUE"""),0.8928571428571429)</f>
        <v>0.8928571429</v>
      </c>
      <c r="H11" s="23">
        <f>IFERROR(__xludf.DUMMYFUNCTION("""COMPUTED_VALUE"""),6.807616663686755)</f>
        <v>6.807616664</v>
      </c>
      <c r="I11" s="18">
        <f>IFERROR(__xludf.DUMMYFUNCTION("""COMPUTED_VALUE"""),189.72822580645155)</f>
        <v>189.7282258</v>
      </c>
      <c r="J11" s="19">
        <f>IFERROR(__xludf.DUMMYFUNCTION("""COMPUTED_VALUE"""),50.0)</f>
        <v>50</v>
      </c>
      <c r="K11" s="20">
        <f>IFERROR(__xludf.DUMMYFUNCTION("""COMPUTED_VALUE"""),-139.72822580645155)</f>
        <v>-139.7282258</v>
      </c>
      <c r="L11" s="21">
        <f>IFERROR(__xludf.DUMMYFUNCTION("""COMPUTED_VALUE"""),-0.7364651475157589)</f>
        <v>-0.7364651475</v>
      </c>
      <c r="M11" s="24">
        <f>IFERROR(__xludf.DUMMYFUNCTION("""COMPUTED_VALUE"""),0.26251896813353565)</f>
        <v>0.2625189681</v>
      </c>
      <c r="N11" s="22">
        <f>IFERROR(__xludf.DUMMYFUNCTION("""COMPUTED_VALUE"""),0.46)</f>
        <v>0.46</v>
      </c>
      <c r="O11" s="25">
        <f>IFERROR(__xludf.DUMMYFUNCTION("""COMPUTED_VALUE"""),19.74810318664644)</f>
        <v>19.74810319</v>
      </c>
      <c r="P11" s="18">
        <f>IFERROR(__xludf.DUMMYFUNCTION("""COMPUTED_VALUE"""),49.95374999999999)</f>
        <v>49.95375</v>
      </c>
      <c r="Q11" s="19">
        <f>IFERROR(__xludf.DUMMYFUNCTION("""COMPUTED_VALUE"""),23.0)</f>
        <v>23</v>
      </c>
      <c r="R11" s="20">
        <f>IFERROR(__xludf.DUMMYFUNCTION("""COMPUTED_VALUE"""),-26.953749999999992)</f>
        <v>-26.95375</v>
      </c>
      <c r="S11" s="26">
        <f>IFERROR(__xludf.DUMMYFUNCTION("""COMPUTED_VALUE"""),-0.5395741060480944)</f>
        <v>-0.539574106</v>
      </c>
      <c r="T11" s="22">
        <f>IFERROR(__xludf.DUMMYFUNCTION("""COMPUTED_VALUE"""),0.2138728323699422)</f>
        <v>0.2138728324</v>
      </c>
      <c r="U11" s="22">
        <f>IFERROR(__xludf.DUMMYFUNCTION("""COMPUTED_VALUE"""),0.17391304347826086)</f>
        <v>0.1739130435</v>
      </c>
      <c r="V11" s="23">
        <f>IFERROR(__xludf.DUMMYFUNCTION("""COMPUTED_VALUE"""),-3.995978889168134)</f>
        <v>-3.995978889</v>
      </c>
      <c r="W11" s="18">
        <f>IFERROR(__xludf.DUMMYFUNCTION("""COMPUTED_VALUE"""),10.68375)</f>
        <v>10.68375</v>
      </c>
      <c r="X11" s="19">
        <f>IFERROR(__xludf.DUMMYFUNCTION("""COMPUTED_VALUE"""),4.0)</f>
        <v>4</v>
      </c>
      <c r="Y11" s="20">
        <f>IFERROR(__xludf.DUMMYFUNCTION("""COMPUTED_VALUE"""),-6.68375)</f>
        <v>-6.68375</v>
      </c>
      <c r="Z11" s="27">
        <f>IFERROR(__xludf.DUMMYFUNCTION("""COMPUTED_VALUE"""),-0.6255996255996256)</f>
        <v>-0.6255996256</v>
      </c>
      <c r="AA11" s="18">
        <f>IFERROR(__xludf.DUMMYFUNCTION("""COMPUTED_VALUE"""),19940.0)</f>
        <v>19940</v>
      </c>
      <c r="AB11" s="19">
        <f>IFERROR(__xludf.DUMMYFUNCTION("""COMPUTED_VALUE"""),21109.0)</f>
        <v>21109</v>
      </c>
      <c r="AC11" s="20">
        <f>IFERROR(__xludf.DUMMYFUNCTION("""COMPUTED_VALUE"""),1169.0)</f>
        <v>1169</v>
      </c>
      <c r="AD11" s="27">
        <f>IFERROR(__xludf.DUMMYFUNCTION("""COMPUTED_VALUE"""),0.0586258776328987)</f>
        <v>0.05862587763</v>
      </c>
      <c r="AE11" s="18">
        <f>IFERROR(__xludf.DUMMYFUNCTION("""COMPUTED_VALUE"""),164384.7618)</f>
        <v>164384.7618</v>
      </c>
      <c r="AF11" s="19">
        <f>IFERROR(__xludf.DUMMYFUNCTION("""COMPUTED_VALUE"""),84436.0)</f>
        <v>84436</v>
      </c>
      <c r="AG11" s="20">
        <f>IFERROR(__xludf.DUMMYFUNCTION("""COMPUTED_VALUE"""),-79948.76180000001)</f>
        <v>-79948.7618</v>
      </c>
      <c r="AH11" s="28">
        <f>IFERROR(__xludf.DUMMYFUNCTION("""COMPUTED_VALUE"""),-0.4863514167892903)</f>
        <v>-0.4863514168</v>
      </c>
      <c r="AI11" s="29">
        <f>IFERROR(__xludf.DUMMYFUNCTION("""COMPUTED_VALUE"""),-156432.0036957266)</f>
        <v>-156432.0037</v>
      </c>
      <c r="AJ11" s="29">
        <f>IFERROR(__xludf.DUMMYFUNCTION("""COMPUTED_VALUE"""),28458.761760242793)</f>
        <v>28458.76176</v>
      </c>
      <c r="AK11" s="4">
        <f>IFERROR(__xludf.DUMMYFUNCTION("""COMPUTED_VALUE"""),4264.624277456647)</f>
        <v>4264.624277</v>
      </c>
      <c r="AL11" s="30">
        <f>IFERROR(__xludf.DUMMYFUNCTION("""COMPUTED_VALUE"""),3671.1304347826085)</f>
        <v>3671.130435</v>
      </c>
      <c r="AM11" s="29">
        <f t="shared" si="1"/>
        <v>-593.4938427</v>
      </c>
      <c r="AN11" s="31">
        <f t="shared" si="2"/>
        <v>-0.1391667364</v>
      </c>
      <c r="AO11" s="12">
        <f t="shared" si="3"/>
        <v>42109.12014</v>
      </c>
      <c r="AP11" s="12">
        <f t="shared" si="4"/>
        <v>-13650.35838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IFERROR(__xludf.DUMMYFUNCTION("""COMPUTED_VALUE"""),"[IM] Outros")</f>
        <v>[IM] Outros</v>
      </c>
      <c r="B12" s="18">
        <f>IFERROR(__xludf.DUMMYFUNCTION("""COMPUTED_VALUE"""),112.85806451612899)</f>
        <v>112.8580645</v>
      </c>
      <c r="C12" s="19">
        <f>IFERROR(__xludf.DUMMYFUNCTION("""COMPUTED_VALUE"""),20.0)</f>
        <v>20</v>
      </c>
      <c r="D12" s="20">
        <f>IFERROR(__xludf.DUMMYFUNCTION("""COMPUTED_VALUE"""),-92.85806451612899)</f>
        <v>-92.85806452</v>
      </c>
      <c r="E12" s="21">
        <f>IFERROR(__xludf.DUMMYFUNCTION("""COMPUTED_VALUE"""),-0.8227862573600868)</f>
        <v>-0.8227862574</v>
      </c>
      <c r="F12" s="22">
        <f>IFERROR(__xludf.DUMMYFUNCTION("""COMPUTED_VALUE"""),0.8367346938775511)</f>
        <v>0.8367346939</v>
      </c>
      <c r="G12" s="22">
        <f>IFERROR(__xludf.DUMMYFUNCTION("""COMPUTED_VALUE"""),0.6)</f>
        <v>0.6</v>
      </c>
      <c r="H12" s="23">
        <f>IFERROR(__xludf.DUMMYFUNCTION("""COMPUTED_VALUE"""),-23.67346938775511)</f>
        <v>-23.67346939</v>
      </c>
      <c r="I12" s="18">
        <f>IFERROR(__xludf.DUMMYFUNCTION("""COMPUTED_VALUE"""),94.43225806451609)</f>
        <v>94.43225806</v>
      </c>
      <c r="J12" s="19">
        <f>IFERROR(__xludf.DUMMYFUNCTION("""COMPUTED_VALUE"""),12.0)</f>
        <v>12</v>
      </c>
      <c r="K12" s="20">
        <f>IFERROR(__xludf.DUMMYFUNCTION("""COMPUTED_VALUE"""),-82.43225806451609)</f>
        <v>-82.43225806</v>
      </c>
      <c r="L12" s="21">
        <f>IFERROR(__xludf.DUMMYFUNCTION("""COMPUTED_VALUE"""),-0.8729247796679647)</f>
        <v>-0.8729247797</v>
      </c>
      <c r="M12" s="24">
        <f>IFERROR(__xludf.DUMMYFUNCTION("""COMPUTED_VALUE"""),0.31097560975609756)</f>
        <v>0.3109756098</v>
      </c>
      <c r="N12" s="22">
        <f>IFERROR(__xludf.DUMMYFUNCTION("""COMPUTED_VALUE"""),0.5833333333333334)</f>
        <v>0.5833333333</v>
      </c>
      <c r="O12" s="25">
        <f>IFERROR(__xludf.DUMMYFUNCTION("""COMPUTED_VALUE"""),27.23577235772358)</f>
        <v>27.23577236</v>
      </c>
      <c r="P12" s="18">
        <f>IFERROR(__xludf.DUMMYFUNCTION("""COMPUTED_VALUE"""),29.452499999999997)</f>
        <v>29.4525</v>
      </c>
      <c r="Q12" s="19">
        <f>IFERROR(__xludf.DUMMYFUNCTION("""COMPUTED_VALUE"""),7.0)</f>
        <v>7</v>
      </c>
      <c r="R12" s="20">
        <f>IFERROR(__xludf.DUMMYFUNCTION("""COMPUTED_VALUE"""),-22.452499999999997)</f>
        <v>-22.4525</v>
      </c>
      <c r="S12" s="26">
        <f>IFERROR(__xludf.DUMMYFUNCTION("""COMPUTED_VALUE"""),-0.7623291740938799)</f>
        <v>-0.7623291741</v>
      </c>
      <c r="T12" s="22">
        <f>IFERROR(__xludf.DUMMYFUNCTION("""COMPUTED_VALUE"""),0.3725490196078431)</f>
        <v>0.3725490196</v>
      </c>
      <c r="U12" s="22">
        <f>IFERROR(__xludf.DUMMYFUNCTION("""COMPUTED_VALUE"""),0.14285714285714285)</f>
        <v>0.1428571429</v>
      </c>
      <c r="V12" s="23">
        <f>IFERROR(__xludf.DUMMYFUNCTION("""COMPUTED_VALUE"""),-22.969187675070025)</f>
        <v>-22.96918768</v>
      </c>
      <c r="W12" s="18">
        <f>IFERROR(__xludf.DUMMYFUNCTION("""COMPUTED_VALUE"""),10.972499999999998)</f>
        <v>10.9725</v>
      </c>
      <c r="X12" s="19">
        <f>IFERROR(__xludf.DUMMYFUNCTION("""COMPUTED_VALUE"""),1.0)</f>
        <v>1</v>
      </c>
      <c r="Y12" s="20">
        <f>IFERROR(__xludf.DUMMYFUNCTION("""COMPUTED_VALUE"""),-9.972499999999998)</f>
        <v>-9.9725</v>
      </c>
      <c r="Z12" s="27">
        <f>IFERROR(__xludf.DUMMYFUNCTION("""COMPUTED_VALUE"""),-0.9088630667578036)</f>
        <v>-0.9088630668</v>
      </c>
      <c r="AA12" s="18">
        <f>IFERROR(__xludf.DUMMYFUNCTION("""COMPUTED_VALUE"""),19221.0)</f>
        <v>19221</v>
      </c>
      <c r="AB12" s="19">
        <f>IFERROR(__xludf.DUMMYFUNCTION("""COMPUTED_VALUE"""),10030.0)</f>
        <v>10030</v>
      </c>
      <c r="AC12" s="20">
        <f>IFERROR(__xludf.DUMMYFUNCTION("""COMPUTED_VALUE"""),-9191.0)</f>
        <v>-9191</v>
      </c>
      <c r="AD12" s="27">
        <f>IFERROR(__xludf.DUMMYFUNCTION("""COMPUTED_VALUE"""),-0.4781749128557307)</f>
        <v>-0.4781749129</v>
      </c>
      <c r="AE12" s="18">
        <f>IFERROR(__xludf.DUMMYFUNCTION("""COMPUTED_VALUE"""),162739.97838000002)</f>
        <v>162739.9784</v>
      </c>
      <c r="AF12" s="19">
        <f>IFERROR(__xludf.DUMMYFUNCTION("""COMPUTED_VALUE"""),10030.0)</f>
        <v>10030</v>
      </c>
      <c r="AG12" s="20">
        <f>IFERROR(__xludf.DUMMYFUNCTION("""COMPUTED_VALUE"""),-152709.97838000002)</f>
        <v>-152709.9784</v>
      </c>
      <c r="AH12" s="28">
        <f>IFERROR(__xludf.DUMMYFUNCTION("""COMPUTED_VALUE"""),-0.9383679406876912)</f>
        <v>-0.9383679407</v>
      </c>
      <c r="AI12" s="29">
        <f>IFERROR(__xludf.DUMMYFUNCTION("""COMPUTED_VALUE"""),-183562.06227380008)</f>
        <v>-183562.0623</v>
      </c>
      <c r="AJ12" s="29">
        <f>IFERROR(__xludf.DUMMYFUNCTION("""COMPUTED_VALUE"""),-16691.878048780483)</f>
        <v>-16691.87805</v>
      </c>
      <c r="AK12" s="4">
        <f>IFERROR(__xludf.DUMMYFUNCTION("""COMPUTED_VALUE"""),7160.764705882352)</f>
        <v>7160.764706</v>
      </c>
      <c r="AL12" s="30">
        <f>IFERROR(__xludf.DUMMYFUNCTION("""COMPUTED_VALUE"""),1432.857142857143)</f>
        <v>1432.857143</v>
      </c>
      <c r="AM12" s="29">
        <f t="shared" si="1"/>
        <v>-5727.907563</v>
      </c>
      <c r="AN12" s="31">
        <f t="shared" si="2"/>
        <v>-0.7999016583</v>
      </c>
      <c r="AO12" s="12">
        <f t="shared" si="3"/>
        <v>23403.47489</v>
      </c>
      <c r="AP12" s="12">
        <f t="shared" si="4"/>
        <v>-40095.35294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Outros - Não Orgânico")</f>
        <v>Form G4 Outros - Não Orgânico</v>
      </c>
      <c r="B13" s="18">
        <f>IFERROR(__xludf.DUMMYFUNCTION("""COMPUTED_VALUE"""),118.39677419354834)</f>
        <v>118.3967742</v>
      </c>
      <c r="C13" s="19">
        <f>IFERROR(__xludf.DUMMYFUNCTION("""COMPUTED_VALUE"""),62.0)</f>
        <v>62</v>
      </c>
      <c r="D13" s="20">
        <f>IFERROR(__xludf.DUMMYFUNCTION("""COMPUTED_VALUE"""),-56.39677419354834)</f>
        <v>-56.39677419</v>
      </c>
      <c r="E13" s="21">
        <f>IFERROR(__xludf.DUMMYFUNCTION("""COMPUTED_VALUE"""),-0.4763370841620574)</f>
        <v>-0.4763370842</v>
      </c>
      <c r="F13" s="22">
        <f>IFERROR(__xludf.DUMMYFUNCTION("""COMPUTED_VALUE"""),0.7165354330708661)</f>
        <v>0.7165354331</v>
      </c>
      <c r="G13" s="22">
        <f>IFERROR(__xludf.DUMMYFUNCTION("""COMPUTED_VALUE"""),0.7419354838709677)</f>
        <v>0.7419354839</v>
      </c>
      <c r="H13" s="23">
        <f>IFERROR(__xludf.DUMMYFUNCTION("""COMPUTED_VALUE"""),2.540005080010166)</f>
        <v>2.54000508</v>
      </c>
      <c r="I13" s="18">
        <f>IFERROR(__xludf.DUMMYFUNCTION("""COMPUTED_VALUE"""),84.83548387096769)</f>
        <v>84.83548387</v>
      </c>
      <c r="J13" s="19">
        <f>IFERROR(__xludf.DUMMYFUNCTION("""COMPUTED_VALUE"""),46.0)</f>
        <v>46</v>
      </c>
      <c r="K13" s="20">
        <f>IFERROR(__xludf.DUMMYFUNCTION("""COMPUTED_VALUE"""),-38.83548387096769)</f>
        <v>-38.83548387</v>
      </c>
      <c r="L13" s="21">
        <f>IFERROR(__xludf.DUMMYFUNCTION("""COMPUTED_VALUE"""),-0.4577740598501841)</f>
        <v>-0.4577740599</v>
      </c>
      <c r="M13" s="24">
        <f>IFERROR(__xludf.DUMMYFUNCTION("""COMPUTED_VALUE"""),0.38461538461538464)</f>
        <v>0.3846153846</v>
      </c>
      <c r="N13" s="22">
        <f>IFERROR(__xludf.DUMMYFUNCTION("""COMPUTED_VALUE"""),0.30434782608695654)</f>
        <v>0.3043478261</v>
      </c>
      <c r="O13" s="25">
        <f>IFERROR(__xludf.DUMMYFUNCTION("""COMPUTED_VALUE"""),-8.02675585284281)</f>
        <v>-8.026755853</v>
      </c>
      <c r="P13" s="18">
        <f>IFERROR(__xludf.DUMMYFUNCTION("""COMPUTED_VALUE"""),32.724999999999994)</f>
        <v>32.725</v>
      </c>
      <c r="Q13" s="19">
        <f>IFERROR(__xludf.DUMMYFUNCTION("""COMPUTED_VALUE"""),14.0)</f>
        <v>14</v>
      </c>
      <c r="R13" s="20">
        <f>IFERROR(__xludf.DUMMYFUNCTION("""COMPUTED_VALUE"""),-18.724999999999994)</f>
        <v>-18.725</v>
      </c>
      <c r="S13" s="26">
        <f>IFERROR(__xludf.DUMMYFUNCTION("""COMPUTED_VALUE"""),-0.5721925133689839)</f>
        <v>-0.5721925134</v>
      </c>
      <c r="T13" s="22">
        <f>IFERROR(__xludf.DUMMYFUNCTION("""COMPUTED_VALUE"""),0.17142857142857143)</f>
        <v>0.1714285714</v>
      </c>
      <c r="U13" s="22">
        <f>IFERROR(__xludf.DUMMYFUNCTION("""COMPUTED_VALUE"""),0.07142857142857142)</f>
        <v>0.07142857143</v>
      </c>
      <c r="V13" s="23">
        <f>IFERROR(__xludf.DUMMYFUNCTION("""COMPUTED_VALUE"""),-10.0)</f>
        <v>-10</v>
      </c>
      <c r="W13" s="18">
        <f>IFERROR(__xludf.DUMMYFUNCTION("""COMPUTED_VALUE"""),5.6099999999999985)</f>
        <v>5.61</v>
      </c>
      <c r="X13" s="19">
        <f>IFERROR(__xludf.DUMMYFUNCTION("""COMPUTED_VALUE"""),1.0)</f>
        <v>1</v>
      </c>
      <c r="Y13" s="20">
        <f>IFERROR(__xludf.DUMMYFUNCTION("""COMPUTED_VALUE"""),-4.6099999999999985)</f>
        <v>-4.61</v>
      </c>
      <c r="Z13" s="27">
        <f>IFERROR(__xludf.DUMMYFUNCTION("""COMPUTED_VALUE"""),-0.8217468805704099)</f>
        <v>-0.8217468806</v>
      </c>
      <c r="AA13" s="18">
        <f>IFERROR(__xludf.DUMMYFUNCTION("""COMPUTED_VALUE"""),29454.0)</f>
        <v>29454</v>
      </c>
      <c r="AB13" s="19">
        <f>IFERROR(__xludf.DUMMYFUNCTION("""COMPUTED_VALUE"""),21900.0)</f>
        <v>21900</v>
      </c>
      <c r="AC13" s="20">
        <f>IFERROR(__xludf.DUMMYFUNCTION("""COMPUTED_VALUE"""),-7554.0)</f>
        <v>-7554</v>
      </c>
      <c r="AD13" s="27">
        <f>IFERROR(__xludf.DUMMYFUNCTION("""COMPUTED_VALUE"""),-0.2564677123650438)</f>
        <v>-0.2564677124</v>
      </c>
      <c r="AE13" s="18">
        <f>IFERROR(__xludf.DUMMYFUNCTION("""COMPUTED_VALUE"""),127502.83151999999)</f>
        <v>127502.8315</v>
      </c>
      <c r="AF13" s="19">
        <f>IFERROR(__xludf.DUMMYFUNCTION("""COMPUTED_VALUE"""),21900.0)</f>
        <v>21900</v>
      </c>
      <c r="AG13" s="20">
        <f>IFERROR(__xludf.DUMMYFUNCTION("""COMPUTED_VALUE"""),-105602.83151999999)</f>
        <v>-105602.8315</v>
      </c>
      <c r="AH13" s="28">
        <f>IFERROR(__xludf.DUMMYFUNCTION("""COMPUTED_VALUE"""),-0.8282391085835237)</f>
        <v>-0.8282391086</v>
      </c>
      <c r="AI13" s="29">
        <f>IFERROR(__xludf.DUMMYFUNCTION("""COMPUTED_VALUE"""),-75419.36320453731)</f>
        <v>-75419.3632</v>
      </c>
      <c r="AJ13" s="29">
        <f>IFERROR(__xludf.DUMMYFUNCTION("""COMPUTED_VALUE"""),-67433.010989011)</f>
        <v>-67433.01099</v>
      </c>
      <c r="AK13" s="4">
        <f>IFERROR(__xludf.DUMMYFUNCTION("""COMPUTED_VALUE"""),5049.257142857143)</f>
        <v>5049.257143</v>
      </c>
      <c r="AL13" s="30">
        <f>IFERROR(__xludf.DUMMYFUNCTION("""COMPUTED_VALUE"""),1564.2857142857142)</f>
        <v>1564.285714</v>
      </c>
      <c r="AM13" s="29">
        <f t="shared" si="1"/>
        <v>-3484.971429</v>
      </c>
      <c r="AN13" s="31">
        <f t="shared" si="2"/>
        <v>-0.6901948802</v>
      </c>
      <c r="AO13" s="12">
        <f t="shared" si="3"/>
        <v>-18643.41099</v>
      </c>
      <c r="AP13" s="12">
        <f t="shared" si="4"/>
        <v>-48789.6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G4 - K Instagram")</f>
        <v>Form G4 - K Instagram</v>
      </c>
      <c r="B14" s="18">
        <f>IFERROR(__xludf.DUMMYFUNCTION("""COMPUTED_VALUE"""),816.1096774193544)</f>
        <v>816.1096774</v>
      </c>
      <c r="C14" s="19">
        <f>IFERROR(__xludf.DUMMYFUNCTION("""COMPUTED_VALUE"""),414.0)</f>
        <v>414</v>
      </c>
      <c r="D14" s="20">
        <f>IFERROR(__xludf.DUMMYFUNCTION("""COMPUTED_VALUE"""),-402.1096774193544)</f>
        <v>-402.1096774</v>
      </c>
      <c r="E14" s="21">
        <f>IFERROR(__xludf.DUMMYFUNCTION("""COMPUTED_VALUE"""),-0.49271524225870944)</f>
        <v>-0.4927152423</v>
      </c>
      <c r="F14" s="22">
        <f>IFERROR(__xludf.DUMMYFUNCTION("""COMPUTED_VALUE"""),0.7083725305738477)</f>
        <v>0.7083725306</v>
      </c>
      <c r="G14" s="22">
        <f>IFERROR(__xludf.DUMMYFUNCTION("""COMPUTED_VALUE"""),0.7028985507246377)</f>
        <v>0.7028985507</v>
      </c>
      <c r="H14" s="23">
        <f>IFERROR(__xludf.DUMMYFUNCTION("""COMPUTED_VALUE"""),-0.5473979849210053)</f>
        <v>-0.5473979849</v>
      </c>
      <c r="I14" s="18">
        <f>IFERROR(__xludf.DUMMYFUNCTION("""COMPUTED_VALUE"""),578.1096774193546)</f>
        <v>578.1096774</v>
      </c>
      <c r="J14" s="19">
        <f>IFERROR(__xludf.DUMMYFUNCTION("""COMPUTED_VALUE"""),291.0)</f>
        <v>291</v>
      </c>
      <c r="K14" s="20">
        <f>IFERROR(__xludf.DUMMYFUNCTION("""COMPUTED_VALUE"""),-287.1096774193546)</f>
        <v>-287.1096774</v>
      </c>
      <c r="L14" s="21">
        <f>IFERROR(__xludf.DUMMYFUNCTION("""COMPUTED_VALUE"""),-0.4966353075094578)</f>
        <v>-0.4966353075</v>
      </c>
      <c r="M14" s="24">
        <f>IFERROR(__xludf.DUMMYFUNCTION("""COMPUTED_VALUE"""),0.234)</f>
        <v>0.234</v>
      </c>
      <c r="N14" s="22">
        <f>IFERROR(__xludf.DUMMYFUNCTION("""COMPUTED_VALUE"""),0.2611683848797251)</f>
        <v>0.2611683849</v>
      </c>
      <c r="O14" s="25">
        <f>IFERROR(__xludf.DUMMYFUNCTION("""COMPUTED_VALUE"""),2.7168384879725087)</f>
        <v>2.716838488</v>
      </c>
      <c r="P14" s="18">
        <f>IFERROR(__xludf.DUMMYFUNCTION("""COMPUTED_VALUE"""),135.67553999999998)</f>
        <v>135.67554</v>
      </c>
      <c r="Q14" s="19">
        <f>IFERROR(__xludf.DUMMYFUNCTION("""COMPUTED_VALUE"""),76.0)</f>
        <v>76</v>
      </c>
      <c r="R14" s="20">
        <f>IFERROR(__xludf.DUMMYFUNCTION("""COMPUTED_VALUE"""),-59.675539999999984)</f>
        <v>-59.67554</v>
      </c>
      <c r="S14" s="26">
        <f>IFERROR(__xludf.DUMMYFUNCTION("""COMPUTED_VALUE"""),-0.4398400772902764)</f>
        <v>-0.4398400773</v>
      </c>
      <c r="T14" s="22">
        <f>IFERROR(__xludf.DUMMYFUNCTION("""COMPUTED_VALUE"""),0.14285714285714285)</f>
        <v>0.1428571429</v>
      </c>
      <c r="U14" s="22">
        <f>IFERROR(__xludf.DUMMYFUNCTION("""COMPUTED_VALUE"""),0.02631578947368421)</f>
        <v>0.02631578947</v>
      </c>
      <c r="V14" s="23">
        <f>IFERROR(__xludf.DUMMYFUNCTION("""COMPUTED_VALUE"""),-11.654135338345863)</f>
        <v>-11.65413534</v>
      </c>
      <c r="W14" s="18">
        <f>IFERROR(__xludf.DUMMYFUNCTION("""COMPUTED_VALUE"""),19.382219999999997)</f>
        <v>19.38222</v>
      </c>
      <c r="X14" s="19">
        <f>IFERROR(__xludf.DUMMYFUNCTION("""COMPUTED_VALUE"""),2.0)</f>
        <v>2</v>
      </c>
      <c r="Y14" s="20">
        <f>IFERROR(__xludf.DUMMYFUNCTION("""COMPUTED_VALUE"""),-17.382219999999997)</f>
        <v>-17.38222</v>
      </c>
      <c r="Z14" s="27">
        <f>IFERROR(__xludf.DUMMYFUNCTION("""COMPUTED_VALUE"""),-0.8968126458166299)</f>
        <v>-0.8968126458</v>
      </c>
      <c r="AA14" s="18">
        <f>IFERROR(__xludf.DUMMYFUNCTION("""COMPUTED_VALUE"""),7534.0)</f>
        <v>7534</v>
      </c>
      <c r="AB14" s="19">
        <f>IFERROR(__xludf.DUMMYFUNCTION("""COMPUTED_VALUE"""),11525.0)</f>
        <v>11525</v>
      </c>
      <c r="AC14" s="20">
        <f>IFERROR(__xludf.DUMMYFUNCTION("""COMPUTED_VALUE"""),3991.0)</f>
        <v>3991</v>
      </c>
      <c r="AD14" s="27">
        <f>IFERROR(__xludf.DUMMYFUNCTION("""COMPUTED_VALUE"""),0.5297318821343244)</f>
        <v>0.5297318821</v>
      </c>
      <c r="AE14" s="18">
        <f>IFERROR(__xludf.DUMMYFUNCTION("""COMPUTED_VALUE"""),112678.69807583999)</f>
        <v>112678.6981</v>
      </c>
      <c r="AF14" s="19">
        <f>IFERROR(__xludf.DUMMYFUNCTION("""COMPUTED_VALUE"""),23050.0)</f>
        <v>23050</v>
      </c>
      <c r="AG14" s="20">
        <f>IFERROR(__xludf.DUMMYFUNCTION("""COMPUTED_VALUE"""),-89628.69807583999)</f>
        <v>-89628.69808</v>
      </c>
      <c r="AH14" s="28">
        <f>IFERROR(__xludf.DUMMYFUNCTION("""COMPUTED_VALUE"""),-0.7954360460884463)</f>
        <v>-0.7954360461</v>
      </c>
      <c r="AI14" s="29">
        <f>IFERROR(__xludf.DUMMYFUNCTION("""COMPUTED_VALUE"""),-72308.81835207366)</f>
        <v>-72308.81835</v>
      </c>
      <c r="AJ14" s="29">
        <f>IFERROR(__xludf.DUMMYFUNCTION("""COMPUTED_VALUE"""),-50238.59942857142)</f>
        <v>-50238.59943</v>
      </c>
      <c r="AK14" s="4">
        <f>IFERROR(__xludf.DUMMYFUNCTION("""COMPUTED_VALUE"""),1076.2857142857142)</f>
        <v>1076.285714</v>
      </c>
      <c r="AL14" s="30">
        <f>IFERROR(__xludf.DUMMYFUNCTION("""COMPUTED_VALUE"""),303.2894736842105)</f>
        <v>303.2894737</v>
      </c>
      <c r="AM14" s="29">
        <f t="shared" si="1"/>
        <v>-772.9962406</v>
      </c>
      <c r="AN14" s="31">
        <f t="shared" si="2"/>
        <v>-0.7182072849</v>
      </c>
      <c r="AO14" s="12">
        <f t="shared" si="3"/>
        <v>8509.114857</v>
      </c>
      <c r="AP14" s="12">
        <f t="shared" si="4"/>
        <v>-58747.71429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Facebook")</f>
        <v>Form G4 Facebook</v>
      </c>
      <c r="B15" s="18">
        <f>IFERROR(__xludf.DUMMYFUNCTION("""COMPUTED_VALUE"""),191.93548387096766)</f>
        <v>191.9354839</v>
      </c>
      <c r="C15" s="19">
        <f>IFERROR(__xludf.DUMMYFUNCTION("""COMPUTED_VALUE"""),274.0)</f>
        <v>274</v>
      </c>
      <c r="D15" s="20">
        <f>IFERROR(__xludf.DUMMYFUNCTION("""COMPUTED_VALUE"""),82.06451612903234)</f>
        <v>82.06451613</v>
      </c>
      <c r="E15" s="21">
        <f>IFERROR(__xludf.DUMMYFUNCTION("""COMPUTED_VALUE"""),0.42756302521008466)</f>
        <v>0.4275630252</v>
      </c>
      <c r="F15" s="22">
        <f>IFERROR(__xludf.DUMMYFUNCTION("""COMPUTED_VALUE"""),0.73)</f>
        <v>0.73</v>
      </c>
      <c r="G15" s="22">
        <f>IFERROR(__xludf.DUMMYFUNCTION("""COMPUTED_VALUE"""),0.7445255474452555)</f>
        <v>0.7445255474</v>
      </c>
      <c r="H15" s="23">
        <f>IFERROR(__xludf.DUMMYFUNCTION("""COMPUTED_VALUE"""),1.4525547445255471)</f>
        <v>1.452554745</v>
      </c>
      <c r="I15" s="18">
        <f>IFERROR(__xludf.DUMMYFUNCTION("""COMPUTED_VALUE"""),140.11290322580638)</f>
        <v>140.1129032</v>
      </c>
      <c r="J15" s="19">
        <f>IFERROR(__xludf.DUMMYFUNCTION("""COMPUTED_VALUE"""),204.0)</f>
        <v>204</v>
      </c>
      <c r="K15" s="20">
        <f>IFERROR(__xludf.DUMMYFUNCTION("""COMPUTED_VALUE"""),63.88709677419362)</f>
        <v>63.88709677</v>
      </c>
      <c r="L15" s="21">
        <f>IFERROR(__xludf.DUMMYFUNCTION("""COMPUTED_VALUE"""),0.4559686888454019)</f>
        <v>0.4559686888</v>
      </c>
      <c r="M15" s="24">
        <f>IFERROR(__xludf.DUMMYFUNCTION("""COMPUTED_VALUE"""),0.2642857142857143)</f>
        <v>0.2642857143</v>
      </c>
      <c r="N15" s="22">
        <f>IFERROR(__xludf.DUMMYFUNCTION("""COMPUTED_VALUE"""),0.29411764705882354)</f>
        <v>0.2941176471</v>
      </c>
      <c r="O15" s="25">
        <f>IFERROR(__xludf.DUMMYFUNCTION("""COMPUTED_VALUE"""),2.983193277310925)</f>
        <v>2.983193277</v>
      </c>
      <c r="P15" s="18">
        <f>IFERROR(__xludf.DUMMYFUNCTION("""COMPUTED_VALUE"""),37.13875)</f>
        <v>37.13875</v>
      </c>
      <c r="Q15" s="19">
        <f>IFERROR(__xludf.DUMMYFUNCTION("""COMPUTED_VALUE"""),60.0)</f>
        <v>60</v>
      </c>
      <c r="R15" s="20">
        <f>IFERROR(__xludf.DUMMYFUNCTION("""COMPUTED_VALUE"""),22.86125)</f>
        <v>22.86125</v>
      </c>
      <c r="S15" s="26">
        <f>IFERROR(__xludf.DUMMYFUNCTION("""COMPUTED_VALUE"""),0.6155632593988758)</f>
        <v>0.6155632594</v>
      </c>
      <c r="T15" s="22">
        <f>IFERROR(__xludf.DUMMYFUNCTION("""COMPUTED_VALUE"""),0.15384615384615383)</f>
        <v>0.1538461538</v>
      </c>
      <c r="U15" s="22">
        <f>IFERROR(__xludf.DUMMYFUNCTION("""COMPUTED_VALUE"""),0.08333333333333333)</f>
        <v>0.08333333333</v>
      </c>
      <c r="V15" s="23">
        <f>IFERROR(__xludf.DUMMYFUNCTION("""COMPUTED_VALUE"""),-7.05128205128205)</f>
        <v>-7.051282051</v>
      </c>
      <c r="W15" s="18">
        <f>IFERROR(__xludf.DUMMYFUNCTION("""COMPUTED_VALUE"""),5.7136538461538455)</f>
        <v>5.713653846</v>
      </c>
      <c r="X15" s="19">
        <f>IFERROR(__xludf.DUMMYFUNCTION("""COMPUTED_VALUE"""),5.0)</f>
        <v>5</v>
      </c>
      <c r="Y15" s="20">
        <f>IFERROR(__xludf.DUMMYFUNCTION("""COMPUTED_VALUE"""),-0.7136538461538455)</f>
        <v>-0.7136538462</v>
      </c>
      <c r="Z15" s="27">
        <f>IFERROR(__xludf.DUMMYFUNCTION("""COMPUTED_VALUE"""),-0.12490323449227549)</f>
        <v>-0.1249032345</v>
      </c>
      <c r="AA15" s="18">
        <f>IFERROR(__xludf.DUMMYFUNCTION("""COMPUTED_VALUE"""),23069.0)</f>
        <v>23069</v>
      </c>
      <c r="AB15" s="19">
        <f>IFERROR(__xludf.DUMMYFUNCTION("""COMPUTED_VALUE"""),24250.2)</f>
        <v>24250.2</v>
      </c>
      <c r="AC15" s="20">
        <f>IFERROR(__xludf.DUMMYFUNCTION("""COMPUTED_VALUE"""),1181.2000000000007)</f>
        <v>1181.2</v>
      </c>
      <c r="AD15" s="27">
        <f>IFERROR(__xludf.DUMMYFUNCTION("""COMPUTED_VALUE"""),0.05120291300013008)</f>
        <v>0.051202913</v>
      </c>
      <c r="AE15" s="18">
        <f>IFERROR(__xludf.DUMMYFUNCTION("""COMPUTED_VALUE"""),101708.06232153845)</f>
        <v>101708.0623</v>
      </c>
      <c r="AF15" s="19">
        <f>IFERROR(__xludf.DUMMYFUNCTION("""COMPUTED_VALUE"""),121251.0)</f>
        <v>121251</v>
      </c>
      <c r="AG15" s="20">
        <f>IFERROR(__xludf.DUMMYFUNCTION("""COMPUTED_VALUE"""),19542.937678461545)</f>
        <v>19542.93768</v>
      </c>
      <c r="AH15" s="28">
        <f>IFERROR(__xludf.DUMMYFUNCTION("""COMPUTED_VALUE"""),0.1921473797886226)</f>
        <v>0.1921473798</v>
      </c>
      <c r="AI15" s="29">
        <f>IFERROR(__xludf.DUMMYFUNCTION("""COMPUTED_VALUE"""),59924.201222970645)</f>
        <v>59924.20122</v>
      </c>
      <c r="AJ15" s="29">
        <f>IFERROR(__xludf.DUMMYFUNCTION("""COMPUTED_VALUE"""),-70094.94725274725)</f>
        <v>-70094.94725</v>
      </c>
      <c r="AK15" s="4">
        <f>IFERROR(__xludf.DUMMYFUNCTION("""COMPUTED_VALUE"""),3549.0769230769224)</f>
        <v>3549.076923</v>
      </c>
      <c r="AL15" s="30">
        <f>IFERROR(__xludf.DUMMYFUNCTION("""COMPUTED_VALUE"""),2020.85)</f>
        <v>2020.85</v>
      </c>
      <c r="AM15" s="29">
        <f t="shared" si="1"/>
        <v>-1528.226923</v>
      </c>
      <c r="AN15" s="31">
        <f t="shared" si="2"/>
        <v>-0.4305984221</v>
      </c>
      <c r="AO15" s="12">
        <f t="shared" si="3"/>
        <v>21598.66813</v>
      </c>
      <c r="AP15" s="12">
        <f t="shared" si="4"/>
        <v>-91693.61538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IFERROR(__xludf.DUMMYFUNCTION("""COMPUTED_VALUE"""),"[ON] Outros")</f>
        <v>[ON] Outros</v>
      </c>
      <c r="B16" s="18">
        <f>IFERROR(__xludf.DUMMYFUNCTION("""COMPUTED_VALUE"""),284.6129032258063)</f>
        <v>284.6129032</v>
      </c>
      <c r="C16" s="19">
        <f>IFERROR(__xludf.DUMMYFUNCTION("""COMPUTED_VALUE"""),42.0)</f>
        <v>42</v>
      </c>
      <c r="D16" s="20">
        <f>IFERROR(__xludf.DUMMYFUNCTION("""COMPUTED_VALUE"""),-242.6129032258063)</f>
        <v>-242.6129032</v>
      </c>
      <c r="E16" s="21">
        <f>IFERROR(__xludf.DUMMYFUNCTION("""COMPUTED_VALUE"""),-0.852431145868752)</f>
        <v>-0.8524311459</v>
      </c>
      <c r="F16" s="22">
        <f>IFERROR(__xludf.DUMMYFUNCTION("""COMPUTED_VALUE"""),0.661271676300578)</f>
        <v>0.6612716763</v>
      </c>
      <c r="G16" s="22">
        <f>IFERROR(__xludf.DUMMYFUNCTION("""COMPUTED_VALUE"""),4.880952380952381)</f>
        <v>4.880952381</v>
      </c>
      <c r="H16" s="23">
        <f>IFERROR(__xludf.DUMMYFUNCTION("""COMPUTED_VALUE"""),421.9680704651803)</f>
        <v>421.9680705</v>
      </c>
      <c r="I16" s="18">
        <f>IFERROR(__xludf.DUMMYFUNCTION("""COMPUTED_VALUE"""),188.20645161290312)</f>
        <v>188.2064516</v>
      </c>
      <c r="J16" s="19">
        <f>IFERROR(__xludf.DUMMYFUNCTION("""COMPUTED_VALUE"""),205.0)</f>
        <v>205</v>
      </c>
      <c r="K16" s="20">
        <f>IFERROR(__xludf.DUMMYFUNCTION("""COMPUTED_VALUE"""),16.793548387096877)</f>
        <v>16.79354839</v>
      </c>
      <c r="L16" s="21">
        <f>IFERROR(__xludf.DUMMYFUNCTION("""COMPUTED_VALUE"""),0.08922939805292805)</f>
        <v>0.08922939805</v>
      </c>
      <c r="M16" s="24">
        <f>IFERROR(__xludf.DUMMYFUNCTION("""COMPUTED_VALUE"""),0.21153846153846154)</f>
        <v>0.2115384615</v>
      </c>
      <c r="N16" s="22">
        <f>IFERROR(__xludf.DUMMYFUNCTION("""COMPUTED_VALUE"""),0.07804878048780488)</f>
        <v>0.07804878049</v>
      </c>
      <c r="O16" s="25">
        <f>IFERROR(__xludf.DUMMYFUNCTION("""COMPUTED_VALUE"""),-13.348968105065667)</f>
        <v>-13.34896811</v>
      </c>
      <c r="P16" s="18">
        <f>IFERROR(__xludf.DUMMYFUNCTION("""COMPUTED_VALUE"""),39.92999999999999)</f>
        <v>39.93</v>
      </c>
      <c r="Q16" s="19">
        <f>IFERROR(__xludf.DUMMYFUNCTION("""COMPUTED_VALUE"""),16.0)</f>
        <v>16</v>
      </c>
      <c r="R16" s="20">
        <f>IFERROR(__xludf.DUMMYFUNCTION("""COMPUTED_VALUE"""),-23.929999999999993)</f>
        <v>-23.93</v>
      </c>
      <c r="S16" s="26">
        <f>IFERROR(__xludf.DUMMYFUNCTION("""COMPUTED_VALUE"""),-0.5992987728524918)</f>
        <v>-0.5992987729</v>
      </c>
      <c r="T16" s="22">
        <f>IFERROR(__xludf.DUMMYFUNCTION("""COMPUTED_VALUE"""),0.39669421487603307)</f>
        <v>0.3966942149</v>
      </c>
      <c r="U16" s="22">
        <f>IFERROR(__xludf.DUMMYFUNCTION("""COMPUTED_VALUE"""),0.1875)</f>
        <v>0.1875</v>
      </c>
      <c r="V16" s="23">
        <f>IFERROR(__xludf.DUMMYFUNCTION("""COMPUTED_VALUE"""),-20.91942148760331)</f>
        <v>-20.91942149</v>
      </c>
      <c r="W16" s="18">
        <f>IFERROR(__xludf.DUMMYFUNCTION("""COMPUTED_VALUE"""),15.839999999999996)</f>
        <v>15.84</v>
      </c>
      <c r="X16" s="19">
        <f>IFERROR(__xludf.DUMMYFUNCTION("""COMPUTED_VALUE"""),3.0)</f>
        <v>3</v>
      </c>
      <c r="Y16" s="20">
        <f>IFERROR(__xludf.DUMMYFUNCTION("""COMPUTED_VALUE"""),-12.839999999999996)</f>
        <v>-12.84</v>
      </c>
      <c r="Z16" s="27">
        <f>IFERROR(__xludf.DUMMYFUNCTION("""COMPUTED_VALUE"""),-0.8106060606060606)</f>
        <v>-0.8106060606</v>
      </c>
      <c r="AA16" s="18">
        <f>IFERROR(__xludf.DUMMYFUNCTION("""COMPUTED_VALUE"""),7017.0)</f>
        <v>7017</v>
      </c>
      <c r="AB16" s="19">
        <f>IFERROR(__xludf.DUMMYFUNCTION("""COMPUTED_VALUE"""),14618.333333333334)</f>
        <v>14618.33333</v>
      </c>
      <c r="AC16" s="20">
        <f>IFERROR(__xludf.DUMMYFUNCTION("""COMPUTED_VALUE"""),7601.333333333334)</f>
        <v>7601.333333</v>
      </c>
      <c r="AD16" s="27">
        <f>IFERROR(__xludf.DUMMYFUNCTION("""COMPUTED_VALUE"""),1.0832739537314142)</f>
        <v>1.083273954</v>
      </c>
      <c r="AE16" s="18">
        <f>IFERROR(__xludf.DUMMYFUNCTION("""COMPUTED_VALUE"""),85766.82624)</f>
        <v>85766.82624</v>
      </c>
      <c r="AF16" s="19">
        <f>IFERROR(__xludf.DUMMYFUNCTION("""COMPUTED_VALUE"""),43855.0)</f>
        <v>43855</v>
      </c>
      <c r="AG16" s="20">
        <f>IFERROR(__xludf.DUMMYFUNCTION("""COMPUTED_VALUE"""),-41911.826239999995)</f>
        <v>-41911.82624</v>
      </c>
      <c r="AH16" s="28">
        <f>IFERROR(__xludf.DUMMYFUNCTION("""COMPUTED_VALUE"""),-0.4886717636340976)</f>
        <v>-0.4886717636</v>
      </c>
      <c r="AI16" s="29">
        <f>IFERROR(__xludf.DUMMYFUNCTION("""COMPUTED_VALUE"""),9888.698939769965)</f>
        <v>9888.69894</v>
      </c>
      <c r="AJ16" s="29">
        <f>IFERROR(__xludf.DUMMYFUNCTION("""COMPUTED_VALUE"""),-76857.02797202795)</f>
        <v>-76857.02797</v>
      </c>
      <c r="AK16" s="4">
        <f>IFERROR(__xludf.DUMMYFUNCTION("""COMPUTED_VALUE"""),2783.6033057851237)</f>
        <v>2783.603306</v>
      </c>
      <c r="AL16" s="30">
        <f>IFERROR(__xludf.DUMMYFUNCTION("""COMPUTED_VALUE"""),2740.9375)</f>
        <v>2740.9375</v>
      </c>
      <c r="AM16" s="29">
        <f t="shared" si="1"/>
        <v>-42.66580579</v>
      </c>
      <c r="AN16" s="31">
        <f t="shared" si="2"/>
        <v>-0.01532754531</v>
      </c>
      <c r="AO16" s="12">
        <f t="shared" si="3"/>
        <v>-76174.37508</v>
      </c>
      <c r="AP16" s="12">
        <f t="shared" si="4"/>
        <v>-682.6528926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Incompleto Instagram")</f>
        <v>Form G4 Incompleto Instagram</v>
      </c>
      <c r="B17" s="18">
        <f>IFERROR(__xludf.DUMMYFUNCTION("""COMPUTED_VALUE"""),383.8709677419353)</f>
        <v>383.8709677</v>
      </c>
      <c r="C17" s="19">
        <f>IFERROR(__xludf.DUMMYFUNCTION("""COMPUTED_VALUE"""),260.0)</f>
        <v>260</v>
      </c>
      <c r="D17" s="20">
        <f>IFERROR(__xludf.DUMMYFUNCTION("""COMPUTED_VALUE"""),-123.87096774193532)</f>
        <v>-123.8709677</v>
      </c>
      <c r="E17" s="21">
        <f>IFERROR(__xludf.DUMMYFUNCTION("""COMPUTED_VALUE"""),-0.3226890756302518)</f>
        <v>-0.3226890756</v>
      </c>
      <c r="F17" s="22">
        <f>IFERROR(__xludf.DUMMYFUNCTION("""COMPUTED_VALUE"""),0.7)</f>
        <v>0.7</v>
      </c>
      <c r="G17" s="22">
        <f>IFERROR(__xludf.DUMMYFUNCTION("""COMPUTED_VALUE"""),0.6923076923076923)</f>
        <v>0.6923076923</v>
      </c>
      <c r="H17" s="23">
        <f>IFERROR(__xludf.DUMMYFUNCTION("""COMPUTED_VALUE"""),-0.7692307692307665)</f>
        <v>-0.7692307692</v>
      </c>
      <c r="I17" s="18">
        <f>IFERROR(__xludf.DUMMYFUNCTION("""COMPUTED_VALUE"""),268.7096774193547)</f>
        <v>268.7096774</v>
      </c>
      <c r="J17" s="19">
        <f>IFERROR(__xludf.DUMMYFUNCTION("""COMPUTED_VALUE"""),180.0)</f>
        <v>180</v>
      </c>
      <c r="K17" s="20">
        <f>IFERROR(__xludf.DUMMYFUNCTION("""COMPUTED_VALUE"""),-88.7096774193547)</f>
        <v>-88.70967742</v>
      </c>
      <c r="L17" s="21">
        <f>IFERROR(__xludf.DUMMYFUNCTION("""COMPUTED_VALUE"""),-0.3301320528211281)</f>
        <v>-0.3301320528</v>
      </c>
      <c r="M17" s="24">
        <f>IFERROR(__xludf.DUMMYFUNCTION("""COMPUTED_VALUE"""),0.18)</f>
        <v>0.18</v>
      </c>
      <c r="N17" s="22">
        <f>IFERROR(__xludf.DUMMYFUNCTION("""COMPUTED_VALUE"""),0.18888888888888888)</f>
        <v>0.1888888889</v>
      </c>
      <c r="O17" s="25">
        <f>IFERROR(__xludf.DUMMYFUNCTION("""COMPUTED_VALUE"""),0.8888888888888891)</f>
        <v>0.8888888889</v>
      </c>
      <c r="P17" s="18">
        <f>IFERROR(__xludf.DUMMYFUNCTION("""COMPUTED_VALUE"""),48.50999999999999)</f>
        <v>48.51</v>
      </c>
      <c r="Q17" s="19">
        <f>IFERROR(__xludf.DUMMYFUNCTION("""COMPUTED_VALUE"""),34.0)</f>
        <v>34</v>
      </c>
      <c r="R17" s="20">
        <f>IFERROR(__xludf.DUMMYFUNCTION("""COMPUTED_VALUE"""),-14.509999999999991)</f>
        <v>-14.51</v>
      </c>
      <c r="S17" s="26">
        <f>IFERROR(__xludf.DUMMYFUNCTION("""COMPUTED_VALUE"""),-0.2991135848278704)</f>
        <v>-0.2991135848</v>
      </c>
      <c r="T17" s="22">
        <f>IFERROR(__xludf.DUMMYFUNCTION("""COMPUTED_VALUE"""),0.12)</f>
        <v>0.12</v>
      </c>
      <c r="U17" s="22">
        <f>IFERROR(__xludf.DUMMYFUNCTION("""COMPUTED_VALUE"""),0.08823529411764706)</f>
        <v>0.08823529412</v>
      </c>
      <c r="V17" s="23">
        <f>IFERROR(__xludf.DUMMYFUNCTION("""COMPUTED_VALUE"""),-3.176470588235293)</f>
        <v>-3.176470588</v>
      </c>
      <c r="W17" s="18">
        <f>IFERROR(__xludf.DUMMYFUNCTION("""COMPUTED_VALUE"""),5.821199999999998)</f>
        <v>5.8212</v>
      </c>
      <c r="X17" s="19">
        <f>IFERROR(__xludf.DUMMYFUNCTION("""COMPUTED_VALUE"""),3.0)</f>
        <v>3</v>
      </c>
      <c r="Y17" s="20">
        <f>IFERROR(__xludf.DUMMYFUNCTION("""COMPUTED_VALUE"""),-2.8211999999999984)</f>
        <v>-2.8212</v>
      </c>
      <c r="Z17" s="27">
        <f>IFERROR(__xludf.DUMMYFUNCTION("""COMPUTED_VALUE"""),-0.48464234178519877)</f>
        <v>-0.4846423418</v>
      </c>
      <c r="AA17" s="18">
        <f>IFERROR(__xludf.DUMMYFUNCTION("""COMPUTED_VALUE"""),17000.0)</f>
        <v>17000</v>
      </c>
      <c r="AB17" s="19">
        <f>IFERROR(__xludf.DUMMYFUNCTION("""COMPUTED_VALUE"""),13207.666666666666)</f>
        <v>13207.66667</v>
      </c>
      <c r="AC17" s="20">
        <f>IFERROR(__xludf.DUMMYFUNCTION("""COMPUTED_VALUE"""),-3792.333333333334)</f>
        <v>-3792.333333</v>
      </c>
      <c r="AD17" s="27">
        <f>IFERROR(__xludf.DUMMYFUNCTION("""COMPUTED_VALUE"""),-0.22307843137254907)</f>
        <v>-0.2230784314</v>
      </c>
      <c r="AE17" s="18">
        <f>IFERROR(__xludf.DUMMYFUNCTION("""COMPUTED_VALUE"""),76361.4432)</f>
        <v>76361.4432</v>
      </c>
      <c r="AF17" s="19">
        <f>IFERROR(__xludf.DUMMYFUNCTION("""COMPUTED_VALUE"""),39623.0)</f>
        <v>39623</v>
      </c>
      <c r="AG17" s="20">
        <f>IFERROR(__xludf.DUMMYFUNCTION("""COMPUTED_VALUE"""),-36738.443199999994)</f>
        <v>-36738.4432</v>
      </c>
      <c r="AH17" s="28">
        <f>IFERROR(__xludf.DUMMYFUNCTION("""COMPUTED_VALUE"""),-0.4811124785027635)</f>
        <v>-0.4811124785</v>
      </c>
      <c r="AI17" s="29">
        <f>IFERROR(__xludf.DUMMYFUNCTION("""COMPUTED_VALUE"""),-32574.193548387047)</f>
        <v>-32574.19355</v>
      </c>
      <c r="AJ17" s="29">
        <f>IFERROR(__xludf.DUMMYFUNCTION("""COMPUTED_VALUE"""),-26473.0)</f>
        <v>-26473</v>
      </c>
      <c r="AK17" s="4">
        <f>IFERROR(__xludf.DUMMYFUNCTION("""COMPUTED_VALUE"""),2040.0)</f>
        <v>2040</v>
      </c>
      <c r="AL17" s="4">
        <f>IFERROR(__xludf.DUMMYFUNCTION("""COMPUTED_VALUE"""),1165.3823529411766)</f>
        <v>1165.382353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IFERROR(__xludf.DUMMYFUNCTION("""COMPUTED_VALUE"""),"[SKL] CRM - WhatsApp")</f>
        <v>[SKL] CRM - WhatsApp</v>
      </c>
      <c r="B18" s="18">
        <f>IFERROR(__xludf.DUMMYFUNCTION("""COMPUTED_VALUE"""),267.50322580645144)</f>
        <v>267.5032258</v>
      </c>
      <c r="C18" s="19">
        <f>IFERROR(__xludf.DUMMYFUNCTION("""COMPUTED_VALUE"""),215.0)</f>
        <v>215</v>
      </c>
      <c r="D18" s="20">
        <f>IFERROR(__xludf.DUMMYFUNCTION("""COMPUTED_VALUE"""),-52.50322580645144)</f>
        <v>-52.50322581</v>
      </c>
      <c r="E18" s="21">
        <f>IFERROR(__xludf.DUMMYFUNCTION("""COMPUTED_VALUE"""),-0.19627137447845014)</f>
        <v>-0.1962713745</v>
      </c>
      <c r="F18" s="22">
        <f>IFERROR(__xludf.DUMMYFUNCTION("""COMPUTED_VALUE"""),0.861008610086101)</f>
        <v>0.8610086101</v>
      </c>
      <c r="G18" s="22">
        <f>IFERROR(__xludf.DUMMYFUNCTION("""COMPUTED_VALUE"""),0.8418604651162791)</f>
        <v>0.8418604651</v>
      </c>
      <c r="H18" s="23">
        <f>IFERROR(__xludf.DUMMYFUNCTION("""COMPUTED_VALUE"""),-1.9148144969821868)</f>
        <v>-1.914814497</v>
      </c>
      <c r="I18" s="18">
        <f>IFERROR(__xludf.DUMMYFUNCTION("""COMPUTED_VALUE"""),230.32258064516117)</f>
        <v>230.3225806</v>
      </c>
      <c r="J18" s="19">
        <f>IFERROR(__xludf.DUMMYFUNCTION("""COMPUTED_VALUE"""),181.0)</f>
        <v>181</v>
      </c>
      <c r="K18" s="20">
        <f>IFERROR(__xludf.DUMMYFUNCTION("""COMPUTED_VALUE"""),-49.32258064516117)</f>
        <v>-49.32258065</v>
      </c>
      <c r="L18" s="21">
        <f>IFERROR(__xludf.DUMMYFUNCTION("""COMPUTED_VALUE"""),-0.2141456582633049)</f>
        <v>-0.2141456583</v>
      </c>
      <c r="M18" s="24">
        <f>IFERROR(__xludf.DUMMYFUNCTION("""COMPUTED_VALUE"""),0.2014285714285714)</f>
        <v>0.2014285714</v>
      </c>
      <c r="N18" s="22">
        <f>IFERROR(__xludf.DUMMYFUNCTION("""COMPUTED_VALUE"""),0.143646408839779)</f>
        <v>0.1436464088</v>
      </c>
      <c r="O18" s="25">
        <f>IFERROR(__xludf.DUMMYFUNCTION("""COMPUTED_VALUE"""),-5.77821625887924)</f>
        <v>-5.778216259</v>
      </c>
      <c r="P18" s="18">
        <f>IFERROR(__xludf.DUMMYFUNCTION("""COMPUTED_VALUE"""),46.529999999999994)</f>
        <v>46.53</v>
      </c>
      <c r="Q18" s="19">
        <f>IFERROR(__xludf.DUMMYFUNCTION("""COMPUTED_VALUE"""),26.0)</f>
        <v>26</v>
      </c>
      <c r="R18" s="20">
        <f>IFERROR(__xludf.DUMMYFUNCTION("""COMPUTED_VALUE"""),-20.529999999999994)</f>
        <v>-20.53</v>
      </c>
      <c r="S18" s="26">
        <f>IFERROR(__xludf.DUMMYFUNCTION("""COMPUTED_VALUE"""),-0.44122071781646244)</f>
        <v>-0.4412207178</v>
      </c>
      <c r="T18" s="22">
        <f>IFERROR(__xludf.DUMMYFUNCTION("""COMPUTED_VALUE"""),0.14893617021276595)</f>
        <v>0.1489361702</v>
      </c>
      <c r="U18" s="22">
        <f>IFERROR(__xludf.DUMMYFUNCTION("""COMPUTED_VALUE"""),0.038461538461538464)</f>
        <v>0.03846153846</v>
      </c>
      <c r="V18" s="23">
        <f>IFERROR(__xludf.DUMMYFUNCTION("""COMPUTED_VALUE"""),-11.047463175122749)</f>
        <v>-11.04746318</v>
      </c>
      <c r="W18" s="18">
        <f>IFERROR(__xludf.DUMMYFUNCTION("""COMPUTED_VALUE"""),6.929999999999998)</f>
        <v>6.93</v>
      </c>
      <c r="X18" s="19">
        <f>IFERROR(__xludf.DUMMYFUNCTION("""COMPUTED_VALUE"""),1.0)</f>
        <v>1</v>
      </c>
      <c r="Y18" s="20">
        <f>IFERROR(__xludf.DUMMYFUNCTION("""COMPUTED_VALUE"""),-5.929999999999998)</f>
        <v>-5.93</v>
      </c>
      <c r="Z18" s="27">
        <f>IFERROR(__xludf.DUMMYFUNCTION("""COMPUTED_VALUE"""),-0.8556998556998556)</f>
        <v>-0.8556998557</v>
      </c>
      <c r="AA18" s="18">
        <f>IFERROR(__xludf.DUMMYFUNCTION("""COMPUTED_VALUE"""),14171.0)</f>
        <v>14171</v>
      </c>
      <c r="AB18" s="19">
        <f>IFERROR(__xludf.DUMMYFUNCTION("""COMPUTED_VALUE"""),13800.0)</f>
        <v>13800</v>
      </c>
      <c r="AC18" s="20">
        <f>IFERROR(__xludf.DUMMYFUNCTION("""COMPUTED_VALUE"""),-371.0)</f>
        <v>-371</v>
      </c>
      <c r="AD18" s="27">
        <f>IFERROR(__xludf.DUMMYFUNCTION("""COMPUTED_VALUE"""),-0.026180227224613647)</f>
        <v>-0.02618022722</v>
      </c>
      <c r="AE18" s="18">
        <f>IFERROR(__xludf.DUMMYFUNCTION("""COMPUTED_VALUE"""),75778.57224)</f>
        <v>75778.57224</v>
      </c>
      <c r="AF18" s="19">
        <f>IFERROR(__xludf.DUMMYFUNCTION("""COMPUTED_VALUE"""),13800.0)</f>
        <v>13800</v>
      </c>
      <c r="AG18" s="20">
        <f>IFERROR(__xludf.DUMMYFUNCTION("""COMPUTED_VALUE"""),-61978.572239999994)</f>
        <v>-61978.57224</v>
      </c>
      <c r="AH18" s="28">
        <f>IFERROR(__xludf.DUMMYFUNCTION("""COMPUTED_VALUE"""),-0.8178904723053674)</f>
        <v>-0.8178904723</v>
      </c>
      <c r="AI18" s="29">
        <f>IFERROR(__xludf.DUMMYFUNCTION("""COMPUTED_VALUE"""),-20968.508709677364)</f>
        <v>-20968.50871</v>
      </c>
      <c r="AJ18" s="29">
        <f>IFERROR(__xludf.DUMMYFUNCTION("""COMPUTED_VALUE"""),-63148.529999999984)</f>
        <v>-63148.53</v>
      </c>
      <c r="AK18" s="4">
        <f>IFERROR(__xludf.DUMMYFUNCTION("""COMPUTED_VALUE"""),2110.574468085106)</f>
        <v>2110.574468</v>
      </c>
      <c r="AL18" s="4">
        <f>IFERROR(__xludf.DUMMYFUNCTION("""COMPUTED_VALUE"""),530.7692307692307)</f>
        <v>530.7692308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IFERROR(__xludf.DUMMYFUNCTION("""COMPUTED_VALUE"""),"Form G4 - K Outros")</f>
        <v>Form G4 - K Outros</v>
      </c>
      <c r="B19" s="18">
        <f>IFERROR(__xludf.DUMMYFUNCTION("""COMPUTED_VALUE"""),355.35483870967727)</f>
        <v>355.3548387</v>
      </c>
      <c r="C19" s="19">
        <f>IFERROR(__xludf.DUMMYFUNCTION("""COMPUTED_VALUE"""),224.0)</f>
        <v>224</v>
      </c>
      <c r="D19" s="20">
        <f>IFERROR(__xludf.DUMMYFUNCTION("""COMPUTED_VALUE"""),-131.35483870967727)</f>
        <v>-131.3548387</v>
      </c>
      <c r="E19" s="21">
        <f>IFERROR(__xludf.DUMMYFUNCTION("""COMPUTED_VALUE"""),-0.3696441539578792)</f>
        <v>-0.369644154</v>
      </c>
      <c r="F19" s="22">
        <f>IFERROR(__xludf.DUMMYFUNCTION("""COMPUTED_VALUE"""),0.6875)</f>
        <v>0.6875</v>
      </c>
      <c r="G19" s="22">
        <f>IFERROR(__xludf.DUMMYFUNCTION("""COMPUTED_VALUE"""),0.6741071428571429)</f>
        <v>0.6741071429</v>
      </c>
      <c r="H19" s="23">
        <f>IFERROR(__xludf.DUMMYFUNCTION("""COMPUTED_VALUE"""),-1.3392857142857095)</f>
        <v>-1.339285714</v>
      </c>
      <c r="I19" s="18">
        <f>IFERROR(__xludf.DUMMYFUNCTION("""COMPUTED_VALUE"""),244.30645161290312)</f>
        <v>244.3064516</v>
      </c>
      <c r="J19" s="19">
        <f>IFERROR(__xludf.DUMMYFUNCTION("""COMPUTED_VALUE"""),151.0)</f>
        <v>151</v>
      </c>
      <c r="K19" s="20">
        <f>IFERROR(__xludf.DUMMYFUNCTION("""COMPUTED_VALUE"""),-93.30645161290312)</f>
        <v>-93.30645161</v>
      </c>
      <c r="L19" s="21">
        <f>IFERROR(__xludf.DUMMYFUNCTION("""COMPUTED_VALUE"""),-0.38192381329636205)</f>
        <v>-0.3819238133</v>
      </c>
      <c r="M19" s="24">
        <f>IFERROR(__xludf.DUMMYFUNCTION("""COMPUTED_VALUE"""),0.217)</f>
        <v>0.217</v>
      </c>
      <c r="N19" s="22">
        <f>IFERROR(__xludf.DUMMYFUNCTION("""COMPUTED_VALUE"""),0.23178807947019867)</f>
        <v>0.2317880795</v>
      </c>
      <c r="O19" s="25">
        <f>IFERROR(__xludf.DUMMYFUNCTION("""COMPUTED_VALUE"""),1.4788079470198667)</f>
        <v>1.478807947</v>
      </c>
      <c r="P19" s="18">
        <f>IFERROR(__xludf.DUMMYFUNCTION("""COMPUTED_VALUE"""),53.170424999999994)</f>
        <v>53.170425</v>
      </c>
      <c r="Q19" s="19">
        <f>IFERROR(__xludf.DUMMYFUNCTION("""COMPUTED_VALUE"""),35.0)</f>
        <v>35</v>
      </c>
      <c r="R19" s="20">
        <f>IFERROR(__xludf.DUMMYFUNCTION("""COMPUTED_VALUE"""),-18.170424999999994)</f>
        <v>-18.170425</v>
      </c>
      <c r="S19" s="26">
        <f>IFERROR(__xludf.DUMMYFUNCTION("""COMPUTED_VALUE"""),-0.34173932218898)</f>
        <v>-0.3417393222</v>
      </c>
      <c r="T19" s="22">
        <f>IFERROR(__xludf.DUMMYFUNCTION("""COMPUTED_VALUE"""),0.148)</f>
        <v>0.148</v>
      </c>
      <c r="U19" s="22">
        <f>IFERROR(__xludf.DUMMYFUNCTION("""COMPUTED_VALUE"""),0.11428571428571428)</f>
        <v>0.1142857143</v>
      </c>
      <c r="V19" s="23">
        <f>IFERROR(__xludf.DUMMYFUNCTION("""COMPUTED_VALUE"""),-3.371428571428571)</f>
        <v>-3.371428571</v>
      </c>
      <c r="W19" s="18">
        <f>IFERROR(__xludf.DUMMYFUNCTION("""COMPUTED_VALUE"""),7.869222899999999)</f>
        <v>7.8692229</v>
      </c>
      <c r="X19" s="19">
        <f>IFERROR(__xludf.DUMMYFUNCTION("""COMPUTED_VALUE"""),4.0)</f>
        <v>4</v>
      </c>
      <c r="Y19" s="20">
        <f>IFERROR(__xludf.DUMMYFUNCTION("""COMPUTED_VALUE"""),-3.8692228999999987)</f>
        <v>-3.8692229</v>
      </c>
      <c r="Z19" s="27">
        <f>IFERROR(__xludf.DUMMYFUNCTION("""COMPUTED_VALUE"""),-0.4916905962849266)</f>
        <v>-0.4916905963</v>
      </c>
      <c r="AA19" s="18">
        <f>IFERROR(__xludf.DUMMYFUNCTION("""COMPUTED_VALUE"""),10805.0)</f>
        <v>10805</v>
      </c>
      <c r="AB19" s="19">
        <f>IFERROR(__xludf.DUMMYFUNCTION("""COMPUTED_VALUE"""),17424.0)</f>
        <v>17424</v>
      </c>
      <c r="AC19" s="20">
        <f>IFERROR(__xludf.DUMMYFUNCTION("""COMPUTED_VALUE"""),6619.0)</f>
        <v>6619</v>
      </c>
      <c r="AD19" s="27">
        <f>IFERROR(__xludf.DUMMYFUNCTION("""COMPUTED_VALUE"""),0.6125867653863952)</f>
        <v>0.6125867654</v>
      </c>
      <c r="AE19" s="18">
        <f>IFERROR(__xludf.DUMMYFUNCTION("""COMPUTED_VALUE"""),65609.88915927599)</f>
        <v>65609.88916</v>
      </c>
      <c r="AF19" s="19">
        <f>IFERROR(__xludf.DUMMYFUNCTION("""COMPUTED_VALUE"""),69696.0)</f>
        <v>69696</v>
      </c>
      <c r="AG19" s="20">
        <f>IFERROR(__xludf.DUMMYFUNCTION("""COMPUTED_VALUE"""),4086.11084072401)</f>
        <v>4086.110841</v>
      </c>
      <c r="AH19" s="28">
        <f>IFERROR(__xludf.DUMMYFUNCTION("""COMPUTED_VALUE"""),0.06227888650755801)</f>
        <v>0.06227888651</v>
      </c>
      <c r="AI19" s="29">
        <f>IFERROR(__xludf.DUMMYFUNCTION("""COMPUTED_VALUE"""),-32378.58714999996)</f>
        <v>-32378.58715</v>
      </c>
      <c r="AJ19" s="29">
        <f>IFERROR(__xludf.DUMMYFUNCTION("""COMPUTED_VALUE"""),17296.979620000006)</f>
        <v>17296.97962</v>
      </c>
      <c r="AK19" s="4">
        <f>IFERROR(__xludf.DUMMYFUNCTION("""COMPUTED_VALUE"""),1599.1399999999996)</f>
        <v>1599.14</v>
      </c>
      <c r="AL19" s="4">
        <f>IFERROR(__xludf.DUMMYFUNCTION("""COMPUTED_VALUE"""),1991.3142857142857)</f>
        <v>1991.314286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 t="str">
        <f>IFERROR(__xludf.DUMMYFUNCTION("""COMPUTED_VALUE"""),"[IM] Link de Indicação")</f>
        <v>[IM] Link de Indicação</v>
      </c>
      <c r="B20" s="18">
        <f>IFERROR(__xludf.DUMMYFUNCTION("""COMPUTED_VALUE"""),71.29032258064512)</f>
        <v>71.29032258</v>
      </c>
      <c r="C20" s="19">
        <f>IFERROR(__xludf.DUMMYFUNCTION("""COMPUTED_VALUE"""),75.0)</f>
        <v>75</v>
      </c>
      <c r="D20" s="20">
        <f>IFERROR(__xludf.DUMMYFUNCTION("""COMPUTED_VALUE"""),3.7096774193548754)</f>
        <v>3.709677419</v>
      </c>
      <c r="E20" s="21">
        <f>IFERROR(__xludf.DUMMYFUNCTION("""COMPUTED_VALUE"""),0.05203619909502317)</f>
        <v>0.0520361991</v>
      </c>
      <c r="F20" s="22">
        <f>IFERROR(__xludf.DUMMYFUNCTION("""COMPUTED_VALUE"""),0.8)</f>
        <v>0.8</v>
      </c>
      <c r="G20" s="22">
        <f>IFERROR(__xludf.DUMMYFUNCTION("""COMPUTED_VALUE"""),0.8266666666666667)</f>
        <v>0.8266666667</v>
      </c>
      <c r="H20" s="23">
        <f>IFERROR(__xludf.DUMMYFUNCTION("""COMPUTED_VALUE"""),2.6666666666666616)</f>
        <v>2.666666667</v>
      </c>
      <c r="I20" s="18">
        <f>IFERROR(__xludf.DUMMYFUNCTION("""COMPUTED_VALUE"""),57.0322580645161)</f>
        <v>57.03225806</v>
      </c>
      <c r="J20" s="19">
        <f>IFERROR(__xludf.DUMMYFUNCTION("""COMPUTED_VALUE"""),62.0)</f>
        <v>62</v>
      </c>
      <c r="K20" s="20">
        <f>IFERROR(__xludf.DUMMYFUNCTION("""COMPUTED_VALUE"""),4.9677419354839)</f>
        <v>4.967741935</v>
      </c>
      <c r="L20" s="21">
        <f>IFERROR(__xludf.DUMMYFUNCTION("""COMPUTED_VALUE"""),0.08710407239819061)</f>
        <v>0.0871040724</v>
      </c>
      <c r="M20" s="24">
        <f>IFERROR(__xludf.DUMMYFUNCTION("""COMPUTED_VALUE"""),0.3076923076923077)</f>
        <v>0.3076923077</v>
      </c>
      <c r="N20" s="22">
        <f>IFERROR(__xludf.DUMMYFUNCTION("""COMPUTED_VALUE"""),0.3225806451612903)</f>
        <v>0.3225806452</v>
      </c>
      <c r="O20" s="25">
        <f>IFERROR(__xludf.DUMMYFUNCTION("""COMPUTED_VALUE"""),1.4888337468982604)</f>
        <v>1.488833747</v>
      </c>
      <c r="P20" s="18">
        <f>IFERROR(__xludf.DUMMYFUNCTION("""COMPUTED_VALUE"""),17.599999999999998)</f>
        <v>17.6</v>
      </c>
      <c r="Q20" s="19">
        <f>IFERROR(__xludf.DUMMYFUNCTION("""COMPUTED_VALUE"""),20.0)</f>
        <v>20</v>
      </c>
      <c r="R20" s="20">
        <f>IFERROR(__xludf.DUMMYFUNCTION("""COMPUTED_VALUE"""),2.400000000000002)</f>
        <v>2.4</v>
      </c>
      <c r="S20" s="26">
        <f>IFERROR(__xludf.DUMMYFUNCTION("""COMPUTED_VALUE"""),0.1363636363636365)</f>
        <v>0.1363636364</v>
      </c>
      <c r="T20" s="22">
        <f>IFERROR(__xludf.DUMMYFUNCTION("""COMPUTED_VALUE"""),0.192)</f>
        <v>0.192</v>
      </c>
      <c r="U20" s="22">
        <f>IFERROR(__xludf.DUMMYFUNCTION("""COMPUTED_VALUE"""),0.25)</f>
        <v>0.25</v>
      </c>
      <c r="V20" s="23">
        <f>IFERROR(__xludf.DUMMYFUNCTION("""COMPUTED_VALUE"""),5.8)</f>
        <v>5.8</v>
      </c>
      <c r="W20" s="18">
        <f>IFERROR(__xludf.DUMMYFUNCTION("""COMPUTED_VALUE"""),3.3791999999999995)</f>
        <v>3.3792</v>
      </c>
      <c r="X20" s="19">
        <f>IFERROR(__xludf.DUMMYFUNCTION("""COMPUTED_VALUE"""),5.0)</f>
        <v>5</v>
      </c>
      <c r="Y20" s="20">
        <f>IFERROR(__xludf.DUMMYFUNCTION("""COMPUTED_VALUE"""),1.6208000000000005)</f>
        <v>1.6208</v>
      </c>
      <c r="Z20" s="27">
        <f>IFERROR(__xludf.DUMMYFUNCTION("""COMPUTED_VALUE"""),0.4796401515151517)</f>
        <v>0.4796401515</v>
      </c>
      <c r="AA20" s="18">
        <f>IFERROR(__xludf.DUMMYFUNCTION("""COMPUTED_VALUE"""),23779.0)</f>
        <v>23779</v>
      </c>
      <c r="AB20" s="19">
        <f>IFERROR(__xludf.DUMMYFUNCTION("""COMPUTED_VALUE"""),30490.2)</f>
        <v>30490.2</v>
      </c>
      <c r="AC20" s="20">
        <f>IFERROR(__xludf.DUMMYFUNCTION("""COMPUTED_VALUE"""),6711.200000000001)</f>
        <v>6711.2</v>
      </c>
      <c r="AD20" s="27">
        <f>IFERROR(__xludf.DUMMYFUNCTION("""COMPUTED_VALUE"""),0.28223222170823)</f>
        <v>0.2822322217</v>
      </c>
      <c r="AE20" s="18">
        <f>IFERROR(__xludf.DUMMYFUNCTION("""COMPUTED_VALUE"""),62004.0658944)</f>
        <v>62004.06589</v>
      </c>
      <c r="AF20" s="19">
        <f>IFERROR(__xludf.DUMMYFUNCTION("""COMPUTED_VALUE"""),152451.0)</f>
        <v>152451</v>
      </c>
      <c r="AG20" s="20">
        <f>IFERROR(__xludf.DUMMYFUNCTION("""COMPUTED_VALUE"""),90446.9341056)</f>
        <v>90446.93411</v>
      </c>
      <c r="AH20" s="28">
        <f>IFERROR(__xludf.DUMMYFUNCTION("""COMPUTED_VALUE"""),1.4587258561340388)</f>
        <v>1.458725856</v>
      </c>
      <c r="AI20" s="29">
        <f>IFERROR(__xludf.DUMMYFUNCTION("""COMPUTED_VALUE"""),6978.634957816419)</f>
        <v>6978.634958</v>
      </c>
      <c r="AJ20" s="29">
        <f>IFERROR(__xludf.DUMMYFUNCTION("""COMPUTED_VALUE"""),65354.010461538455)</f>
        <v>65354.01046</v>
      </c>
      <c r="AK20" s="4">
        <f>IFERROR(__xludf.DUMMYFUNCTION("""COMPUTED_VALUE"""),4565.568)</f>
        <v>4565.568</v>
      </c>
      <c r="AL20" s="4">
        <f>IFERROR(__xludf.DUMMYFUNCTION("""COMPUTED_VALUE"""),7622.55)</f>
        <v>7622.55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 t="str">
        <f>IFERROR(__xludf.DUMMYFUNCTION("""COMPUTED_VALUE"""),"[SKL] CRM - Email")</f>
        <v>[SKL] CRM - Email</v>
      </c>
      <c r="B21" s="18">
        <f>IFERROR(__xludf.DUMMYFUNCTION("""COMPUTED_VALUE"""),180.11225806451603)</f>
        <v>180.1122581</v>
      </c>
      <c r="C21" s="19">
        <f>IFERROR(__xludf.DUMMYFUNCTION("""COMPUTED_VALUE"""),56.0)</f>
        <v>56</v>
      </c>
      <c r="D21" s="20">
        <f>IFERROR(__xludf.DUMMYFUNCTION("""COMPUTED_VALUE"""),-124.11225806451603)</f>
        <v>-124.1122581</v>
      </c>
      <c r="E21" s="21">
        <f>IFERROR(__xludf.DUMMYFUNCTION("""COMPUTED_VALUE"""),-0.6890827942430168)</f>
        <v>-0.6890827942</v>
      </c>
      <c r="F21" s="22">
        <f>IFERROR(__xludf.DUMMYFUNCTION("""COMPUTED_VALUE"""),0.7950310559006212)</f>
        <v>0.7950310559</v>
      </c>
      <c r="G21" s="22">
        <f>IFERROR(__xludf.DUMMYFUNCTION("""COMPUTED_VALUE"""),0.7678571428571429)</f>
        <v>0.7678571429</v>
      </c>
      <c r="H21" s="23">
        <f>IFERROR(__xludf.DUMMYFUNCTION("""COMPUTED_VALUE"""),-2.717391304347827)</f>
        <v>-2.717391304</v>
      </c>
      <c r="I21" s="18">
        <f>IFERROR(__xludf.DUMMYFUNCTION("""COMPUTED_VALUE"""),143.19483870967736)</f>
        <v>143.1948387</v>
      </c>
      <c r="J21" s="19">
        <f>IFERROR(__xludf.DUMMYFUNCTION("""COMPUTED_VALUE"""),43.0)</f>
        <v>43</v>
      </c>
      <c r="K21" s="20">
        <f>IFERROR(__xludf.DUMMYFUNCTION("""COMPUTED_VALUE"""),-100.19483870967736)</f>
        <v>-100.1948387</v>
      </c>
      <c r="L21" s="21">
        <f>IFERROR(__xludf.DUMMYFUNCTION("""COMPUTED_VALUE"""),-0.6997098471741636)</f>
        <v>-0.6997098472</v>
      </c>
      <c r="M21" s="24">
        <f>IFERROR(__xludf.DUMMYFUNCTION("""COMPUTED_VALUE"""),0.19140625)</f>
        <v>0.19140625</v>
      </c>
      <c r="N21" s="22">
        <f>IFERROR(__xludf.DUMMYFUNCTION("""COMPUTED_VALUE"""),0.27906976744186046)</f>
        <v>0.2790697674</v>
      </c>
      <c r="O21" s="25">
        <f>IFERROR(__xludf.DUMMYFUNCTION("""COMPUTED_VALUE"""),8.766351744186046)</f>
        <v>8.766351744</v>
      </c>
      <c r="P21" s="18">
        <f>IFERROR(__xludf.DUMMYFUNCTION("""COMPUTED_VALUE"""),27.488999999999997)</f>
        <v>27.489</v>
      </c>
      <c r="Q21" s="19">
        <f>IFERROR(__xludf.DUMMYFUNCTION("""COMPUTED_VALUE"""),12.0)</f>
        <v>12</v>
      </c>
      <c r="R21" s="20">
        <f>IFERROR(__xludf.DUMMYFUNCTION("""COMPUTED_VALUE"""),-15.488999999999997)</f>
        <v>-15.489</v>
      </c>
      <c r="S21" s="26">
        <f>IFERROR(__xludf.DUMMYFUNCTION("""COMPUTED_VALUE"""),-0.5634617483356978)</f>
        <v>-0.5634617483</v>
      </c>
      <c r="T21" s="22">
        <f>IFERROR(__xludf.DUMMYFUNCTION("""COMPUTED_VALUE"""),0.18)</f>
        <v>0.18</v>
      </c>
      <c r="U21" s="22">
        <f>IFERROR(__xludf.DUMMYFUNCTION("""COMPUTED_VALUE"""),0.08333333333333333)</f>
        <v>0.08333333333</v>
      </c>
      <c r="V21" s="23">
        <f>IFERROR(__xludf.DUMMYFUNCTION("""COMPUTED_VALUE"""),-9.666666666666666)</f>
        <v>-9.666666667</v>
      </c>
      <c r="W21" s="18">
        <f>IFERROR(__xludf.DUMMYFUNCTION("""COMPUTED_VALUE"""),4.948019999999999)</f>
        <v>4.94802</v>
      </c>
      <c r="X21" s="19">
        <f>IFERROR(__xludf.DUMMYFUNCTION("""COMPUTED_VALUE"""),1.0)</f>
        <v>1</v>
      </c>
      <c r="Y21" s="20">
        <f>IFERROR(__xludf.DUMMYFUNCTION("""COMPUTED_VALUE"""),-3.9480199999999988)</f>
        <v>-3.94802</v>
      </c>
      <c r="Z21" s="27">
        <f>IFERROR(__xludf.DUMMYFUNCTION("""COMPUTED_VALUE"""),-0.797898957562823)</f>
        <v>-0.7978989576</v>
      </c>
      <c r="AA21" s="18">
        <f>IFERROR(__xludf.DUMMYFUNCTION("""COMPUTED_VALUE"""),14970.0)</f>
        <v>14970</v>
      </c>
      <c r="AB21" s="19">
        <f>IFERROR(__xludf.DUMMYFUNCTION("""COMPUTED_VALUE"""),21900.0)</f>
        <v>21900</v>
      </c>
      <c r="AC21" s="20">
        <f>IFERROR(__xludf.DUMMYFUNCTION("""COMPUTED_VALUE"""),6930.0)</f>
        <v>6930</v>
      </c>
      <c r="AD21" s="27">
        <f>IFERROR(__xludf.DUMMYFUNCTION("""COMPUTED_VALUE"""),0.46292585170340683)</f>
        <v>0.4629258517</v>
      </c>
      <c r="AE21" s="18">
        <f>IFERROR(__xludf.DUMMYFUNCTION("""COMPUTED_VALUE"""),57156.54023519999)</f>
        <v>57156.54024</v>
      </c>
      <c r="AF21" s="19">
        <f>IFERROR(__xludf.DUMMYFUNCTION("""COMPUTED_VALUE"""),21900.0)</f>
        <v>21900</v>
      </c>
      <c r="AG21" s="20">
        <f>IFERROR(__xludf.DUMMYFUNCTION("""COMPUTED_VALUE"""),-35256.54023519999)</f>
        <v>-35256.54024</v>
      </c>
      <c r="AH21" s="28">
        <f>IFERROR(__xludf.DUMMYFUNCTION("""COMPUTED_VALUE"""),-0.6168417488203243)</f>
        <v>-0.6168417488</v>
      </c>
      <c r="AI21" s="29">
        <f>IFERROR(__xludf.DUMMYFUNCTION("""COMPUTED_VALUE"""),-51676.8187772177)</f>
        <v>-51676.81878</v>
      </c>
      <c r="AJ21" s="29">
        <f>IFERROR(__xludf.DUMMYFUNCTION("""COMPUTED_VALUE"""),-277.82109374999465)</f>
        <v>-277.8210937</v>
      </c>
      <c r="AK21" s="4">
        <f>IFERROR(__xludf.DUMMYFUNCTION("""COMPUTED_VALUE"""),2694.5999999999995)</f>
        <v>2694.6</v>
      </c>
      <c r="AL21" s="4">
        <f>IFERROR(__xludf.DUMMYFUNCTION("""COMPUTED_VALUE"""),1825.0)</f>
        <v>1825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 t="str">
        <f>IFERROR(__xludf.DUMMYFUNCTION("""COMPUTED_VALUE"""),"[SKL] Site")</f>
        <v>[SKL] Site</v>
      </c>
      <c r="B22" s="18">
        <f>IFERROR(__xludf.DUMMYFUNCTION("""COMPUTED_VALUE"""),114.61290322580639)</f>
        <v>114.6129032</v>
      </c>
      <c r="C22" s="19">
        <f>IFERROR(__xludf.DUMMYFUNCTION("""COMPUTED_VALUE"""),87.0)</f>
        <v>87</v>
      </c>
      <c r="D22" s="20">
        <f>IFERROR(__xludf.DUMMYFUNCTION("""COMPUTED_VALUE"""),-27.61290322580639)</f>
        <v>-27.61290323</v>
      </c>
      <c r="E22" s="21">
        <f>IFERROR(__xludf.DUMMYFUNCTION("""COMPUTED_VALUE"""),-0.24092316352378232)</f>
        <v>-0.2409231635</v>
      </c>
      <c r="F22" s="22">
        <f>IFERROR(__xludf.DUMMYFUNCTION("""COMPUTED_VALUE"""),0.8007968127490039)</f>
        <v>0.8007968127</v>
      </c>
      <c r="G22" s="22">
        <f>IFERROR(__xludf.DUMMYFUNCTION("""COMPUTED_VALUE"""),0.7816091954022989)</f>
        <v>0.7816091954</v>
      </c>
      <c r="H22" s="23">
        <f>IFERROR(__xludf.DUMMYFUNCTION("""COMPUTED_VALUE"""),-1.9187617346705044)</f>
        <v>-1.918761735</v>
      </c>
      <c r="I22" s="18">
        <f>IFERROR(__xludf.DUMMYFUNCTION("""COMPUTED_VALUE"""),91.7816476031358)</f>
        <v>91.7816476</v>
      </c>
      <c r="J22" s="19">
        <f>IFERROR(__xludf.DUMMYFUNCTION("""COMPUTED_VALUE"""),68.0)</f>
        <v>68</v>
      </c>
      <c r="K22" s="20">
        <f>IFERROR(__xludf.DUMMYFUNCTION("""COMPUTED_VALUE"""),-23.781647603135795)</f>
        <v>-23.7816476</v>
      </c>
      <c r="L22" s="21">
        <f>IFERROR(__xludf.DUMMYFUNCTION("""COMPUTED_VALUE"""),-0.2591111428503412)</f>
        <v>-0.2591111429</v>
      </c>
      <c r="M22" s="24">
        <f>IFERROR(__xludf.DUMMYFUNCTION("""COMPUTED_VALUE"""),0.21393034825870647)</f>
        <v>0.2139303483</v>
      </c>
      <c r="N22" s="22">
        <f>IFERROR(__xludf.DUMMYFUNCTION("""COMPUTED_VALUE"""),0.16176470588235295)</f>
        <v>0.1617647059</v>
      </c>
      <c r="O22" s="25">
        <f>IFERROR(__xludf.DUMMYFUNCTION("""COMPUTED_VALUE"""),-5.216564237635351)</f>
        <v>-5.216564238</v>
      </c>
      <c r="P22" s="18">
        <f>IFERROR(__xludf.DUMMYFUNCTION("""COMPUTED_VALUE"""),19.69262948207171)</f>
        <v>19.69262948</v>
      </c>
      <c r="Q22" s="19">
        <f>IFERROR(__xludf.DUMMYFUNCTION("""COMPUTED_VALUE"""),11.0)</f>
        <v>11</v>
      </c>
      <c r="R22" s="20">
        <f>IFERROR(__xludf.DUMMYFUNCTION("""COMPUTED_VALUE"""),-8.692629482071709)</f>
        <v>-8.692629482</v>
      </c>
      <c r="S22" s="26">
        <f>IFERROR(__xludf.DUMMYFUNCTION("""COMPUTED_VALUE"""),-0.4414153777678868)</f>
        <v>-0.4414153778</v>
      </c>
      <c r="T22" s="22">
        <f>IFERROR(__xludf.DUMMYFUNCTION("""COMPUTED_VALUE"""),0.20930232558139536)</f>
        <v>0.2093023256</v>
      </c>
      <c r="U22" s="22">
        <f>IFERROR(__xludf.DUMMYFUNCTION("""COMPUTED_VALUE"""),0.2727272727272727)</f>
        <v>0.2727272727</v>
      </c>
      <c r="V22" s="23">
        <f>IFERROR(__xludf.DUMMYFUNCTION("""COMPUTED_VALUE"""),6.342494714587735)</f>
        <v>6.342494715</v>
      </c>
      <c r="W22" s="18">
        <f>IFERROR(__xludf.DUMMYFUNCTION("""COMPUTED_VALUE"""),4.121713147410357)</f>
        <v>4.121713147</v>
      </c>
      <c r="X22" s="19">
        <f>IFERROR(__xludf.DUMMYFUNCTION("""COMPUTED_VALUE"""),3.0)</f>
        <v>3</v>
      </c>
      <c r="Y22" s="20">
        <f>IFERROR(__xludf.DUMMYFUNCTION("""COMPUTED_VALUE"""),-1.1217131474103574)</f>
        <v>-1.121713147</v>
      </c>
      <c r="Z22" s="27">
        <f>IFERROR(__xludf.DUMMYFUNCTION("""COMPUTED_VALUE"""),-0.2721473104248222)</f>
        <v>-0.2721473104</v>
      </c>
      <c r="AA22" s="18">
        <f>IFERROR(__xludf.DUMMYFUNCTION("""COMPUTED_VALUE"""),17555.0)</f>
        <v>17555</v>
      </c>
      <c r="AB22" s="19">
        <f>IFERROR(__xludf.DUMMYFUNCTION("""COMPUTED_VALUE"""),11251.5)</f>
        <v>11251.5</v>
      </c>
      <c r="AC22" s="20">
        <f>IFERROR(__xludf.DUMMYFUNCTION("""COMPUTED_VALUE"""),-6303.5)</f>
        <v>-6303.5</v>
      </c>
      <c r="AD22" s="27">
        <f>IFERROR(__xludf.DUMMYFUNCTION("""COMPUTED_VALUE"""),-0.3590714896041014)</f>
        <v>-0.3590714896</v>
      </c>
      <c r="AE22" s="18">
        <f>IFERROR(__xludf.DUMMYFUNCTION("""COMPUTED_VALUE"""),55833.0410438247)</f>
        <v>55833.04104</v>
      </c>
      <c r="AF22" s="19">
        <f>IFERROR(__xludf.DUMMYFUNCTION("""COMPUTED_VALUE"""),33754.5)</f>
        <v>33754.5</v>
      </c>
      <c r="AG22" s="20">
        <f>IFERROR(__xludf.DUMMYFUNCTION("""COMPUTED_VALUE"""),-22078.541043824698)</f>
        <v>-22078.54104</v>
      </c>
      <c r="AH22" s="28">
        <f>IFERROR(__xludf.DUMMYFUNCTION("""COMPUTED_VALUE"""),-0.39543862614423453)</f>
        <v>-0.3954386261</v>
      </c>
      <c r="AI22" s="29">
        <f>IFERROR(__xludf.DUMMYFUNCTION("""COMPUTED_VALUE"""),-18693.43986595741)</f>
        <v>-18693.43987</v>
      </c>
      <c r="AJ22" s="29">
        <f>IFERROR(__xludf.DUMMYFUNCTION("""COMPUTED_VALUE"""),-19696.5447761194)</f>
        <v>-19696.54478</v>
      </c>
      <c r="AK22" s="4">
        <f>IFERROR(__xludf.DUMMYFUNCTION("""COMPUTED_VALUE"""),3674.3023255813955)</f>
        <v>3674.302326</v>
      </c>
      <c r="AL22" s="4">
        <f>IFERROR(__xludf.DUMMYFUNCTION("""COMPUTED_VALUE"""),3068.590909090909)</f>
        <v>3068.590909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 t="str">
        <f>IFERROR(__xludf.DUMMYFUNCTION("""COMPUTED_VALUE"""),"Form G4 Incompleto Outros")</f>
        <v>Form G4 Incompleto Outros</v>
      </c>
      <c r="B23" s="18">
        <f>IFERROR(__xludf.DUMMYFUNCTION("""COMPUTED_VALUE"""),383.8709677419353)</f>
        <v>383.8709677</v>
      </c>
      <c r="C23" s="19">
        <f>IFERROR(__xludf.DUMMYFUNCTION("""COMPUTED_VALUE"""),261.0)</f>
        <v>261</v>
      </c>
      <c r="D23" s="20">
        <f>IFERROR(__xludf.DUMMYFUNCTION("""COMPUTED_VALUE"""),-122.87096774193532)</f>
        <v>-122.8709677</v>
      </c>
      <c r="E23" s="21">
        <f>IFERROR(__xludf.DUMMYFUNCTION("""COMPUTED_VALUE"""),-0.32008403361344506)</f>
        <v>-0.3200840336</v>
      </c>
      <c r="F23" s="22">
        <f>IFERROR(__xludf.DUMMYFUNCTION("""COMPUTED_VALUE"""),0.560790273556231)</f>
        <v>0.5607902736</v>
      </c>
      <c r="G23" s="22">
        <f>IFERROR(__xludf.DUMMYFUNCTION("""COMPUTED_VALUE"""),0.5900383141762452)</f>
        <v>0.5900383142</v>
      </c>
      <c r="H23" s="23">
        <f>IFERROR(__xludf.DUMMYFUNCTION("""COMPUTED_VALUE"""),2.924804062001418)</f>
        <v>2.924804062</v>
      </c>
      <c r="I23" s="18">
        <f>IFERROR(__xludf.DUMMYFUNCTION("""COMPUTED_VALUE"""),215.27110501029503)</f>
        <v>215.271105</v>
      </c>
      <c r="J23" s="19">
        <f>IFERROR(__xludf.DUMMYFUNCTION("""COMPUTED_VALUE"""),154.0)</f>
        <v>154</v>
      </c>
      <c r="K23" s="20">
        <f>IFERROR(__xludf.DUMMYFUNCTION("""COMPUTED_VALUE"""),-61.27110501029503)</f>
        <v>-61.27110501</v>
      </c>
      <c r="L23" s="21">
        <f>IFERROR(__xludf.DUMMYFUNCTION("""COMPUTED_VALUE"""),-0.28462298740634434)</f>
        <v>-0.2846229874</v>
      </c>
      <c r="M23" s="24">
        <f>IFERROR(__xludf.DUMMYFUNCTION("""COMPUTED_VALUE"""),0.18247515808491416)</f>
        <v>0.1824751581</v>
      </c>
      <c r="N23" s="22">
        <f>IFERROR(__xludf.DUMMYFUNCTION("""COMPUTED_VALUE"""),0.19480519480519481)</f>
        <v>0.1948051948</v>
      </c>
      <c r="O23" s="25">
        <f>IFERROR(__xludf.DUMMYFUNCTION("""COMPUTED_VALUE"""),1.2330036720280657)</f>
        <v>1.233003672</v>
      </c>
      <c r="P23" s="18">
        <f>IFERROR(__xludf.DUMMYFUNCTION("""COMPUTED_VALUE"""),39.39716312056736)</f>
        <v>39.39716312</v>
      </c>
      <c r="Q23" s="19">
        <f>IFERROR(__xludf.DUMMYFUNCTION("""COMPUTED_VALUE"""),30.0)</f>
        <v>30</v>
      </c>
      <c r="R23" s="20">
        <f>IFERROR(__xludf.DUMMYFUNCTION("""COMPUTED_VALUE"""),-9.397163120567363)</f>
        <v>-9.397163121</v>
      </c>
      <c r="S23" s="26">
        <f>IFERROR(__xludf.DUMMYFUNCTION("""COMPUTED_VALUE"""),-0.23852385238523827)</f>
        <v>-0.2385238524</v>
      </c>
      <c r="T23" s="22">
        <f>IFERROR(__xludf.DUMMYFUNCTION("""COMPUTED_VALUE"""),0.10891089108910892)</f>
        <v>0.1089108911</v>
      </c>
      <c r="U23" s="22">
        <f>IFERROR(__xludf.DUMMYFUNCTION("""COMPUTED_VALUE"""),0.03333333333333333)</f>
        <v>0.03333333333</v>
      </c>
      <c r="V23" s="23">
        <f>IFERROR(__xludf.DUMMYFUNCTION("""COMPUTED_VALUE"""),-7.55775577557756)</f>
        <v>-7.557755776</v>
      </c>
      <c r="W23" s="18">
        <f>IFERROR(__xludf.DUMMYFUNCTION("""COMPUTED_VALUE"""),4.290780141843971)</f>
        <v>4.290780142</v>
      </c>
      <c r="X23" s="19">
        <f>IFERROR(__xludf.DUMMYFUNCTION("""COMPUTED_VALUE"""),1.0)</f>
        <v>1</v>
      </c>
      <c r="Y23" s="20">
        <f>IFERROR(__xludf.DUMMYFUNCTION("""COMPUTED_VALUE"""),-3.290780141843971)</f>
        <v>-3.290780142</v>
      </c>
      <c r="Z23" s="27">
        <f>IFERROR(__xludf.DUMMYFUNCTION("""COMPUTED_VALUE"""),-0.7669421487603305)</f>
        <v>-0.7669421488</v>
      </c>
      <c r="AA23" s="18">
        <f>IFERROR(__xludf.DUMMYFUNCTION("""COMPUTED_VALUE"""),15786.0)</f>
        <v>15786</v>
      </c>
      <c r="AB23" s="19">
        <f>IFERROR(__xludf.DUMMYFUNCTION("""COMPUTED_VALUE"""),38106.0)</f>
        <v>38106</v>
      </c>
      <c r="AC23" s="20">
        <f>IFERROR(__xludf.DUMMYFUNCTION("""COMPUTED_VALUE"""),22320.0)</f>
        <v>22320</v>
      </c>
      <c r="AD23" s="27">
        <f>IFERROR(__xludf.DUMMYFUNCTION("""COMPUTED_VALUE"""),1.4139110604332954)</f>
        <v>1.41391106</v>
      </c>
      <c r="AE23" s="18">
        <f>IFERROR(__xludf.DUMMYFUNCTION("""COMPUTED_VALUE"""),52266.214468085105)</f>
        <v>52266.21447</v>
      </c>
      <c r="AF23" s="19">
        <f>IFERROR(__xludf.DUMMYFUNCTION("""COMPUTED_VALUE"""),38106.0)</f>
        <v>38106</v>
      </c>
      <c r="AG23" s="20">
        <f>IFERROR(__xludf.DUMMYFUNCTION("""COMPUTED_VALUE"""),-14160.214468085105)</f>
        <v>-14160.21447</v>
      </c>
      <c r="AH23" s="28">
        <f>IFERROR(__xludf.DUMMYFUNCTION("""COMPUTED_VALUE"""),-0.2709248146664925)</f>
        <v>-0.2709248147</v>
      </c>
      <c r="AI23" s="29">
        <f>IFERROR(__xludf.DUMMYFUNCTION("""COMPUTED_VALUE"""),-19222.19024501841)</f>
        <v>-19222.19025</v>
      </c>
      <c r="AJ23" s="29">
        <f>IFERROR(__xludf.DUMMYFUNCTION("""COMPUTED_VALUE"""),-10207.430894308938)</f>
        <v>-10207.43089</v>
      </c>
      <c r="AK23" s="4">
        <f>IFERROR(__xludf.DUMMYFUNCTION("""COMPUTED_VALUE"""),1719.2673267326736)</f>
        <v>1719.267327</v>
      </c>
      <c r="AL23" s="4">
        <f>IFERROR(__xludf.DUMMYFUNCTION("""COMPUTED_VALUE"""),1270.2)</f>
        <v>1270.2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 t="str">
        <f>IFERROR(__xludf.DUMMYFUNCTION("""COMPUTED_VALUE"""),"[ON] Abandono de carrinho")</f>
        <v>[ON] Abandono de carrinho</v>
      </c>
      <c r="B24" s="18">
        <f>IFERROR(__xludf.DUMMYFUNCTION("""COMPUTED_VALUE"""),177.67741935483863)</f>
        <v>177.6774194</v>
      </c>
      <c r="C24" s="19">
        <f>IFERROR(__xludf.DUMMYFUNCTION("""COMPUTED_VALUE"""),121.0)</f>
        <v>121</v>
      </c>
      <c r="D24" s="20">
        <f>IFERROR(__xludf.DUMMYFUNCTION("""COMPUTED_VALUE"""),-56.677419354838634)</f>
        <v>-56.67741935</v>
      </c>
      <c r="E24" s="21">
        <f>IFERROR(__xludf.DUMMYFUNCTION("""COMPUTED_VALUE"""),-0.3189905591866373)</f>
        <v>-0.3189905592</v>
      </c>
      <c r="F24" s="22">
        <f>IFERROR(__xludf.DUMMYFUNCTION("""COMPUTED_VALUE"""),0.6977848101265823)</f>
        <v>0.6977848101</v>
      </c>
      <c r="G24" s="22">
        <f>IFERROR(__xludf.DUMMYFUNCTION("""COMPUTED_VALUE"""),0.6446280991735537)</f>
        <v>0.6446280992</v>
      </c>
      <c r="H24" s="23">
        <f>IFERROR(__xludf.DUMMYFUNCTION("""COMPUTED_VALUE"""),-5.315671095302865)</f>
        <v>-5.315671095</v>
      </c>
      <c r="I24" s="18">
        <f>IFERROR(__xludf.DUMMYFUNCTION("""COMPUTED_VALUE"""),123.98060432829722)</f>
        <v>123.9806043</v>
      </c>
      <c r="J24" s="19">
        <f>IFERROR(__xludf.DUMMYFUNCTION("""COMPUTED_VALUE"""),78.0)</f>
        <v>78</v>
      </c>
      <c r="K24" s="20">
        <f>IFERROR(__xludf.DUMMYFUNCTION("""COMPUTED_VALUE"""),-45.98060432829722)</f>
        <v>-45.98060433</v>
      </c>
      <c r="L24" s="21">
        <f>IFERROR(__xludf.DUMMYFUNCTION("""COMPUTED_VALUE"""),-0.37086933538847616)</f>
        <v>-0.3708693354</v>
      </c>
      <c r="M24" s="24">
        <f>IFERROR(__xludf.DUMMYFUNCTION("""COMPUTED_VALUE"""),0.213)</f>
        <v>0.213</v>
      </c>
      <c r="N24" s="22">
        <f>IFERROR(__xludf.DUMMYFUNCTION("""COMPUTED_VALUE"""),0.15384615384615385)</f>
        <v>0.1538461538</v>
      </c>
      <c r="O24" s="25">
        <f>IFERROR(__xludf.DUMMYFUNCTION("""COMPUTED_VALUE"""),-5.915384615384614)</f>
        <v>-5.915384615</v>
      </c>
      <c r="P24" s="18">
        <f>IFERROR(__xludf.DUMMYFUNCTION("""COMPUTED_VALUE"""),26.485538924050633)</f>
        <v>26.48553892</v>
      </c>
      <c r="Q24" s="19">
        <f>IFERROR(__xludf.DUMMYFUNCTION("""COMPUTED_VALUE"""),12.0)</f>
        <v>12</v>
      </c>
      <c r="R24" s="20">
        <f>IFERROR(__xludf.DUMMYFUNCTION("""COMPUTED_VALUE"""),-14.485538924050633)</f>
        <v>-14.48553892</v>
      </c>
      <c r="S24" s="26">
        <f>IFERROR(__xludf.DUMMYFUNCTION("""COMPUTED_VALUE"""),-0.5469225665216425)</f>
        <v>-0.5469225665</v>
      </c>
      <c r="T24" s="22">
        <f>IFERROR(__xludf.DUMMYFUNCTION("""COMPUTED_VALUE"""),0.718)</f>
        <v>0.718</v>
      </c>
      <c r="U24" s="22">
        <f>IFERROR(__xludf.DUMMYFUNCTION("""COMPUTED_VALUE"""),0.6666666666666666)</f>
        <v>0.6666666667</v>
      </c>
      <c r="V24" s="23">
        <f>IFERROR(__xludf.DUMMYFUNCTION("""COMPUTED_VALUE"""),-5.133333333333335)</f>
        <v>-5.133333333</v>
      </c>
      <c r="W24" s="18">
        <f>IFERROR(__xludf.DUMMYFUNCTION("""COMPUTED_VALUE"""),19.016616947468354)</f>
        <v>19.01661695</v>
      </c>
      <c r="X24" s="19">
        <f>IFERROR(__xludf.DUMMYFUNCTION("""COMPUTED_VALUE"""),8.0)</f>
        <v>8</v>
      </c>
      <c r="Y24" s="20">
        <f>IFERROR(__xludf.DUMMYFUNCTION("""COMPUTED_VALUE"""),-11.016616947468354)</f>
        <v>-11.01661695</v>
      </c>
      <c r="Z24" s="27">
        <f>IFERROR(__xludf.DUMMYFUNCTION("""COMPUTED_VALUE"""),-0.5793152892494359)</f>
        <v>-0.5793152892</v>
      </c>
      <c r="AA24" s="18">
        <f>IFERROR(__xludf.DUMMYFUNCTION("""COMPUTED_VALUE"""),3046.0)</f>
        <v>3046</v>
      </c>
      <c r="AB24" s="19">
        <f>IFERROR(__xludf.DUMMYFUNCTION("""COMPUTED_VALUE"""),1984.1625061035156)</f>
        <v>1984.162506</v>
      </c>
      <c r="AC24" s="20">
        <f>IFERROR(__xludf.DUMMYFUNCTION("""COMPUTED_VALUE"""),-1061.8374938964844)</f>
        <v>-1061.837494</v>
      </c>
      <c r="AD24" s="27">
        <f>IFERROR(__xludf.DUMMYFUNCTION("""COMPUTED_VALUE"""),-0.34860062176509665)</f>
        <v>-0.3486006218</v>
      </c>
      <c r="AE24" s="18">
        <f>IFERROR(__xludf.DUMMYFUNCTION("""COMPUTED_VALUE"""),44696.73945493085)</f>
        <v>44696.73945</v>
      </c>
      <c r="AF24" s="19">
        <f>IFERROR(__xludf.DUMMYFUNCTION("""COMPUTED_VALUE"""),15873.300048828125)</f>
        <v>15873.30005</v>
      </c>
      <c r="AG24" s="20">
        <f>IFERROR(__xludf.DUMMYFUNCTION("""COMPUTED_VALUE"""),-28823.439406102727)</f>
        <v>-28823.43941</v>
      </c>
      <c r="AH24" s="28">
        <f>IFERROR(__xludf.DUMMYFUNCTION("""COMPUTED_VALUE"""),-0.6448667119257394)</f>
        <v>-0.6448667119</v>
      </c>
      <c r="AI24" s="29">
        <f>IFERROR(__xludf.DUMMYFUNCTION("""COMPUTED_VALUE"""),-21419.465123179238)</f>
        <v>-21419.46512</v>
      </c>
      <c r="AJ24" s="29">
        <f>IFERROR(__xludf.DUMMYFUNCTION("""COMPUTED_VALUE"""),-20461.98314317188)</f>
        <v>-20461.98314</v>
      </c>
      <c r="AK24" s="4">
        <f>IFERROR(__xludf.DUMMYFUNCTION("""COMPUTED_VALUE"""),2187.0280000000002)</f>
        <v>2187.028</v>
      </c>
      <c r="AL24" s="4">
        <f>IFERROR(__xludf.DUMMYFUNCTION("""COMPUTED_VALUE"""),1322.7750040690105)</f>
        <v>1322.775004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 t="str">
        <f>IFERROR(__xludf.DUMMYFUNCTION("""COMPUTED_VALUE"""),"[IM] Form G4 Facebook Ads - K")</f>
        <v>[IM] Form G4 Facebook Ads - K</v>
      </c>
      <c r="B25" s="18">
        <f>IFERROR(__xludf.DUMMYFUNCTION("""COMPUTED_VALUE"""),154.97419354838703)</f>
        <v>154.9741935</v>
      </c>
      <c r="C25" s="19">
        <f>IFERROR(__xludf.DUMMYFUNCTION("""COMPUTED_VALUE"""),217.0)</f>
        <v>217</v>
      </c>
      <c r="D25" s="20">
        <f>IFERROR(__xludf.DUMMYFUNCTION("""COMPUTED_VALUE"""),62.025806451612965)</f>
        <v>62.02580645</v>
      </c>
      <c r="E25" s="21">
        <f>IFERROR(__xludf.DUMMYFUNCTION("""COMPUTED_VALUE"""),0.40023312934515687)</f>
        <v>0.4002331293</v>
      </c>
      <c r="F25" s="22">
        <f>IFERROR(__xludf.DUMMYFUNCTION("""COMPUTED_VALUE"""),0.60828025477707)</f>
        <v>0.6082802548</v>
      </c>
      <c r="G25" s="22">
        <f>IFERROR(__xludf.DUMMYFUNCTION("""COMPUTED_VALUE"""),0.5852534562211982)</f>
        <v>0.5852534562</v>
      </c>
      <c r="H25" s="23">
        <f>IFERROR(__xludf.DUMMYFUNCTION("""COMPUTED_VALUE"""),-2.3026798555871864)</f>
        <v>-2.302679856</v>
      </c>
      <c r="I25" s="18">
        <f>IFERROR(__xludf.DUMMYFUNCTION("""COMPUTED_VALUE"""),94.26774193548383)</f>
        <v>94.26774194</v>
      </c>
      <c r="J25" s="19">
        <f>IFERROR(__xludf.DUMMYFUNCTION("""COMPUTED_VALUE"""),127.0)</f>
        <v>127</v>
      </c>
      <c r="K25" s="20">
        <f>IFERROR(__xludf.DUMMYFUNCTION("""COMPUTED_VALUE"""),32.732258064516174)</f>
        <v>32.73225806</v>
      </c>
      <c r="L25" s="21">
        <f>IFERROR(__xludf.DUMMYFUNCTION("""COMPUTED_VALUE"""),0.34722649967491426)</f>
        <v>0.3472264997</v>
      </c>
      <c r="M25" s="24">
        <f>IFERROR(__xludf.DUMMYFUNCTION("""COMPUTED_VALUE"""),0.26947643979057595)</f>
        <v>0.2694764398</v>
      </c>
      <c r="N25" s="22">
        <f>IFERROR(__xludf.DUMMYFUNCTION("""COMPUTED_VALUE"""),0.2283464566929134)</f>
        <v>0.2283464567</v>
      </c>
      <c r="O25" s="25">
        <f>IFERROR(__xludf.DUMMYFUNCTION("""COMPUTED_VALUE"""),-4.1129983097662555)</f>
        <v>-4.11299831</v>
      </c>
      <c r="P25" s="18">
        <f>IFERROR(__xludf.DUMMYFUNCTION("""COMPUTED_VALUE"""),25.47765)</f>
        <v>25.47765</v>
      </c>
      <c r="Q25" s="19">
        <f>IFERROR(__xludf.DUMMYFUNCTION("""COMPUTED_VALUE"""),29.0)</f>
        <v>29</v>
      </c>
      <c r="R25" s="20">
        <f>IFERROR(__xludf.DUMMYFUNCTION("""COMPUTED_VALUE"""),3.5223499999999994)</f>
        <v>3.52235</v>
      </c>
      <c r="S25" s="26">
        <f>IFERROR(__xludf.DUMMYFUNCTION("""COMPUTED_VALUE"""),0.13825254684007354)</f>
        <v>0.1382525468</v>
      </c>
      <c r="T25" s="22">
        <f>IFERROR(__xludf.DUMMYFUNCTION("""COMPUTED_VALUE"""),0.15789473684210525)</f>
        <v>0.1578947368</v>
      </c>
      <c r="U25" s="22">
        <f>IFERROR(__xludf.DUMMYFUNCTION("""COMPUTED_VALUE"""),0.10344827586206896)</f>
        <v>0.1034482759</v>
      </c>
      <c r="V25" s="23">
        <f>IFERROR(__xludf.DUMMYFUNCTION("""COMPUTED_VALUE"""),-5.444646098003629)</f>
        <v>-5.444646098</v>
      </c>
      <c r="W25" s="18">
        <f>IFERROR(__xludf.DUMMYFUNCTION("""COMPUTED_VALUE"""),4.022786842105263)</f>
        <v>4.022786842</v>
      </c>
      <c r="X25" s="19">
        <f>IFERROR(__xludf.DUMMYFUNCTION("""COMPUTED_VALUE"""),3.0)</f>
        <v>3</v>
      </c>
      <c r="Y25" s="20">
        <f>IFERROR(__xludf.DUMMYFUNCTION("""COMPUTED_VALUE"""),-1.0227868421052628)</f>
        <v>-1.022786842</v>
      </c>
      <c r="Z25" s="27">
        <f>IFERROR(__xludf.DUMMYFUNCTION("""COMPUTED_VALUE"""),-0.2542483313806414)</f>
        <v>-0.2542483314</v>
      </c>
      <c r="AA25" s="18">
        <f>IFERROR(__xludf.DUMMYFUNCTION("""COMPUTED_VALUE"""),14341.0)</f>
        <v>14341</v>
      </c>
      <c r="AB25" s="19">
        <f>IFERROR(__xludf.DUMMYFUNCTION("""COMPUTED_VALUE"""),3230.3333333333335)</f>
        <v>3230.333333</v>
      </c>
      <c r="AC25" s="20">
        <f>IFERROR(__xludf.DUMMYFUNCTION("""COMPUTED_VALUE"""),-11110.666666666666)</f>
        <v>-11110.66667</v>
      </c>
      <c r="AD25" s="27">
        <f>IFERROR(__xludf.DUMMYFUNCTION("""COMPUTED_VALUE"""),-0.7747483903958348)</f>
        <v>-0.7747483904</v>
      </c>
      <c r="AE25" s="18">
        <f>IFERROR(__xludf.DUMMYFUNCTION("""COMPUTED_VALUE"""),44516.308403557894)</f>
        <v>44516.3084</v>
      </c>
      <c r="AF25" s="19">
        <f>IFERROR(__xludf.DUMMYFUNCTION("""COMPUTED_VALUE"""),9691.0)</f>
        <v>9691</v>
      </c>
      <c r="AG25" s="20">
        <f>IFERROR(__xludf.DUMMYFUNCTION("""COMPUTED_VALUE"""),-34825.308403557894)</f>
        <v>-34825.3084</v>
      </c>
      <c r="AH25" s="28">
        <f>IFERROR(__xludf.DUMMYFUNCTION("""COMPUTED_VALUE"""),-0.782304500360918)</f>
        <v>-0.7823045004</v>
      </c>
      <c r="AI25" s="29">
        <f>IFERROR(__xludf.DUMMYFUNCTION("""COMPUTED_VALUE"""),19973.025529178063)</f>
        <v>19973.02553</v>
      </c>
      <c r="AJ25" s="29">
        <f>IFERROR(__xludf.DUMMYFUNCTION("""COMPUTED_VALUE"""),-67803.6304408928)</f>
        <v>-67803.63044</v>
      </c>
      <c r="AK25" s="4">
        <f>IFERROR(__xludf.DUMMYFUNCTION("""COMPUTED_VALUE"""),2264.368421052631)</f>
        <v>2264.368421</v>
      </c>
      <c r="AL25" s="4">
        <f>IFERROR(__xludf.DUMMYFUNCTION("""COMPUTED_VALUE"""),334.17241379310343)</f>
        <v>334.1724138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 t="str">
        <f>IFERROR(__xludf.DUMMYFUNCTION("""COMPUTED_VALUE"""),"[SKL] Social")</f>
        <v>[SKL] Social</v>
      </c>
      <c r="B26" s="18">
        <f>IFERROR(__xludf.DUMMYFUNCTION("""COMPUTED_VALUE"""),219.35483870967732)</f>
        <v>219.3548387</v>
      </c>
      <c r="C26" s="19">
        <f>IFERROR(__xludf.DUMMYFUNCTION("""COMPUTED_VALUE"""),70.0)</f>
        <v>70</v>
      </c>
      <c r="D26" s="20">
        <f>IFERROR(__xludf.DUMMYFUNCTION("""COMPUTED_VALUE"""),-149.35483870967732)</f>
        <v>-149.3548387</v>
      </c>
      <c r="E26" s="21">
        <f>IFERROR(__xludf.DUMMYFUNCTION("""COMPUTED_VALUE"""),-0.6808823529411764)</f>
        <v>-0.6808823529</v>
      </c>
      <c r="F26" s="22">
        <f>IFERROR(__xludf.DUMMYFUNCTION("""COMPUTED_VALUE"""),0.7569528415961305)</f>
        <v>0.7569528416</v>
      </c>
      <c r="G26" s="22">
        <f>IFERROR(__xludf.DUMMYFUNCTION("""COMPUTED_VALUE"""),0.8)</f>
        <v>0.8</v>
      </c>
      <c r="H26" s="23">
        <f>IFERROR(__xludf.DUMMYFUNCTION("""COMPUTED_VALUE"""),4.304715840386953)</f>
        <v>4.30471584</v>
      </c>
      <c r="I26" s="18">
        <f>IFERROR(__xludf.DUMMYFUNCTION("""COMPUTED_VALUE"""),166.04126847915114)</f>
        <v>166.0412685</v>
      </c>
      <c r="J26" s="19">
        <f>IFERROR(__xludf.DUMMYFUNCTION("""COMPUTED_VALUE"""),56.0)</f>
        <v>56</v>
      </c>
      <c r="K26" s="20">
        <f>IFERROR(__xludf.DUMMYFUNCTION("""COMPUTED_VALUE"""),-110.04126847915114)</f>
        <v>-110.0412685</v>
      </c>
      <c r="L26" s="21">
        <f>IFERROR(__xludf.DUMMYFUNCTION("""COMPUTED_VALUE"""),-0.6627344484119525)</f>
        <v>-0.6627344484</v>
      </c>
      <c r="M26" s="24">
        <f>IFERROR(__xludf.DUMMYFUNCTION("""COMPUTED_VALUE"""),0.16134185303514376)</f>
        <v>0.161341853</v>
      </c>
      <c r="N26" s="22">
        <f>IFERROR(__xludf.DUMMYFUNCTION("""COMPUTED_VALUE"""),0.26785714285714285)</f>
        <v>0.2678571429</v>
      </c>
      <c r="O26" s="25">
        <f>IFERROR(__xludf.DUMMYFUNCTION("""COMPUTED_VALUE"""),10.65152898219991)</f>
        <v>10.65152898</v>
      </c>
      <c r="P26" s="18">
        <f>IFERROR(__xludf.DUMMYFUNCTION("""COMPUTED_VALUE"""),26.86819830713421)</f>
        <v>26.86819831</v>
      </c>
      <c r="Q26" s="19">
        <f>IFERROR(__xludf.DUMMYFUNCTION("""COMPUTED_VALUE"""),15.0)</f>
        <v>15</v>
      </c>
      <c r="R26" s="20">
        <f>IFERROR(__xludf.DUMMYFUNCTION("""COMPUTED_VALUE"""),-11.868198307134211)</f>
        <v>-11.86819831</v>
      </c>
      <c r="S26" s="26">
        <f>IFERROR(__xludf.DUMMYFUNCTION("""COMPUTED_VALUE"""),-0.4417191719171915)</f>
        <v>-0.4417191719</v>
      </c>
      <c r="T26" s="22">
        <f>IFERROR(__xludf.DUMMYFUNCTION("""COMPUTED_VALUE"""),0.11881188118811879)</f>
        <v>0.1188118812</v>
      </c>
      <c r="U26" s="22">
        <f>IFERROR(__xludf.DUMMYFUNCTION("""COMPUTED_VALUE"""),0.13333333333333333)</f>
        <v>0.1333333333</v>
      </c>
      <c r="V26" s="23">
        <f>IFERROR(__xludf.DUMMYFUNCTION("""COMPUTED_VALUE"""),1.452145214521454)</f>
        <v>1.452145215</v>
      </c>
      <c r="W26" s="18">
        <f>IFERROR(__xludf.DUMMYFUNCTION("""COMPUTED_VALUE"""),3.192261185006045)</f>
        <v>3.192261185</v>
      </c>
      <c r="X26" s="19">
        <f>IFERROR(__xludf.DUMMYFUNCTION("""COMPUTED_VALUE"""),2.0)</f>
        <v>2</v>
      </c>
      <c r="Y26" s="20">
        <f>IFERROR(__xludf.DUMMYFUNCTION("""COMPUTED_VALUE"""),-1.192261185006045)</f>
        <v>-1.192261185</v>
      </c>
      <c r="Z26" s="27">
        <f>IFERROR(__xludf.DUMMYFUNCTION("""COMPUTED_VALUE"""),-0.3734848484848483)</f>
        <v>-0.3734848485</v>
      </c>
      <c r="AA26" s="18">
        <f>IFERROR(__xludf.DUMMYFUNCTION("""COMPUTED_VALUE"""),17000.0)</f>
        <v>17000</v>
      </c>
      <c r="AB26" s="19">
        <f>IFERROR(__xludf.DUMMYFUNCTION("""COMPUTED_VALUE"""),4548.5)</f>
        <v>4548.5</v>
      </c>
      <c r="AC26" s="20">
        <f>IFERROR(__xludf.DUMMYFUNCTION("""COMPUTED_VALUE"""),-12451.5)</f>
        <v>-12451.5</v>
      </c>
      <c r="AD26" s="27">
        <f>IFERROR(__xludf.DUMMYFUNCTION("""COMPUTED_VALUE"""),-0.7324411764705883)</f>
        <v>-0.7324411765</v>
      </c>
      <c r="AE26" s="18">
        <f>IFERROR(__xludf.DUMMYFUNCTION("""COMPUTED_VALUE"""),41875.50181378476)</f>
        <v>41875.50181</v>
      </c>
      <c r="AF26" s="19">
        <f>IFERROR(__xludf.DUMMYFUNCTION("""COMPUTED_VALUE"""),9097.0)</f>
        <v>9097</v>
      </c>
      <c r="AG26" s="20">
        <f>IFERROR(__xludf.DUMMYFUNCTION("""COMPUTED_VALUE"""),-32778.50181378476)</f>
        <v>-32778.50181</v>
      </c>
      <c r="AH26" s="28">
        <f>IFERROR(__xludf.DUMMYFUNCTION("""COMPUTED_VALUE"""),-0.7827608122655282)</f>
        <v>-0.7827608123</v>
      </c>
      <c r="AI26" s="29">
        <f>IFERROR(__xludf.DUMMYFUNCTION("""COMPUTED_VALUE"""),-35860.09388138471)</f>
        <v>-35860.09388</v>
      </c>
      <c r="AJ26" s="29">
        <f>IFERROR(__xludf.DUMMYFUNCTION("""COMPUTED_VALUE"""),-9152.201277955268)</f>
        <v>-9152.201278</v>
      </c>
      <c r="AK26" s="4">
        <f>IFERROR(__xludf.DUMMYFUNCTION("""COMPUTED_VALUE"""),2019.8019801980197)</f>
        <v>2019.80198</v>
      </c>
      <c r="AL26" s="4">
        <f>IFERROR(__xludf.DUMMYFUNCTION("""COMPUTED_VALUE"""),606.4666666666667)</f>
        <v>606.4666667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 t="str">
        <f>IFERROR(__xludf.DUMMYFUNCTION("""COMPUTED_VALUE"""),"[CM] Form G4 - Instagram")</f>
        <v>[CM] Form G4 - Instagram</v>
      </c>
      <c r="B27" s="18">
        <f>IFERROR(__xludf.DUMMYFUNCTION("""COMPUTED_VALUE"""),32.903225806451594)</f>
        <v>32.90322581</v>
      </c>
      <c r="C27" s="19">
        <f>IFERROR(__xludf.DUMMYFUNCTION("""COMPUTED_VALUE"""),42.0)</f>
        <v>42</v>
      </c>
      <c r="D27" s="20">
        <f>IFERROR(__xludf.DUMMYFUNCTION("""COMPUTED_VALUE"""),9.096774193548406)</f>
        <v>9.096774194</v>
      </c>
      <c r="E27" s="21">
        <f>IFERROR(__xludf.DUMMYFUNCTION("""COMPUTED_VALUE"""),0.27647058823529486)</f>
        <v>0.2764705882</v>
      </c>
      <c r="F27" s="22">
        <f>IFERROR(__xludf.DUMMYFUNCTION("""COMPUTED_VALUE"""),0.6460674157303372)</f>
        <v>0.6460674157</v>
      </c>
      <c r="G27" s="22">
        <f>IFERROR(__xludf.DUMMYFUNCTION("""COMPUTED_VALUE"""),0.7142857142857143)</f>
        <v>0.7142857143</v>
      </c>
      <c r="H27" s="23">
        <f>IFERROR(__xludf.DUMMYFUNCTION("""COMPUTED_VALUE"""),6.821829855537709)</f>
        <v>6.821829856</v>
      </c>
      <c r="I27" s="18">
        <f>IFERROR(__xludf.DUMMYFUNCTION("""COMPUTED_VALUE"""),21.257702065965923)</f>
        <v>21.25770207</v>
      </c>
      <c r="J27" s="19">
        <f>IFERROR(__xludf.DUMMYFUNCTION("""COMPUTED_VALUE"""),30.0)</f>
        <v>30</v>
      </c>
      <c r="K27" s="20">
        <f>IFERROR(__xludf.DUMMYFUNCTION("""COMPUTED_VALUE"""),8.742297934034077)</f>
        <v>8.742297934</v>
      </c>
      <c r="L27" s="21">
        <f>IFERROR(__xludf.DUMMYFUNCTION("""COMPUTED_VALUE"""),0.41125319693094675)</f>
        <v>0.4112531969</v>
      </c>
      <c r="M27" s="24">
        <f>IFERROR(__xludf.DUMMYFUNCTION("""COMPUTED_VALUE"""),0.276)</f>
        <v>0.276</v>
      </c>
      <c r="N27" s="22">
        <f>IFERROR(__xludf.DUMMYFUNCTION("""COMPUTED_VALUE"""),0.2)</f>
        <v>0.2</v>
      </c>
      <c r="O27" s="25">
        <f>IFERROR(__xludf.DUMMYFUNCTION("""COMPUTED_VALUE"""),-7.600000000000001)</f>
        <v>-7.6</v>
      </c>
      <c r="P27" s="18">
        <f>IFERROR(__xludf.DUMMYFUNCTION("""COMPUTED_VALUE"""),5.88438202247191)</f>
        <v>5.884382022</v>
      </c>
      <c r="Q27" s="19">
        <f>IFERROR(__xludf.DUMMYFUNCTION("""COMPUTED_VALUE"""),6.0)</f>
        <v>6</v>
      </c>
      <c r="R27" s="20">
        <f>IFERROR(__xludf.DUMMYFUNCTION("""COMPUTED_VALUE"""),0.11561797752808989)</f>
        <v>0.1156179775</v>
      </c>
      <c r="S27" s="26">
        <f>IFERROR(__xludf.DUMMYFUNCTION("""COMPUTED_VALUE"""),0.019648278627484677)</f>
        <v>0.01964827863</v>
      </c>
      <c r="T27" s="22">
        <f>IFERROR(__xludf.DUMMYFUNCTION("""COMPUTED_VALUE"""),0.1785714285714286)</f>
        <v>0.1785714286</v>
      </c>
      <c r="U27" s="22">
        <f>IFERROR(__xludf.DUMMYFUNCTION("""COMPUTED_VALUE"""),0.0)</f>
        <v>0</v>
      </c>
      <c r="V27" s="23">
        <f>IFERROR(__xludf.DUMMYFUNCTION("""COMPUTED_VALUE"""),-17.85714285714286)</f>
        <v>-17.85714286</v>
      </c>
      <c r="W27" s="18">
        <f>IFERROR(__xludf.DUMMYFUNCTION("""COMPUTED_VALUE"""),1.0507825040128411)</f>
        <v>1.050782504</v>
      </c>
      <c r="X27" s="19">
        <f>IFERROR(__xludf.DUMMYFUNCTION("""COMPUTED_VALUE"""),0.0)</f>
        <v>0</v>
      </c>
      <c r="Y27" s="20">
        <f>IFERROR(__xludf.DUMMYFUNCTION("""COMPUTED_VALUE"""),-1.0507825040128411)</f>
        <v>-1.050782504</v>
      </c>
      <c r="Z27" s="27">
        <f>IFERROR(__xludf.DUMMYFUNCTION("""COMPUTED_VALUE"""),-1.0)</f>
        <v>-1</v>
      </c>
      <c r="AA27" s="18">
        <f>IFERROR(__xludf.DUMMYFUNCTION("""COMPUTED_VALUE"""),40743.0)</f>
        <v>40743</v>
      </c>
      <c r="AB27" s="19">
        <f>IFERROR(__xludf.DUMMYFUNCTION("""COMPUTED_VALUE"""),0.0)</f>
        <v>0</v>
      </c>
      <c r="AC27" s="20">
        <f>IFERROR(__xludf.DUMMYFUNCTION("""COMPUTED_VALUE"""),-40743.0)</f>
        <v>-40743</v>
      </c>
      <c r="AD27" s="27">
        <f>IFERROR(__xludf.DUMMYFUNCTION("""COMPUTED_VALUE"""),-1.0)</f>
        <v>-1</v>
      </c>
      <c r="AE27" s="18">
        <f>IFERROR(__xludf.DUMMYFUNCTION("""COMPUTED_VALUE"""),33035.32035361157)</f>
        <v>33035.32035</v>
      </c>
      <c r="AF27" s="19">
        <f>IFERROR(__xludf.DUMMYFUNCTION("""COMPUTED_VALUE"""),0.0)</f>
        <v>0</v>
      </c>
      <c r="AG27" s="20">
        <f>IFERROR(__xludf.DUMMYFUNCTION("""COMPUTED_VALUE"""),-33035.32035361157)</f>
        <v>-33035.32035</v>
      </c>
      <c r="AH27" s="28">
        <f>IFERROR(__xludf.DUMMYFUNCTION("""COMPUTED_VALUE"""),-1.0)</f>
        <v>-1</v>
      </c>
      <c r="AI27" s="29">
        <f>IFERROR(__xludf.DUMMYFUNCTION("""COMPUTED_VALUE"""),17554.952632941557)</f>
        <v>17554.95263</v>
      </c>
      <c r="AJ27" s="29">
        <f>IFERROR(__xludf.DUMMYFUNCTION("""COMPUTED_VALUE"""),-60241.43571428572)</f>
        <v>-60241.43571</v>
      </c>
      <c r="AK27" s="4">
        <f>IFERROR(__xludf.DUMMYFUNCTION("""COMPUTED_VALUE"""),7275.535714285716)</f>
        <v>7275.535714</v>
      </c>
      <c r="AL27" s="4">
        <f>IFERROR(__xludf.DUMMYFUNCTION("""COMPUTED_VALUE"""),0.0)</f>
        <v>0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 t="str">
        <f>IFERROR(__xludf.DUMMYFUNCTION("""COMPUTED_VALUE"""),"[ON] Chat")</f>
        <v>[ON] Chat</v>
      </c>
      <c r="B28" s="18">
        <f>IFERROR(__xludf.DUMMYFUNCTION("""COMPUTED_VALUE"""),82.258064516129)</f>
        <v>82.25806452</v>
      </c>
      <c r="C28" s="19">
        <f>IFERROR(__xludf.DUMMYFUNCTION("""COMPUTED_VALUE"""),46.0)</f>
        <v>46</v>
      </c>
      <c r="D28" s="20">
        <f>IFERROR(__xludf.DUMMYFUNCTION("""COMPUTED_VALUE"""),-36.258064516129)</f>
        <v>-36.25806452</v>
      </c>
      <c r="E28" s="21">
        <f>IFERROR(__xludf.DUMMYFUNCTION("""COMPUTED_VALUE"""),-0.44078431372548993)</f>
        <v>-0.4407843137</v>
      </c>
      <c r="F28" s="22">
        <f>IFERROR(__xludf.DUMMYFUNCTION("""COMPUTED_VALUE"""),0.5150115473441109)</f>
        <v>0.5150115473</v>
      </c>
      <c r="G28" s="22">
        <f>IFERROR(__xludf.DUMMYFUNCTION("""COMPUTED_VALUE"""),0.7608695652173914)</f>
        <v>0.7608695652</v>
      </c>
      <c r="H28" s="23">
        <f>IFERROR(__xludf.DUMMYFUNCTION("""COMPUTED_VALUE"""),24.585801787328045)</f>
        <v>24.58580179</v>
      </c>
      <c r="I28" s="18">
        <f>IFERROR(__xludf.DUMMYFUNCTION("""COMPUTED_VALUE"""),42.3638530879833)</f>
        <v>42.36385309</v>
      </c>
      <c r="J28" s="19">
        <f>IFERROR(__xludf.DUMMYFUNCTION("""COMPUTED_VALUE"""),35.0)</f>
        <v>35</v>
      </c>
      <c r="K28" s="20">
        <f>IFERROR(__xludf.DUMMYFUNCTION("""COMPUTED_VALUE"""),-7.363853087983301)</f>
        <v>-7.363853088</v>
      </c>
      <c r="L28" s="21">
        <f>IFERROR(__xludf.DUMMYFUNCTION("""COMPUTED_VALUE"""),-0.173823969049503)</f>
        <v>-0.173823969</v>
      </c>
      <c r="M28" s="24">
        <f>IFERROR(__xludf.DUMMYFUNCTION("""COMPUTED_VALUE"""),0.641)</f>
        <v>0.641</v>
      </c>
      <c r="N28" s="22">
        <f>IFERROR(__xludf.DUMMYFUNCTION("""COMPUTED_VALUE"""),0.6857142857142857)</f>
        <v>0.6857142857</v>
      </c>
      <c r="O28" s="25">
        <f>IFERROR(__xludf.DUMMYFUNCTION("""COMPUTED_VALUE"""),4.471428571428571)</f>
        <v>4.471428571</v>
      </c>
      <c r="P28" s="18">
        <f>IFERROR(__xludf.DUMMYFUNCTION("""COMPUTED_VALUE"""),27.235098152424943)</f>
        <v>27.23509815</v>
      </c>
      <c r="Q28" s="19">
        <f>IFERROR(__xludf.DUMMYFUNCTION("""COMPUTED_VALUE"""),24.0)</f>
        <v>24</v>
      </c>
      <c r="R28" s="20">
        <f>IFERROR(__xludf.DUMMYFUNCTION("""COMPUTED_VALUE"""),-3.2350981524249427)</f>
        <v>-3.235098152</v>
      </c>
      <c r="S28" s="26">
        <f>IFERROR(__xludf.DUMMYFUNCTION("""COMPUTED_VALUE"""),-0.11878415617668328)</f>
        <v>-0.1187841562</v>
      </c>
      <c r="T28" s="22">
        <f>IFERROR(__xludf.DUMMYFUNCTION("""COMPUTED_VALUE"""),0.351)</f>
        <v>0.351</v>
      </c>
      <c r="U28" s="22">
        <f>IFERROR(__xludf.DUMMYFUNCTION("""COMPUTED_VALUE"""),0.125)</f>
        <v>0.125</v>
      </c>
      <c r="V28" s="23">
        <f>IFERROR(__xludf.DUMMYFUNCTION("""COMPUTED_VALUE"""),-22.599999999999998)</f>
        <v>-22.6</v>
      </c>
      <c r="W28" s="18">
        <f>IFERROR(__xludf.DUMMYFUNCTION("""COMPUTED_VALUE"""),9.559519451501155)</f>
        <v>9.559519452</v>
      </c>
      <c r="X28" s="19">
        <f>IFERROR(__xludf.DUMMYFUNCTION("""COMPUTED_VALUE"""),3.0)</f>
        <v>3</v>
      </c>
      <c r="Y28" s="20">
        <f>IFERROR(__xludf.DUMMYFUNCTION("""COMPUTED_VALUE"""),-6.559519451501155)</f>
        <v>-6.559519452</v>
      </c>
      <c r="Z28" s="27">
        <f>IFERROR(__xludf.DUMMYFUNCTION("""COMPUTED_VALUE"""),-0.6861766937951151)</f>
        <v>-0.6861766938</v>
      </c>
      <c r="AA28" s="18">
        <f>IFERROR(__xludf.DUMMYFUNCTION("""COMPUTED_VALUE"""),4128.0)</f>
        <v>4128</v>
      </c>
      <c r="AB28" s="19">
        <f>IFERROR(__xludf.DUMMYFUNCTION("""COMPUTED_VALUE"""),8631.333333333334)</f>
        <v>8631.333333</v>
      </c>
      <c r="AC28" s="20">
        <f>IFERROR(__xludf.DUMMYFUNCTION("""COMPUTED_VALUE"""),4503.333333333334)</f>
        <v>4503.333333</v>
      </c>
      <c r="AD28" s="27">
        <f>IFERROR(__xludf.DUMMYFUNCTION("""COMPUTED_VALUE"""),1.0909237726098193)</f>
        <v>1.090923773</v>
      </c>
      <c r="AE28" s="18">
        <f>IFERROR(__xludf.DUMMYFUNCTION("""COMPUTED_VALUE"""),30450.079832611184)</f>
        <v>30450.07983</v>
      </c>
      <c r="AF28" s="19">
        <f>IFERROR(__xludf.DUMMYFUNCTION("""COMPUTED_VALUE"""),25894.0)</f>
        <v>25894</v>
      </c>
      <c r="AG28" s="20">
        <f>IFERROR(__xludf.DUMMYFUNCTION("""COMPUTED_VALUE"""),-4556.0798326111835)</f>
        <v>-4556.079833</v>
      </c>
      <c r="AH28" s="28">
        <f>IFERROR(__xludf.DUMMYFUNCTION("""COMPUTED_VALUE"""),-0.14962456117214346)</f>
        <v>-0.1496245612</v>
      </c>
      <c r="AI28" s="29">
        <f>IFERROR(__xludf.DUMMYFUNCTION("""COMPUTED_VALUE"""),-6839.273166248965)</f>
        <v>-6839.273166</v>
      </c>
      <c r="AJ28" s="29">
        <f>IFERROR(__xludf.DUMMYFUNCTION("""COMPUTED_VALUE"""),-6612.699679999999)</f>
        <v>-6612.69968</v>
      </c>
      <c r="AK28" s="4">
        <f>IFERROR(__xludf.DUMMYFUNCTION("""COMPUTED_VALUE"""),1448.9279999999999)</f>
        <v>1448.928</v>
      </c>
      <c r="AL28" s="4">
        <f>IFERROR(__xludf.DUMMYFUNCTION("""COMPUTED_VALUE"""),1078.9166666666667)</f>
        <v>1078.916667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 t="str">
        <f>IFERROR(__xludf.DUMMYFUNCTION("""COMPUTED_VALUE"""),"[CM] Form G4 - Outros")</f>
        <v>[CM] Form G4 - Outros</v>
      </c>
      <c r="B29" s="18">
        <f>IFERROR(__xludf.DUMMYFUNCTION("""COMPUTED_VALUE"""),21.93548387096773)</f>
        <v>21.93548387</v>
      </c>
      <c r="C29" s="19">
        <f>IFERROR(__xludf.DUMMYFUNCTION("""COMPUTED_VALUE"""),27.0)</f>
        <v>27</v>
      </c>
      <c r="D29" s="20">
        <f>IFERROR(__xludf.DUMMYFUNCTION("""COMPUTED_VALUE"""),5.06451612903227)</f>
        <v>5.064516129</v>
      </c>
      <c r="E29" s="21">
        <f>IFERROR(__xludf.DUMMYFUNCTION("""COMPUTED_VALUE"""),0.23088235294117718)</f>
        <v>0.2308823529</v>
      </c>
      <c r="F29" s="22">
        <f>IFERROR(__xludf.DUMMYFUNCTION("""COMPUTED_VALUE"""),0.6460674157303372)</f>
        <v>0.6460674157</v>
      </c>
      <c r="G29" s="22">
        <f>IFERROR(__xludf.DUMMYFUNCTION("""COMPUTED_VALUE"""),0.6296296296296297)</f>
        <v>0.6296296296</v>
      </c>
      <c r="H29" s="23">
        <f>IFERROR(__xludf.DUMMYFUNCTION("""COMPUTED_VALUE"""),-1.6437786100707563)</f>
        <v>-1.64377861</v>
      </c>
      <c r="I29" s="18">
        <f>IFERROR(__xludf.DUMMYFUNCTION("""COMPUTED_VALUE"""),14.171801377310615)</f>
        <v>14.17180138</v>
      </c>
      <c r="J29" s="19">
        <f>IFERROR(__xludf.DUMMYFUNCTION("""COMPUTED_VALUE"""),17.0)</f>
        <v>17</v>
      </c>
      <c r="K29" s="20">
        <f>IFERROR(__xludf.DUMMYFUNCTION("""COMPUTED_VALUE"""),2.828198622689385)</f>
        <v>2.828198623</v>
      </c>
      <c r="L29" s="21">
        <f>IFERROR(__xludf.DUMMYFUNCTION("""COMPUTED_VALUE"""),0.19956521739130476)</f>
        <v>0.1995652174</v>
      </c>
      <c r="M29" s="24">
        <f>IFERROR(__xludf.DUMMYFUNCTION("""COMPUTED_VALUE"""),0.276)</f>
        <v>0.276</v>
      </c>
      <c r="N29" s="22">
        <f>IFERROR(__xludf.DUMMYFUNCTION("""COMPUTED_VALUE"""),0.23529411764705882)</f>
        <v>0.2352941176</v>
      </c>
      <c r="O29" s="25">
        <f>IFERROR(__xludf.DUMMYFUNCTION("""COMPUTED_VALUE"""),-4.07058823529412)</f>
        <v>-4.070588235</v>
      </c>
      <c r="P29" s="18">
        <f>IFERROR(__xludf.DUMMYFUNCTION("""COMPUTED_VALUE"""),3.922921348314607)</f>
        <v>3.922921348</v>
      </c>
      <c r="Q29" s="19">
        <f>IFERROR(__xludf.DUMMYFUNCTION("""COMPUTED_VALUE"""),4.0)</f>
        <v>4</v>
      </c>
      <c r="R29" s="20">
        <f>IFERROR(__xludf.DUMMYFUNCTION("""COMPUTED_VALUE"""),0.07707865168539296)</f>
        <v>0.07707865169</v>
      </c>
      <c r="S29" s="26">
        <f>IFERROR(__xludf.DUMMYFUNCTION("""COMPUTED_VALUE"""),0.0196482786274846)</f>
        <v>0.01964827863</v>
      </c>
      <c r="T29" s="22">
        <f>IFERROR(__xludf.DUMMYFUNCTION("""COMPUTED_VALUE"""),0.1785714285714286)</f>
        <v>0.1785714286</v>
      </c>
      <c r="U29" s="22">
        <f>IFERROR(__xludf.DUMMYFUNCTION("""COMPUTED_VALUE"""),0.5)</f>
        <v>0.5</v>
      </c>
      <c r="V29" s="23">
        <f>IFERROR(__xludf.DUMMYFUNCTION("""COMPUTED_VALUE"""),32.14285714285714)</f>
        <v>32.14285714</v>
      </c>
      <c r="W29" s="18">
        <f>IFERROR(__xludf.DUMMYFUNCTION("""COMPUTED_VALUE"""),0.7005216693418942)</f>
        <v>0.7005216693</v>
      </c>
      <c r="X29" s="19">
        <f>IFERROR(__xludf.DUMMYFUNCTION("""COMPUTED_VALUE"""),2.0)</f>
        <v>2</v>
      </c>
      <c r="Y29" s="20">
        <f>IFERROR(__xludf.DUMMYFUNCTION("""COMPUTED_VALUE"""),1.299478330658106)</f>
        <v>1.299478331</v>
      </c>
      <c r="Z29" s="27">
        <f>IFERROR(__xludf.DUMMYFUNCTION("""COMPUTED_VALUE"""),1.8550151801569568)</f>
        <v>1.85501518</v>
      </c>
      <c r="AA29" s="18">
        <f>IFERROR(__xludf.DUMMYFUNCTION("""COMPUTED_VALUE"""),40743.0)</f>
        <v>40743</v>
      </c>
      <c r="AB29" s="19">
        <f>IFERROR(__xludf.DUMMYFUNCTION("""COMPUTED_VALUE"""),79020.0)</f>
        <v>79020</v>
      </c>
      <c r="AC29" s="20">
        <f>IFERROR(__xludf.DUMMYFUNCTION("""COMPUTED_VALUE"""),38277.0)</f>
        <v>38277</v>
      </c>
      <c r="AD29" s="27">
        <f>IFERROR(__xludf.DUMMYFUNCTION("""COMPUTED_VALUE"""),0.9394742655180031)</f>
        <v>0.9394742655</v>
      </c>
      <c r="AE29" s="18">
        <f>IFERROR(__xludf.DUMMYFUNCTION("""COMPUTED_VALUE"""),22023.54690240771)</f>
        <v>22023.5469</v>
      </c>
      <c r="AF29" s="19">
        <f>IFERROR(__xludf.DUMMYFUNCTION("""COMPUTED_VALUE"""),158040.0)</f>
        <v>158040</v>
      </c>
      <c r="AG29" s="20">
        <f>IFERROR(__xludf.DUMMYFUNCTION("""COMPUTED_VALUE"""),136016.45309759228)</f>
        <v>136016.4531</v>
      </c>
      <c r="AH29" s="28">
        <f>IFERROR(__xludf.DUMMYFUNCTION("""COMPUTED_VALUE"""),6.175955839462097)</f>
        <v>6.175955839</v>
      </c>
      <c r="AI29" s="29">
        <f>IFERROR(__xludf.DUMMYFUNCTION("""COMPUTED_VALUE"""),5679.158183865799)</f>
        <v>5679.158184</v>
      </c>
      <c r="AJ29" s="29">
        <f>IFERROR(__xludf.DUMMYFUNCTION("""COMPUTED_VALUE"""),123903.18642857141)</f>
        <v>123903.1864</v>
      </c>
      <c r="AK29" s="4">
        <f>IFERROR(__xludf.DUMMYFUNCTION("""COMPUTED_VALUE"""),7275.535714285715)</f>
        <v>7275.535714</v>
      </c>
      <c r="AL29" s="4">
        <f>IFERROR(__xludf.DUMMYFUNCTION("""COMPUTED_VALUE"""),39510.0)</f>
        <v>39510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 t="str">
        <f>IFERROR(__xludf.DUMMYFUNCTION("""COMPUTED_VALUE"""),"Aplicativo G4 - Indicação")</f>
        <v>Aplicativo G4 - Indicação</v>
      </c>
      <c r="B30" s="18">
        <f>IFERROR(__xludf.DUMMYFUNCTION("""COMPUTED_VALUE"""),53.303225806451586)</f>
        <v>53.30322581</v>
      </c>
      <c r="C30" s="19">
        <f>IFERROR(__xludf.DUMMYFUNCTION("""COMPUTED_VALUE"""),78.0)</f>
        <v>78</v>
      </c>
      <c r="D30" s="20">
        <f>IFERROR(__xludf.DUMMYFUNCTION("""COMPUTED_VALUE"""),24.696774193548414)</f>
        <v>24.69677419</v>
      </c>
      <c r="E30" s="21">
        <f>IFERROR(__xludf.DUMMYFUNCTION("""COMPUTED_VALUE"""),0.46332607116920915)</f>
        <v>0.4633260712</v>
      </c>
      <c r="F30" s="22">
        <f>IFERROR(__xludf.DUMMYFUNCTION("""COMPUTED_VALUE"""),0.75)</f>
        <v>0.75</v>
      </c>
      <c r="G30" s="22">
        <f>IFERROR(__xludf.DUMMYFUNCTION("""COMPUTED_VALUE"""),0.16666666666666666)</f>
        <v>0.1666666667</v>
      </c>
      <c r="H30" s="23">
        <f>IFERROR(__xludf.DUMMYFUNCTION("""COMPUTED_VALUE"""),-58.333333333333336)</f>
        <v>-58.33333333</v>
      </c>
      <c r="I30" s="18">
        <f>IFERROR(__xludf.DUMMYFUNCTION("""COMPUTED_VALUE"""),39.977419354838695)</f>
        <v>39.97741935</v>
      </c>
      <c r="J30" s="19">
        <f>IFERROR(__xludf.DUMMYFUNCTION("""COMPUTED_VALUE"""),13.0)</f>
        <v>13</v>
      </c>
      <c r="K30" s="20">
        <f>IFERROR(__xludf.DUMMYFUNCTION("""COMPUTED_VALUE"""),-26.977419354838695)</f>
        <v>-26.97741935</v>
      </c>
      <c r="L30" s="21">
        <f>IFERROR(__xludf.DUMMYFUNCTION("""COMPUTED_VALUE"""),-0.6748164286290647)</f>
        <v>-0.6748164286</v>
      </c>
      <c r="M30" s="24">
        <f>IFERROR(__xludf.DUMMYFUNCTION("""COMPUTED_VALUE"""),0.16049382716049382)</f>
        <v>0.1604938272</v>
      </c>
      <c r="N30" s="22">
        <f>IFERROR(__xludf.DUMMYFUNCTION("""COMPUTED_VALUE"""),0.6923076923076923)</f>
        <v>0.6923076923</v>
      </c>
      <c r="O30" s="25">
        <f>IFERROR(__xludf.DUMMYFUNCTION("""COMPUTED_VALUE"""),53.18138651471984)</f>
        <v>53.18138651</v>
      </c>
      <c r="P30" s="18">
        <f>IFERROR(__xludf.DUMMYFUNCTION("""COMPUTED_VALUE"""),6.435)</f>
        <v>6.435</v>
      </c>
      <c r="Q30" s="19">
        <f>IFERROR(__xludf.DUMMYFUNCTION("""COMPUTED_VALUE"""),9.0)</f>
        <v>9</v>
      </c>
      <c r="R30" s="20">
        <f>IFERROR(__xludf.DUMMYFUNCTION("""COMPUTED_VALUE"""),2.5650000000000004)</f>
        <v>2.565</v>
      </c>
      <c r="S30" s="26">
        <f>IFERROR(__xludf.DUMMYFUNCTION("""COMPUTED_VALUE"""),0.3986013986013987)</f>
        <v>0.3986013986</v>
      </c>
      <c r="T30" s="22">
        <f>IFERROR(__xludf.DUMMYFUNCTION("""COMPUTED_VALUE"""),0.15384615384615383)</f>
        <v>0.1538461538</v>
      </c>
      <c r="U30" s="22">
        <f>IFERROR(__xludf.DUMMYFUNCTION("""COMPUTED_VALUE"""),0.1111111111111111)</f>
        <v>0.1111111111</v>
      </c>
      <c r="V30" s="23">
        <f>IFERROR(__xludf.DUMMYFUNCTION("""COMPUTED_VALUE"""),-4.2735042735042725)</f>
        <v>-4.273504274</v>
      </c>
      <c r="W30" s="18">
        <f>IFERROR(__xludf.DUMMYFUNCTION("""COMPUTED_VALUE"""),0.9899999999999999)</f>
        <v>0.99</v>
      </c>
      <c r="X30" s="19">
        <f>IFERROR(__xludf.DUMMYFUNCTION("""COMPUTED_VALUE"""),1.0)</f>
        <v>1</v>
      </c>
      <c r="Y30" s="20">
        <f>IFERROR(__xludf.DUMMYFUNCTION("""COMPUTED_VALUE"""),0.01000000000000012)</f>
        <v>0.01</v>
      </c>
      <c r="Z30" s="27">
        <f>IFERROR(__xludf.DUMMYFUNCTION("""COMPUTED_VALUE"""),0.010101010101010223)</f>
        <v>0.0101010101</v>
      </c>
      <c r="AA30" s="18">
        <f>IFERROR(__xludf.DUMMYFUNCTION("""COMPUTED_VALUE"""),28325.0)</f>
        <v>28325</v>
      </c>
      <c r="AB30" s="19">
        <f>IFERROR(__xludf.DUMMYFUNCTION("""COMPUTED_VALUE"""),63000.0)</f>
        <v>63000</v>
      </c>
      <c r="AC30" s="20">
        <f>IFERROR(__xludf.DUMMYFUNCTION("""COMPUTED_VALUE"""),34675.0)</f>
        <v>34675</v>
      </c>
      <c r="AD30" s="27">
        <f>IFERROR(__xludf.DUMMYFUNCTION("""COMPUTED_VALUE"""),1.2241835834068844)</f>
        <v>1.224183583</v>
      </c>
      <c r="AE30" s="18">
        <f>IFERROR(__xludf.DUMMYFUNCTION("""COMPUTED_VALUE"""),21638.034)</f>
        <v>21638.034</v>
      </c>
      <c r="AF30" s="19">
        <f>IFERROR(__xludf.DUMMYFUNCTION("""COMPUTED_VALUE"""),63000.0)</f>
        <v>63000</v>
      </c>
      <c r="AG30" s="20">
        <f>IFERROR(__xludf.DUMMYFUNCTION("""COMPUTED_VALUE"""),41361.966)</f>
        <v>41361.966</v>
      </c>
      <c r="AH30" s="28">
        <f>IFERROR(__xludf.DUMMYFUNCTION("""COMPUTED_VALUE"""),1.9115399301064044)</f>
        <v>1.91153993</v>
      </c>
      <c r="AI30" s="29">
        <f>IFERROR(__xludf.DUMMYFUNCTION("""COMPUTED_VALUE"""),-18867.54082039027)</f>
        <v>-18867.54082</v>
      </c>
      <c r="AJ30" s="29">
        <f>IFERROR(__xludf.DUMMYFUNCTION("""COMPUTED_VALUE"""),53908.02469135802)</f>
        <v>53908.02469</v>
      </c>
      <c r="AK30" s="4">
        <f>IFERROR(__xludf.DUMMYFUNCTION("""COMPUTED_VALUE"""),4357.692307692308)</f>
        <v>4357.692308</v>
      </c>
      <c r="AL30" s="4">
        <f>IFERROR(__xludf.DUMMYFUNCTION("""COMPUTED_VALUE"""),7000.0)</f>
        <v>7000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 t="str">
        <f>IFERROR(__xludf.DUMMYFUNCTION("""COMPUTED_VALUE"""),"Indicação - Outros")</f>
        <v>Indicação - Outros</v>
      </c>
      <c r="B31" s="18">
        <f>IFERROR(__xludf.DUMMYFUNCTION("""COMPUTED_VALUE"""),9.103225806451608)</f>
        <v>9.103225806</v>
      </c>
      <c r="C31" s="19">
        <f>IFERROR(__xludf.DUMMYFUNCTION("""COMPUTED_VALUE"""),4.0)</f>
        <v>4</v>
      </c>
      <c r="D31" s="20">
        <f>IFERROR(__xludf.DUMMYFUNCTION("""COMPUTED_VALUE"""),-5.103225806451608)</f>
        <v>-5.103225806</v>
      </c>
      <c r="E31" s="21">
        <f>IFERROR(__xludf.DUMMYFUNCTION("""COMPUTED_VALUE"""),-0.5605953224663357)</f>
        <v>-0.5605953225</v>
      </c>
      <c r="F31" s="22">
        <f>IFERROR(__xludf.DUMMYFUNCTION("""COMPUTED_VALUE"""),0.84)</f>
        <v>0.84</v>
      </c>
      <c r="G31" s="22">
        <f>IFERROR(__xludf.DUMMYFUNCTION("""COMPUTED_VALUE"""),0.5)</f>
        <v>0.5</v>
      </c>
      <c r="H31" s="23">
        <f>IFERROR(__xludf.DUMMYFUNCTION("""COMPUTED_VALUE"""),-34.0)</f>
        <v>-34</v>
      </c>
      <c r="I31" s="18">
        <f>IFERROR(__xludf.DUMMYFUNCTION("""COMPUTED_VALUE"""),7.6467096774193495)</f>
        <v>7.646709677</v>
      </c>
      <c r="J31" s="19">
        <f>IFERROR(__xludf.DUMMYFUNCTION("""COMPUTED_VALUE"""),2.0)</f>
        <v>2</v>
      </c>
      <c r="K31" s="20">
        <f>IFERROR(__xludf.DUMMYFUNCTION("""COMPUTED_VALUE"""),-5.6467096774193495)</f>
        <v>-5.646709677</v>
      </c>
      <c r="L31" s="21">
        <f>IFERROR(__xludf.DUMMYFUNCTION("""COMPUTED_VALUE"""),-0.7384495967061522)</f>
        <v>-0.7384495967</v>
      </c>
      <c r="M31" s="24">
        <f>IFERROR(__xludf.DUMMYFUNCTION("""COMPUTED_VALUE"""),0.19469026548672566)</f>
        <v>0.1946902655</v>
      </c>
      <c r="N31" s="22">
        <f>IFERROR(__xludf.DUMMYFUNCTION("""COMPUTED_VALUE"""),0.5)</f>
        <v>0.5</v>
      </c>
      <c r="O31" s="25">
        <f>IFERROR(__xludf.DUMMYFUNCTION("""COMPUTED_VALUE"""),30.530973451327437)</f>
        <v>30.53097345</v>
      </c>
      <c r="P31" s="18">
        <f>IFERROR(__xludf.DUMMYFUNCTION("""COMPUTED_VALUE"""),1.493118584070796)</f>
        <v>1.493118584</v>
      </c>
      <c r="Q31" s="19">
        <f>IFERROR(__xludf.DUMMYFUNCTION("""COMPUTED_VALUE"""),1.0)</f>
        <v>1</v>
      </c>
      <c r="R31" s="20">
        <f>IFERROR(__xludf.DUMMYFUNCTION("""COMPUTED_VALUE"""),-0.4931185840707959)</f>
        <v>-0.4931185841</v>
      </c>
      <c r="S31" s="26">
        <f>IFERROR(__xludf.DUMMYFUNCTION("""COMPUTED_VALUE"""),-0.3302608308084757)</f>
        <v>-0.3302608308</v>
      </c>
      <c r="T31" s="22">
        <f>IFERROR(__xludf.DUMMYFUNCTION("""COMPUTED_VALUE"""),0.6363636363636365)</f>
        <v>0.6363636364</v>
      </c>
      <c r="U31" s="22">
        <f>IFERROR(__xludf.DUMMYFUNCTION("""COMPUTED_VALUE"""),0.0)</f>
        <v>0</v>
      </c>
      <c r="V31" s="23">
        <f>IFERROR(__xludf.DUMMYFUNCTION("""COMPUTED_VALUE"""),-63.63636363636365)</f>
        <v>-63.63636364</v>
      </c>
      <c r="W31" s="18">
        <f>IFERROR(__xludf.DUMMYFUNCTION("""COMPUTED_VALUE"""),0.9501663716814157)</f>
        <v>0.9501663717</v>
      </c>
      <c r="X31" s="19">
        <f>IFERROR(__xludf.DUMMYFUNCTION("""COMPUTED_VALUE"""),0.0)</f>
        <v>0</v>
      </c>
      <c r="Y31" s="20">
        <f>IFERROR(__xludf.DUMMYFUNCTION("""COMPUTED_VALUE"""),-0.9501663716814157)</f>
        <v>-0.9501663717</v>
      </c>
      <c r="Z31" s="27">
        <f>IFERROR(__xludf.DUMMYFUNCTION("""COMPUTED_VALUE"""),-1.0)</f>
        <v>-1</v>
      </c>
      <c r="AA31" s="18">
        <f>IFERROR(__xludf.DUMMYFUNCTION("""COMPUTED_VALUE"""),27596.0)</f>
        <v>27596</v>
      </c>
      <c r="AB31" s="19">
        <f>IFERROR(__xludf.DUMMYFUNCTION("""COMPUTED_VALUE"""),0.0)</f>
        <v>0</v>
      </c>
      <c r="AC31" s="20">
        <f>IFERROR(__xludf.DUMMYFUNCTION("""COMPUTED_VALUE"""),-27596.0)</f>
        <v>-27596</v>
      </c>
      <c r="AD31" s="27">
        <f>IFERROR(__xludf.DUMMYFUNCTION("""COMPUTED_VALUE"""),-1.0)</f>
        <v>-1</v>
      </c>
      <c r="AE31" s="18">
        <f>IFERROR(__xludf.DUMMYFUNCTION("""COMPUTED_VALUE"""),20232.91596777345)</f>
        <v>20232.91597</v>
      </c>
      <c r="AF31" s="19">
        <f>IFERROR(__xludf.DUMMYFUNCTION("""COMPUTED_VALUE"""),0.0)</f>
        <v>0</v>
      </c>
      <c r="AG31" s="20">
        <f>IFERROR(__xludf.DUMMYFUNCTION("""COMPUTED_VALUE"""),-20232.91596777345)</f>
        <v>-20232.91597</v>
      </c>
      <c r="AH31" s="28">
        <f>IFERROR(__xludf.DUMMYFUNCTION("""COMPUTED_VALUE"""),-1.0)</f>
        <v>-1</v>
      </c>
      <c r="AI31" s="29">
        <f>IFERROR(__xludf.DUMMYFUNCTION("""COMPUTED_VALUE"""),-19305.950474450456)</f>
        <v>-19305.95047</v>
      </c>
      <c r="AJ31" s="29">
        <f>IFERROR(__xludf.DUMMYFUNCTION("""COMPUTED_VALUE"""),-6837.946902654869)</f>
        <v>-6837.946903</v>
      </c>
      <c r="AK31" s="4">
        <f>IFERROR(__xludf.DUMMYFUNCTION("""COMPUTED_VALUE"""),17561.09090909091)</f>
        <v>17561.09091</v>
      </c>
      <c r="AL31" s="4">
        <f>IFERROR(__xludf.DUMMYFUNCTION("""COMPUTED_VALUE"""),0.0)</f>
        <v>0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 t="str">
        <f>IFERROR(__xludf.DUMMYFUNCTION("""COMPUTED_VALUE"""),"[SKL] Chat")</f>
        <v>[SKL] Chat</v>
      </c>
      <c r="B32" s="18">
        <f>IFERROR(__xludf.DUMMYFUNCTION("""COMPUTED_VALUE"""),13.117419354838704)</f>
        <v>13.11741935</v>
      </c>
      <c r="C32" s="19">
        <f>IFERROR(__xludf.DUMMYFUNCTION("""COMPUTED_VALUE"""),13.0)</f>
        <v>13</v>
      </c>
      <c r="D32" s="20"/>
      <c r="E32" s="21">
        <f>IFERROR(__xludf.DUMMYFUNCTION("""COMPUTED_VALUE"""),0.0)</f>
        <v>0</v>
      </c>
      <c r="F32" s="22">
        <f>IFERROR(__xludf.DUMMYFUNCTION("""COMPUTED_VALUE"""),0.608695652173913)</f>
        <v>0.6086956522</v>
      </c>
      <c r="G32" s="22">
        <f>IFERROR(__xludf.DUMMYFUNCTION("""COMPUTED_VALUE"""),0.3076923076923077)</f>
        <v>0.3076923077</v>
      </c>
      <c r="H32" s="23"/>
      <c r="I32" s="18">
        <f>IFERROR(__xludf.DUMMYFUNCTION("""COMPUTED_VALUE"""),7.9845161290322535)</f>
        <v>7.984516129</v>
      </c>
      <c r="J32" s="19">
        <f>IFERROR(__xludf.DUMMYFUNCTION("""COMPUTED_VALUE"""),4.0)</f>
        <v>4</v>
      </c>
      <c r="K32" s="20">
        <f>IFERROR(__xludf.DUMMYFUNCTION("""COMPUTED_VALUE"""),-3.9845161290322535)</f>
        <v>-3.984516129</v>
      </c>
      <c r="L32" s="21">
        <f>IFERROR(__xludf.DUMMYFUNCTION("""COMPUTED_VALUE"""),-0.4990303813833223)</f>
        <v>-0.4990303814</v>
      </c>
      <c r="M32" s="24">
        <f>IFERROR(__xludf.DUMMYFUNCTION("""COMPUTED_VALUE"""),0.36)</f>
        <v>0.36</v>
      </c>
      <c r="N32" s="22">
        <f>IFERROR(__xludf.DUMMYFUNCTION("""COMPUTED_VALUE"""),0.5)</f>
        <v>0.5</v>
      </c>
      <c r="O32" s="25">
        <f>IFERROR(__xludf.DUMMYFUNCTION("""COMPUTED_VALUE"""),14.000000000000002)</f>
        <v>14</v>
      </c>
      <c r="P32" s="18">
        <f>IFERROR(__xludf.DUMMYFUNCTION("""COMPUTED_VALUE"""),2.882879999999999)</f>
        <v>2.88288</v>
      </c>
      <c r="Q32" s="19">
        <f>IFERROR(__xludf.DUMMYFUNCTION("""COMPUTED_VALUE"""),2.0)</f>
        <v>2</v>
      </c>
      <c r="R32" s="20">
        <f>IFERROR(__xludf.DUMMYFUNCTION("""COMPUTED_VALUE"""),-0.8828799999999992)</f>
        <v>-0.88288</v>
      </c>
      <c r="S32" s="26">
        <f>IFERROR(__xludf.DUMMYFUNCTION("""COMPUTED_VALUE"""),-0.3062493062493061)</f>
        <v>-0.3062493062</v>
      </c>
      <c r="T32" s="22">
        <f>IFERROR(__xludf.DUMMYFUNCTION("""COMPUTED_VALUE"""),0.3)</f>
        <v>0.3</v>
      </c>
      <c r="U32" s="22">
        <f>IFERROR(__xludf.DUMMYFUNCTION("""COMPUTED_VALUE"""),0.0)</f>
        <v>0</v>
      </c>
      <c r="V32" s="23">
        <f>IFERROR(__xludf.DUMMYFUNCTION("""COMPUTED_VALUE"""),-30.0)</f>
        <v>-30</v>
      </c>
      <c r="W32" s="18">
        <f>IFERROR(__xludf.DUMMYFUNCTION("""COMPUTED_VALUE"""),0.8648639999999997)</f>
        <v>0.864864</v>
      </c>
      <c r="X32" s="19">
        <f>IFERROR(__xludf.DUMMYFUNCTION("""COMPUTED_VALUE"""),0.0)</f>
        <v>0</v>
      </c>
      <c r="Y32" s="20">
        <f>IFERROR(__xludf.DUMMYFUNCTION("""COMPUTED_VALUE"""),-0.8648639999999997)</f>
        <v>-0.864864</v>
      </c>
      <c r="Z32" s="27">
        <f>IFERROR(__xludf.DUMMYFUNCTION("""COMPUTED_VALUE"""),-1.0)</f>
        <v>-1</v>
      </c>
      <c r="AA32" s="18">
        <f>IFERROR(__xludf.DUMMYFUNCTION("""COMPUTED_VALUE"""),15392.0)</f>
        <v>15392</v>
      </c>
      <c r="AB32" s="19">
        <f>IFERROR(__xludf.DUMMYFUNCTION("""COMPUTED_VALUE"""),0.0)</f>
        <v>0</v>
      </c>
      <c r="AC32" s="20">
        <f>IFERROR(__xludf.DUMMYFUNCTION("""COMPUTED_VALUE"""),-15392.0)</f>
        <v>-15392</v>
      </c>
      <c r="AD32" s="27">
        <f>IFERROR(__xludf.DUMMYFUNCTION("""COMPUTED_VALUE"""),-1.0)</f>
        <v>-1</v>
      </c>
      <c r="AE32" s="18">
        <f>IFERROR(__xludf.DUMMYFUNCTION("""COMPUTED_VALUE"""),10272.013000703997)</f>
        <v>10272.013</v>
      </c>
      <c r="AF32" s="19">
        <f>IFERROR(__xludf.DUMMYFUNCTION("""COMPUTED_VALUE"""),0.0)</f>
        <v>0</v>
      </c>
      <c r="AG32" s="20">
        <f>IFERROR(__xludf.DUMMYFUNCTION("""COMPUTED_VALUE"""),-10272.013000703997)</f>
        <v>-10272.013</v>
      </c>
      <c r="AH32" s="28">
        <f>IFERROR(__xludf.DUMMYFUNCTION("""COMPUTED_VALUE"""),-1.0)</f>
        <v>-1</v>
      </c>
      <c r="AI32" s="29">
        <f>IFERROR(__xludf.DUMMYFUNCTION("""COMPUTED_VALUE"""),-6623.604603870959)</f>
        <v>-6623.604604</v>
      </c>
      <c r="AJ32" s="29">
        <f>IFERROR(__xludf.DUMMYFUNCTION("""COMPUTED_VALUE"""),-6649.343999999999)</f>
        <v>-6649.344</v>
      </c>
      <c r="AK32" s="4">
        <f>IFERROR(__xludf.DUMMYFUNCTION("""COMPUTED_VALUE"""),4617.599999999999)</f>
        <v>4617.6</v>
      </c>
      <c r="AL32" s="4">
        <f>IFERROR(__xludf.DUMMYFUNCTION("""COMPUTED_VALUE"""),0.0)</f>
        <v>0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 t="str">
        <f>IFERROR(__xludf.DUMMYFUNCTION("""COMPUTED_VALUE"""),"[ON] Form G4")</f>
        <v>[ON] Form G4</v>
      </c>
      <c r="B33" s="18">
        <f>IFERROR(__xludf.DUMMYFUNCTION("""COMPUTED_VALUE"""),0.0)</f>
        <v>0</v>
      </c>
      <c r="C33" s="19">
        <f>IFERROR(__xludf.DUMMYFUNCTION("""COMPUTED_VALUE"""),0.0)</f>
        <v>0</v>
      </c>
      <c r="D33" s="20"/>
      <c r="E33" s="21"/>
      <c r="F33" s="22">
        <f>IFERROR(__xludf.DUMMYFUNCTION("""COMPUTED_VALUE"""),0.0)</f>
        <v>0</v>
      </c>
      <c r="G33" s="22"/>
      <c r="H33" s="23"/>
      <c r="I33" s="18">
        <f>IFERROR(__xludf.DUMMYFUNCTION("""COMPUTED_VALUE"""),0.0)</f>
        <v>0</v>
      </c>
      <c r="J33" s="19">
        <f>IFERROR(__xludf.DUMMYFUNCTION("""COMPUTED_VALUE"""),0.0)</f>
        <v>0</v>
      </c>
      <c r="K33" s="20">
        <f>IFERROR(__xludf.DUMMYFUNCTION("""COMPUTED_VALUE"""),0.0)</f>
        <v>0</v>
      </c>
      <c r="L33" s="21" t="str">
        <f>IFERROR(__xludf.DUMMYFUNCTION("""COMPUTED_VALUE"""),"")</f>
        <v/>
      </c>
      <c r="M33" s="24">
        <f>IFERROR(__xludf.DUMMYFUNCTION("""COMPUTED_VALUE"""),0.0)</f>
        <v>0</v>
      </c>
      <c r="N33" s="22" t="str">
        <f>IFERROR(__xludf.DUMMYFUNCTION("""COMPUTED_VALUE"""),"")</f>
        <v/>
      </c>
      <c r="O33" s="25" t="str">
        <f>IFERROR(__xludf.DUMMYFUNCTION("""COMPUTED_VALUE"""),"")</f>
        <v/>
      </c>
      <c r="P33" s="18">
        <f>IFERROR(__xludf.DUMMYFUNCTION("""COMPUTED_VALUE"""),0.0)</f>
        <v>0</v>
      </c>
      <c r="Q33" s="19">
        <f>IFERROR(__xludf.DUMMYFUNCTION("""COMPUTED_VALUE"""),16.0)</f>
        <v>16</v>
      </c>
      <c r="R33" s="20">
        <f>IFERROR(__xludf.DUMMYFUNCTION("""COMPUTED_VALUE"""),16.0)</f>
        <v>16</v>
      </c>
      <c r="S33" s="26" t="str">
        <f>IFERROR(__xludf.DUMMYFUNCTION("""COMPUTED_VALUE"""),"")</f>
        <v/>
      </c>
      <c r="T33" s="22">
        <f>IFERROR(__xludf.DUMMYFUNCTION("""COMPUTED_VALUE"""),0.0)</f>
        <v>0</v>
      </c>
      <c r="U33" s="22">
        <f>IFERROR(__xludf.DUMMYFUNCTION("""COMPUTED_VALUE"""),0.125)</f>
        <v>0.125</v>
      </c>
      <c r="V33" s="23" t="str">
        <f>IFERROR(__xludf.DUMMYFUNCTION("""COMPUTED_VALUE"""),"")</f>
        <v/>
      </c>
      <c r="W33" s="18">
        <f>IFERROR(__xludf.DUMMYFUNCTION("""COMPUTED_VALUE"""),0.0)</f>
        <v>0</v>
      </c>
      <c r="X33" s="19">
        <f>IFERROR(__xludf.DUMMYFUNCTION("""COMPUTED_VALUE"""),2.0)</f>
        <v>2</v>
      </c>
      <c r="Y33" s="20">
        <f>IFERROR(__xludf.DUMMYFUNCTION("""COMPUTED_VALUE"""),2.0)</f>
        <v>2</v>
      </c>
      <c r="Z33" s="27" t="str">
        <f>IFERROR(__xludf.DUMMYFUNCTION("""COMPUTED_VALUE"""),"")</f>
        <v/>
      </c>
      <c r="AA33" s="18">
        <f>IFERROR(__xludf.DUMMYFUNCTION("""COMPUTED_VALUE"""),9401.0)</f>
        <v>9401</v>
      </c>
      <c r="AB33" s="19">
        <f>IFERROR(__xludf.DUMMYFUNCTION("""COMPUTED_VALUE"""),50198.5)</f>
        <v>50198.5</v>
      </c>
      <c r="AC33" s="20">
        <f>IFERROR(__xludf.DUMMYFUNCTION("""COMPUTED_VALUE"""),40797.5)</f>
        <v>40797.5</v>
      </c>
      <c r="AD33" s="27">
        <f>IFERROR(__xludf.DUMMYFUNCTION("""COMPUTED_VALUE"""),4.339697904478247)</f>
        <v>4.339697904</v>
      </c>
      <c r="AE33" s="18">
        <f>IFERROR(__xludf.DUMMYFUNCTION("""COMPUTED_VALUE"""),0.0)</f>
        <v>0</v>
      </c>
      <c r="AF33" s="19">
        <f>IFERROR(__xludf.DUMMYFUNCTION("""COMPUTED_VALUE"""),100397.0)</f>
        <v>100397</v>
      </c>
      <c r="AG33" s="20">
        <f>IFERROR(__xludf.DUMMYFUNCTION("""COMPUTED_VALUE"""),100397.0)</f>
        <v>100397</v>
      </c>
      <c r="AH33" s="28" t="str">
        <f>IFERROR(__xludf.DUMMYFUNCTION("""COMPUTED_VALUE"""),"")</f>
        <v/>
      </c>
      <c r="AI33" s="29">
        <f>IFERROR(__xludf.DUMMYFUNCTION("""COMPUTED_VALUE"""),0.0)</f>
        <v>0</v>
      </c>
      <c r="AJ33" s="29">
        <f>IFERROR(__xludf.DUMMYFUNCTION("""COMPUTED_VALUE"""),0.0)</f>
        <v>0</v>
      </c>
      <c r="AK33" s="4">
        <f>IFERROR(__xludf.DUMMYFUNCTION("""COMPUTED_VALUE"""),0.0)</f>
        <v>0</v>
      </c>
      <c r="AL33" s="4">
        <f>IFERROR(__xludf.DUMMYFUNCTION("""COMPUTED_VALUE"""),6274.8125)</f>
        <v>6274.8125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 t="str">
        <f>IFERROR(__xludf.DUMMYFUNCTION("""COMPUTED_VALUE"""),"[ON] Form G4 Incompleto")</f>
        <v>[ON] Form G4 Incompleto</v>
      </c>
      <c r="B34" s="18">
        <f>IFERROR(__xludf.DUMMYFUNCTION("""COMPUTED_VALUE"""),0.0)</f>
        <v>0</v>
      </c>
      <c r="C34" s="19">
        <f>IFERROR(__xludf.DUMMYFUNCTION("""COMPUTED_VALUE"""),0.0)</f>
        <v>0</v>
      </c>
      <c r="D34" s="20"/>
      <c r="E34" s="21"/>
      <c r="F34" s="22">
        <f>IFERROR(__xludf.DUMMYFUNCTION("""COMPUTED_VALUE"""),0.0)</f>
        <v>0</v>
      </c>
      <c r="G34" s="22"/>
      <c r="H34" s="23"/>
      <c r="I34" s="18">
        <f>IFERROR(__xludf.DUMMYFUNCTION("""COMPUTED_VALUE"""),0.0)</f>
        <v>0</v>
      </c>
      <c r="J34" s="19">
        <f>IFERROR(__xludf.DUMMYFUNCTION("""COMPUTED_VALUE"""),0.0)</f>
        <v>0</v>
      </c>
      <c r="K34" s="20">
        <f>IFERROR(__xludf.DUMMYFUNCTION("""COMPUTED_VALUE"""),0.0)</f>
        <v>0</v>
      </c>
      <c r="L34" s="21" t="str">
        <f>IFERROR(__xludf.DUMMYFUNCTION("""COMPUTED_VALUE"""),"")</f>
        <v/>
      </c>
      <c r="M34" s="24">
        <f>IFERROR(__xludf.DUMMYFUNCTION("""COMPUTED_VALUE"""),0.0)</f>
        <v>0</v>
      </c>
      <c r="N34" s="22" t="str">
        <f>IFERROR(__xludf.DUMMYFUNCTION("""COMPUTED_VALUE"""),"")</f>
        <v/>
      </c>
      <c r="O34" s="25" t="str">
        <f>IFERROR(__xludf.DUMMYFUNCTION("""COMPUTED_VALUE"""),"")</f>
        <v/>
      </c>
      <c r="P34" s="18">
        <f>IFERROR(__xludf.DUMMYFUNCTION("""COMPUTED_VALUE"""),0.0)</f>
        <v>0</v>
      </c>
      <c r="Q34" s="19">
        <f>IFERROR(__xludf.DUMMYFUNCTION("""COMPUTED_VALUE"""),17.0)</f>
        <v>17</v>
      </c>
      <c r="R34" s="20">
        <f>IFERROR(__xludf.DUMMYFUNCTION("""COMPUTED_VALUE"""),17.0)</f>
        <v>17</v>
      </c>
      <c r="S34" s="26" t="str">
        <f>IFERROR(__xludf.DUMMYFUNCTION("""COMPUTED_VALUE"""),"")</f>
        <v/>
      </c>
      <c r="T34" s="22">
        <f>IFERROR(__xludf.DUMMYFUNCTION("""COMPUTED_VALUE"""),0.0)</f>
        <v>0</v>
      </c>
      <c r="U34" s="22">
        <f>IFERROR(__xludf.DUMMYFUNCTION("""COMPUTED_VALUE"""),0.11764705882352941)</f>
        <v>0.1176470588</v>
      </c>
      <c r="V34" s="23" t="str">
        <f>IFERROR(__xludf.DUMMYFUNCTION("""COMPUTED_VALUE"""),"")</f>
        <v/>
      </c>
      <c r="W34" s="18">
        <f>IFERROR(__xludf.DUMMYFUNCTION("""COMPUTED_VALUE"""),0.0)</f>
        <v>0</v>
      </c>
      <c r="X34" s="19">
        <f>IFERROR(__xludf.DUMMYFUNCTION("""COMPUTED_VALUE"""),2.0)</f>
        <v>2</v>
      </c>
      <c r="Y34" s="20">
        <f>IFERROR(__xludf.DUMMYFUNCTION("""COMPUTED_VALUE"""),2.0)</f>
        <v>2</v>
      </c>
      <c r="Z34" s="27" t="str">
        <f>IFERROR(__xludf.DUMMYFUNCTION("""COMPUTED_VALUE"""),"")</f>
        <v/>
      </c>
      <c r="AA34" s="18">
        <f>IFERROR(__xludf.DUMMYFUNCTION("""COMPUTED_VALUE"""),6129.0)</f>
        <v>6129</v>
      </c>
      <c r="AB34" s="19">
        <f>IFERROR(__xludf.DUMMYFUNCTION("""COMPUTED_VALUE"""),12948.5)</f>
        <v>12948.5</v>
      </c>
      <c r="AC34" s="20">
        <f>IFERROR(__xludf.DUMMYFUNCTION("""COMPUTED_VALUE"""),6819.5)</f>
        <v>6819.5</v>
      </c>
      <c r="AD34" s="27">
        <f>IFERROR(__xludf.DUMMYFUNCTION("""COMPUTED_VALUE"""),1.1126611192690488)</f>
        <v>1.112661119</v>
      </c>
      <c r="AE34" s="18">
        <f>IFERROR(__xludf.DUMMYFUNCTION("""COMPUTED_VALUE"""),0.0)</f>
        <v>0</v>
      </c>
      <c r="AF34" s="19">
        <f>IFERROR(__xludf.DUMMYFUNCTION("""COMPUTED_VALUE"""),25897.0)</f>
        <v>25897</v>
      </c>
      <c r="AG34" s="20">
        <f>IFERROR(__xludf.DUMMYFUNCTION("""COMPUTED_VALUE"""),25897.0)</f>
        <v>25897</v>
      </c>
      <c r="AH34" s="28" t="str">
        <f>IFERROR(__xludf.DUMMYFUNCTION("""COMPUTED_VALUE"""),"")</f>
        <v/>
      </c>
      <c r="AI34" s="29">
        <f>IFERROR(__xludf.DUMMYFUNCTION("""COMPUTED_VALUE"""),0.0)</f>
        <v>0</v>
      </c>
      <c r="AJ34" s="29">
        <f>IFERROR(__xludf.DUMMYFUNCTION("""COMPUTED_VALUE"""),0.0)</f>
        <v>0</v>
      </c>
      <c r="AK34" s="4">
        <f>IFERROR(__xludf.DUMMYFUNCTION("""COMPUTED_VALUE"""),0.0)</f>
        <v>0</v>
      </c>
      <c r="AL34" s="4">
        <f>IFERROR(__xludf.DUMMYFUNCTION("""COMPUTED_VALUE"""),1523.3529411764705)</f>
        <v>1523.352941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 t="str">
        <f>IFERROR(__xludf.DUMMYFUNCTION("""COMPUTED_VALUE"""),"[ON] Form Meta")</f>
        <v>[ON] Form Meta</v>
      </c>
      <c r="B35" s="18">
        <f>IFERROR(__xludf.DUMMYFUNCTION("""COMPUTED_VALUE"""),0.0)</f>
        <v>0</v>
      </c>
      <c r="C35" s="19">
        <f>IFERROR(__xludf.DUMMYFUNCTION("""COMPUTED_VALUE"""),0.0)</f>
        <v>0</v>
      </c>
      <c r="D35" s="20"/>
      <c r="E35" s="21"/>
      <c r="F35" s="22">
        <f>IFERROR(__xludf.DUMMYFUNCTION("""COMPUTED_VALUE"""),0.0)</f>
        <v>0</v>
      </c>
      <c r="G35" s="22"/>
      <c r="H35" s="23"/>
      <c r="I35" s="18">
        <f>IFERROR(__xludf.DUMMYFUNCTION("""COMPUTED_VALUE"""),0.0)</f>
        <v>0</v>
      </c>
      <c r="J35" s="19">
        <f>IFERROR(__xludf.DUMMYFUNCTION("""COMPUTED_VALUE"""),0.0)</f>
        <v>0</v>
      </c>
      <c r="K35" s="20">
        <f>IFERROR(__xludf.DUMMYFUNCTION("""COMPUTED_VALUE"""),0.0)</f>
        <v>0</v>
      </c>
      <c r="L35" s="21" t="str">
        <f>IFERROR(__xludf.DUMMYFUNCTION("""COMPUTED_VALUE"""),"")</f>
        <v/>
      </c>
      <c r="M35" s="24">
        <f>IFERROR(__xludf.DUMMYFUNCTION("""COMPUTED_VALUE"""),0.0)</f>
        <v>0</v>
      </c>
      <c r="N35" s="22" t="str">
        <f>IFERROR(__xludf.DUMMYFUNCTION("""COMPUTED_VALUE"""),"")</f>
        <v/>
      </c>
      <c r="O35" s="25" t="str">
        <f>IFERROR(__xludf.DUMMYFUNCTION("""COMPUTED_VALUE"""),"")</f>
        <v/>
      </c>
      <c r="P35" s="18">
        <f>IFERROR(__xludf.DUMMYFUNCTION("""COMPUTED_VALUE"""),0.0)</f>
        <v>0</v>
      </c>
      <c r="Q35" s="19">
        <f>IFERROR(__xludf.DUMMYFUNCTION("""COMPUTED_VALUE"""),18.0)</f>
        <v>18</v>
      </c>
      <c r="R35" s="20">
        <f>IFERROR(__xludf.DUMMYFUNCTION("""COMPUTED_VALUE"""),18.0)</f>
        <v>18</v>
      </c>
      <c r="S35" s="26" t="str">
        <f>IFERROR(__xludf.DUMMYFUNCTION("""COMPUTED_VALUE"""),"")</f>
        <v/>
      </c>
      <c r="T35" s="22">
        <f>IFERROR(__xludf.DUMMYFUNCTION("""COMPUTED_VALUE"""),0.0)</f>
        <v>0</v>
      </c>
      <c r="U35" s="22">
        <f>IFERROR(__xludf.DUMMYFUNCTION("""COMPUTED_VALUE"""),0.16666666666666666)</f>
        <v>0.1666666667</v>
      </c>
      <c r="V35" s="23" t="str">
        <f>IFERROR(__xludf.DUMMYFUNCTION("""COMPUTED_VALUE"""),"")</f>
        <v/>
      </c>
      <c r="W35" s="18">
        <f>IFERROR(__xludf.DUMMYFUNCTION("""COMPUTED_VALUE"""),0.0)</f>
        <v>0</v>
      </c>
      <c r="X35" s="19">
        <f>IFERROR(__xludf.DUMMYFUNCTION("""COMPUTED_VALUE"""),3.0)</f>
        <v>3</v>
      </c>
      <c r="Y35" s="20">
        <f>IFERROR(__xludf.DUMMYFUNCTION("""COMPUTED_VALUE"""),3.0)</f>
        <v>3</v>
      </c>
      <c r="Z35" s="27" t="str">
        <f>IFERROR(__xludf.DUMMYFUNCTION("""COMPUTED_VALUE"""),"")</f>
        <v/>
      </c>
      <c r="AA35" s="18">
        <f>IFERROR(__xludf.DUMMYFUNCTION("""COMPUTED_VALUE"""),8286.0)</f>
        <v>8286</v>
      </c>
      <c r="AB35" s="19">
        <f>IFERROR(__xludf.DUMMYFUNCTION("""COMPUTED_VALUE"""),28072.833333333332)</f>
        <v>28072.83333</v>
      </c>
      <c r="AC35" s="20">
        <f>IFERROR(__xludf.DUMMYFUNCTION("""COMPUTED_VALUE"""),19786.833333333332)</f>
        <v>19786.83333</v>
      </c>
      <c r="AD35" s="27">
        <f>IFERROR(__xludf.DUMMYFUNCTION("""COMPUTED_VALUE"""),2.387983747686861)</f>
        <v>2.387983748</v>
      </c>
      <c r="AE35" s="18">
        <f>IFERROR(__xludf.DUMMYFUNCTION("""COMPUTED_VALUE"""),0.0)</f>
        <v>0</v>
      </c>
      <c r="AF35" s="19">
        <f>IFERROR(__xludf.DUMMYFUNCTION("""COMPUTED_VALUE"""),84218.5)</f>
        <v>84218.5</v>
      </c>
      <c r="AG35" s="20">
        <f>IFERROR(__xludf.DUMMYFUNCTION("""COMPUTED_VALUE"""),84218.5)</f>
        <v>84218.5</v>
      </c>
      <c r="AH35" s="28" t="str">
        <f>IFERROR(__xludf.DUMMYFUNCTION("""COMPUTED_VALUE"""),"")</f>
        <v/>
      </c>
      <c r="AI35" s="29">
        <f>IFERROR(__xludf.DUMMYFUNCTION("""COMPUTED_VALUE"""),0.0)</f>
        <v>0</v>
      </c>
      <c r="AJ35" s="29">
        <f>IFERROR(__xludf.DUMMYFUNCTION("""COMPUTED_VALUE"""),0.0)</f>
        <v>0</v>
      </c>
      <c r="AK35" s="4">
        <f>IFERROR(__xludf.DUMMYFUNCTION("""COMPUTED_VALUE"""),0.0)</f>
        <v>0</v>
      </c>
      <c r="AL35" s="4">
        <f>IFERROR(__xludf.DUMMYFUNCTION("""COMPUTED_VALUE"""),4678.805555555556)</f>
        <v>4678.805556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 t="str">
        <f>IFERROR(__xludf.DUMMYFUNCTION("""COMPUTED_VALUE"""),"[SKL] Midia Paga - Frio")</f>
        <v>[SKL] Midia Paga - Frio</v>
      </c>
      <c r="B36" s="18">
        <f>IFERROR(__xludf.DUMMYFUNCTION("""COMPUTED_VALUE"""),0.0)</f>
        <v>0</v>
      </c>
      <c r="C36" s="19">
        <f>IFERROR(__xludf.DUMMYFUNCTION("""COMPUTED_VALUE"""),0.0)</f>
        <v>0</v>
      </c>
      <c r="D36" s="20"/>
      <c r="E36" s="21"/>
      <c r="F36" s="22">
        <f>IFERROR(__xludf.DUMMYFUNCTION("""COMPUTED_VALUE"""),0.0)</f>
        <v>0</v>
      </c>
      <c r="G36" s="22"/>
      <c r="H36" s="23"/>
      <c r="I36" s="18">
        <f>IFERROR(__xludf.DUMMYFUNCTION("""COMPUTED_VALUE"""),0.0)</f>
        <v>0</v>
      </c>
      <c r="J36" s="19">
        <f>IFERROR(__xludf.DUMMYFUNCTION("""COMPUTED_VALUE"""),0.0)</f>
        <v>0</v>
      </c>
      <c r="K36" s="20">
        <f>IFERROR(__xludf.DUMMYFUNCTION("""COMPUTED_VALUE"""),0.0)</f>
        <v>0</v>
      </c>
      <c r="L36" s="21" t="str">
        <f>IFERROR(__xludf.DUMMYFUNCTION("""COMPUTED_VALUE"""),"")</f>
        <v/>
      </c>
      <c r="M36" s="24">
        <f>IFERROR(__xludf.DUMMYFUNCTION("""COMPUTED_VALUE"""),0.0)</f>
        <v>0</v>
      </c>
      <c r="N36" s="22" t="str">
        <f>IFERROR(__xludf.DUMMYFUNCTION("""COMPUTED_VALUE"""),"")</f>
        <v/>
      </c>
      <c r="O36" s="25" t="str">
        <f>IFERROR(__xludf.DUMMYFUNCTION("""COMPUTED_VALUE"""),"")</f>
        <v/>
      </c>
      <c r="P36" s="18">
        <f>IFERROR(__xludf.DUMMYFUNCTION("""COMPUTED_VALUE"""),0.0)</f>
        <v>0</v>
      </c>
      <c r="Q36" s="19">
        <f>IFERROR(__xludf.DUMMYFUNCTION("""COMPUTED_VALUE"""),8.0)</f>
        <v>8</v>
      </c>
      <c r="R36" s="20">
        <f>IFERROR(__xludf.DUMMYFUNCTION("""COMPUTED_VALUE"""),8.0)</f>
        <v>8</v>
      </c>
      <c r="S36" s="26" t="str">
        <f>IFERROR(__xludf.DUMMYFUNCTION("""COMPUTED_VALUE"""),"")</f>
        <v/>
      </c>
      <c r="T36" s="22">
        <f>IFERROR(__xludf.DUMMYFUNCTION("""COMPUTED_VALUE"""),0.0)</f>
        <v>0</v>
      </c>
      <c r="U36" s="22">
        <f>IFERROR(__xludf.DUMMYFUNCTION("""COMPUTED_VALUE"""),0.0)</f>
        <v>0</v>
      </c>
      <c r="V36" s="23" t="str">
        <f>IFERROR(__xludf.DUMMYFUNCTION("""COMPUTED_VALUE"""),"")</f>
        <v/>
      </c>
      <c r="W36" s="18">
        <f>IFERROR(__xludf.DUMMYFUNCTION("""COMPUTED_VALUE"""),0.0)</f>
        <v>0</v>
      </c>
      <c r="X36" s="19">
        <f>IFERROR(__xludf.DUMMYFUNCTION("""COMPUTED_VALUE"""),0.0)</f>
        <v>0</v>
      </c>
      <c r="Y36" s="20">
        <f>IFERROR(__xludf.DUMMYFUNCTION("""COMPUTED_VALUE"""),0.0)</f>
        <v>0</v>
      </c>
      <c r="Z36" s="27" t="str">
        <f>IFERROR(__xludf.DUMMYFUNCTION("""COMPUTED_VALUE"""),"")</f>
        <v/>
      </c>
      <c r="AA36" s="18">
        <f>IFERROR(__xludf.DUMMYFUNCTION("""COMPUTED_VALUE"""),20117.0)</f>
        <v>20117</v>
      </c>
      <c r="AB36" s="19">
        <f>IFERROR(__xludf.DUMMYFUNCTION("""COMPUTED_VALUE"""),0.0)</f>
        <v>0</v>
      </c>
      <c r="AC36" s="20">
        <f>IFERROR(__xludf.DUMMYFUNCTION("""COMPUTED_VALUE"""),-20117.0)</f>
        <v>-20117</v>
      </c>
      <c r="AD36" s="27">
        <f>IFERROR(__xludf.DUMMYFUNCTION("""COMPUTED_VALUE"""),-1.0)</f>
        <v>-1</v>
      </c>
      <c r="AE36" s="18">
        <f>IFERROR(__xludf.DUMMYFUNCTION("""COMPUTED_VALUE"""),0.0)</f>
        <v>0</v>
      </c>
      <c r="AF36" s="19">
        <f>IFERROR(__xludf.DUMMYFUNCTION("""COMPUTED_VALUE"""),0.0)</f>
        <v>0</v>
      </c>
      <c r="AG36" s="20">
        <f>IFERROR(__xludf.DUMMYFUNCTION("""COMPUTED_VALUE"""),0.0)</f>
        <v>0</v>
      </c>
      <c r="AH36" s="28" t="str">
        <f>IFERROR(__xludf.DUMMYFUNCTION("""COMPUTED_VALUE"""),"")</f>
        <v/>
      </c>
      <c r="AI36" s="29">
        <f>IFERROR(__xludf.DUMMYFUNCTION("""COMPUTED_VALUE"""),0.0)</f>
        <v>0</v>
      </c>
      <c r="AJ36" s="29">
        <f>IFERROR(__xludf.DUMMYFUNCTION("""COMPUTED_VALUE"""),0.0)</f>
        <v>0</v>
      </c>
      <c r="AK36" s="4">
        <f>IFERROR(__xludf.DUMMYFUNCTION("""COMPUTED_VALUE"""),0.0)</f>
        <v>0</v>
      </c>
      <c r="AL36" s="4">
        <f>IFERROR(__xludf.DUMMYFUNCTION("""COMPUTED_VALUE"""),0.0)</f>
        <v>0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 t="str">
        <f>IFERROR(__xludf.DUMMYFUNCTION("""COMPUTED_VALUE"""),"[SKL] Midia Paga - Morno")</f>
        <v>[SKL] Midia Paga - Morno</v>
      </c>
      <c r="B37" s="18">
        <f>IFERROR(__xludf.DUMMYFUNCTION("""COMPUTED_VALUE"""),0.0)</f>
        <v>0</v>
      </c>
      <c r="C37" s="19">
        <f>IFERROR(__xludf.DUMMYFUNCTION("""COMPUTED_VALUE"""),0.0)</f>
        <v>0</v>
      </c>
      <c r="D37" s="20"/>
      <c r="E37" s="21"/>
      <c r="F37" s="22">
        <f>IFERROR(__xludf.DUMMYFUNCTION("""COMPUTED_VALUE"""),0.0)</f>
        <v>0</v>
      </c>
      <c r="G37" s="22"/>
      <c r="H37" s="23"/>
      <c r="I37" s="18">
        <f>IFERROR(__xludf.DUMMYFUNCTION("""COMPUTED_VALUE"""),0.0)</f>
        <v>0</v>
      </c>
      <c r="J37" s="19">
        <f>IFERROR(__xludf.DUMMYFUNCTION("""COMPUTED_VALUE"""),0.0)</f>
        <v>0</v>
      </c>
      <c r="K37" s="20">
        <f>IFERROR(__xludf.DUMMYFUNCTION("""COMPUTED_VALUE"""),0.0)</f>
        <v>0</v>
      </c>
      <c r="L37" s="21" t="str">
        <f>IFERROR(__xludf.DUMMYFUNCTION("""COMPUTED_VALUE"""),"")</f>
        <v/>
      </c>
      <c r="M37" s="24">
        <f>IFERROR(__xludf.DUMMYFUNCTION("""COMPUTED_VALUE"""),0.0)</f>
        <v>0</v>
      </c>
      <c r="N37" s="22" t="str">
        <f>IFERROR(__xludf.DUMMYFUNCTION("""COMPUTED_VALUE"""),"")</f>
        <v/>
      </c>
      <c r="O37" s="25" t="str">
        <f>IFERROR(__xludf.DUMMYFUNCTION("""COMPUTED_VALUE"""),"")</f>
        <v/>
      </c>
      <c r="P37" s="18">
        <f>IFERROR(__xludf.DUMMYFUNCTION("""COMPUTED_VALUE"""),0.0)</f>
        <v>0</v>
      </c>
      <c r="Q37" s="19">
        <f>IFERROR(__xludf.DUMMYFUNCTION("""COMPUTED_VALUE"""),0.0)</f>
        <v>0</v>
      </c>
      <c r="R37" s="20">
        <f>IFERROR(__xludf.DUMMYFUNCTION("""COMPUTED_VALUE"""),0.0)</f>
        <v>0</v>
      </c>
      <c r="S37" s="26" t="str">
        <f>IFERROR(__xludf.DUMMYFUNCTION("""COMPUTED_VALUE"""),"")</f>
        <v/>
      </c>
      <c r="T37" s="22">
        <f>IFERROR(__xludf.DUMMYFUNCTION("""COMPUTED_VALUE"""),0.0)</f>
        <v>0</v>
      </c>
      <c r="U37" s="22" t="str">
        <f>IFERROR(__xludf.DUMMYFUNCTION("""COMPUTED_VALUE"""),"")</f>
        <v/>
      </c>
      <c r="V37" s="23" t="str">
        <f>IFERROR(__xludf.DUMMYFUNCTION("""COMPUTED_VALUE"""),"")</f>
        <v/>
      </c>
      <c r="W37" s="18">
        <f>IFERROR(__xludf.DUMMYFUNCTION("""COMPUTED_VALUE"""),0.0)</f>
        <v>0</v>
      </c>
      <c r="X37" s="19">
        <f>IFERROR(__xludf.DUMMYFUNCTION("""COMPUTED_VALUE"""),0.0)</f>
        <v>0</v>
      </c>
      <c r="Y37" s="20">
        <f>IFERROR(__xludf.DUMMYFUNCTION("""COMPUTED_VALUE"""),0.0)</f>
        <v>0</v>
      </c>
      <c r="Z37" s="27" t="str">
        <f>IFERROR(__xludf.DUMMYFUNCTION("""COMPUTED_VALUE"""),"")</f>
        <v/>
      </c>
      <c r="AA37" s="18">
        <f>IFERROR(__xludf.DUMMYFUNCTION("""COMPUTED_VALUE"""),18533.0)</f>
        <v>18533</v>
      </c>
      <c r="AB37" s="19">
        <f>IFERROR(__xludf.DUMMYFUNCTION("""COMPUTED_VALUE"""),0.0)</f>
        <v>0</v>
      </c>
      <c r="AC37" s="20">
        <f>IFERROR(__xludf.DUMMYFUNCTION("""COMPUTED_VALUE"""),-18533.0)</f>
        <v>-18533</v>
      </c>
      <c r="AD37" s="27">
        <f>IFERROR(__xludf.DUMMYFUNCTION("""COMPUTED_VALUE"""),-1.0)</f>
        <v>-1</v>
      </c>
      <c r="AE37" s="18">
        <f>IFERROR(__xludf.DUMMYFUNCTION("""COMPUTED_VALUE"""),0.0)</f>
        <v>0</v>
      </c>
      <c r="AF37" s="19">
        <f>IFERROR(__xludf.DUMMYFUNCTION("""COMPUTED_VALUE"""),0.0)</f>
        <v>0</v>
      </c>
      <c r="AG37" s="20">
        <f>IFERROR(__xludf.DUMMYFUNCTION("""COMPUTED_VALUE"""),0.0)</f>
        <v>0</v>
      </c>
      <c r="AH37" s="28" t="str">
        <f>IFERROR(__xludf.DUMMYFUNCTION("""COMPUTED_VALUE"""),"")</f>
        <v/>
      </c>
      <c r="AI37" s="29">
        <f>IFERROR(__xludf.DUMMYFUNCTION("""COMPUTED_VALUE"""),0.0)</f>
        <v>0</v>
      </c>
      <c r="AJ37" s="29">
        <f>IFERROR(__xludf.DUMMYFUNCTION("""COMPUTED_VALUE"""),0.0)</f>
        <v>0</v>
      </c>
      <c r="AK37" s="4">
        <f>IFERROR(__xludf.DUMMYFUNCTION("""COMPUTED_VALUE"""),0.0)</f>
        <v>0</v>
      </c>
      <c r="AL37" s="4">
        <f>IFERROR(__xludf.DUMMYFUNCTION("""COMPUTED_VALUE"""),0.0)</f>
        <v>0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IFERROR(__xludf.DUMMYFUNCTION("""COMPUTED_VALUE"""),329.58064516129014)</f>
        <v>329.5806452</v>
      </c>
      <c r="C2" s="11">
        <f>IFERROR(__xludf.DUMMYFUNCTION("""COMPUTED_VALUE"""),330.0)</f>
        <v>330</v>
      </c>
      <c r="D2" s="11">
        <f>IFERROR(__xludf.DUMMYFUNCTION("""COMPUTED_VALUE"""),0.41935483870986445)</f>
        <v>0.4193548387</v>
      </c>
      <c r="E2" s="10">
        <f>IFERROR(__xludf.DUMMYFUNCTION("""COMPUTED_VALUE"""),0.0012723891553299213)</f>
        <v>0.001272389155</v>
      </c>
      <c r="F2" s="10">
        <f>IFERROR(__xludf.DUMMYFUNCTION("""COMPUTED_VALUE"""),0.814661134163209)</f>
        <v>0.8146611342</v>
      </c>
      <c r="G2" s="10">
        <f>IFERROR(__xludf.DUMMYFUNCTION("""COMPUTED_VALUE"""),0.7484848484848485)</f>
        <v>0.7484848485</v>
      </c>
      <c r="H2" s="35">
        <f>IFERROR(__xludf.DUMMYFUNCTION("""COMPUTED_VALUE"""),-6.617628567836043)</f>
        <v>-6.617628568</v>
      </c>
      <c r="I2" s="11">
        <f>IFERROR(__xludf.DUMMYFUNCTION("""COMPUTED_VALUE"""),268.49654218533874)</f>
        <v>268.4965422</v>
      </c>
      <c r="J2" s="11">
        <f>IFERROR(__xludf.DUMMYFUNCTION("""COMPUTED_VALUE"""),247.0)</f>
        <v>247</v>
      </c>
      <c r="K2" s="11">
        <f>IFERROR(__xludf.DUMMYFUNCTION("""COMPUTED_VALUE"""),-21.49654218533874)</f>
        <v>-21.49654219</v>
      </c>
      <c r="L2" s="10">
        <f>IFERROR(__xludf.DUMMYFUNCTION("""COMPUTED_VALUE"""),-0.08006264069687732)</f>
        <v>-0.0800626407</v>
      </c>
      <c r="M2" s="10">
        <f>IFERROR(__xludf.DUMMYFUNCTION("""COMPUTED_VALUE"""),0.3047987616099072)</f>
        <v>0.3047987616</v>
      </c>
      <c r="N2" s="10">
        <f>IFERROR(__xludf.DUMMYFUNCTION("""COMPUTED_VALUE"""),0.27530364372469635)</f>
        <v>0.2753036437</v>
      </c>
      <c r="O2" s="35">
        <f>IFERROR(__xludf.DUMMYFUNCTION("""COMPUTED_VALUE"""),-2.9495117885210864)</f>
        <v>-2.949511789</v>
      </c>
      <c r="P2" s="11">
        <f>IFERROR(__xludf.DUMMYFUNCTION("""COMPUTED_VALUE"""),81.83741355463346)</f>
        <v>81.83741355</v>
      </c>
      <c r="Q2" s="11">
        <f>IFERROR(__xludf.DUMMYFUNCTION("""COMPUTED_VALUE"""),68.0)</f>
        <v>68</v>
      </c>
      <c r="R2" s="11">
        <f>IFERROR(__xludf.DUMMYFUNCTION("""COMPUTED_VALUE"""),-13.837413554633457)</f>
        <v>-13.83741355</v>
      </c>
      <c r="S2" s="10">
        <f>IFERROR(__xludf.DUMMYFUNCTION("""COMPUTED_VALUE"""),-0.16908419943398875)</f>
        <v>-0.1690841994</v>
      </c>
      <c r="T2" s="11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IFERROR(__xludf.DUMMYFUNCTION("""COMPUTED_VALUE"""),-24248.212884484452)</f>
        <v>-24248.21288</v>
      </c>
      <c r="W2" s="10">
        <f>IFERROR(__xludf.DUMMYFUNCTION("""COMPUTED_VALUE"""),-0.08006264069687732)</f>
        <v>-0.0800626407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IFERROR(__xludf.DUMMYFUNCTION("""COMPUTED_VALUE"""),71.29032258064512)</f>
        <v>71.29032258</v>
      </c>
      <c r="C3" s="11">
        <f>IFERROR(__xludf.DUMMYFUNCTION("""COMPUTED_VALUE"""),74.0)</f>
        <v>74</v>
      </c>
      <c r="D3" s="11">
        <f>IFERROR(__xludf.DUMMYFUNCTION("""COMPUTED_VALUE"""),2.7096774193548754)</f>
        <v>2.709677419</v>
      </c>
      <c r="E3" s="10">
        <f>IFERROR(__xludf.DUMMYFUNCTION("""COMPUTED_VALUE"""),0.03800904977375619)</f>
        <v>0.03800904977</v>
      </c>
      <c r="F3" s="10">
        <f>IFERROR(__xludf.DUMMYFUNCTION("""COMPUTED_VALUE"""),0.8)</f>
        <v>0.8</v>
      </c>
      <c r="G3" s="10">
        <f>IFERROR(__xludf.DUMMYFUNCTION("""COMPUTED_VALUE"""),0.8243243243243243)</f>
        <v>0.8243243243</v>
      </c>
      <c r="H3" s="35">
        <f>IFERROR(__xludf.DUMMYFUNCTION("""COMPUTED_VALUE"""),2.43243243243243)</f>
        <v>2.432432432</v>
      </c>
      <c r="I3" s="11">
        <f>IFERROR(__xludf.DUMMYFUNCTION("""COMPUTED_VALUE"""),57.0322580645161)</f>
        <v>57.03225806</v>
      </c>
      <c r="J3" s="11">
        <f>IFERROR(__xludf.DUMMYFUNCTION("""COMPUTED_VALUE"""),61.0)</f>
        <v>61</v>
      </c>
      <c r="K3" s="11">
        <f>IFERROR(__xludf.DUMMYFUNCTION("""COMPUTED_VALUE"""),3.9677419354839003)</f>
        <v>3.967741935</v>
      </c>
      <c r="L3" s="10">
        <f>IFERROR(__xludf.DUMMYFUNCTION("""COMPUTED_VALUE"""),0.06957013574660688)</f>
        <v>0.06957013575</v>
      </c>
      <c r="M3" s="10">
        <f>IFERROR(__xludf.DUMMYFUNCTION("""COMPUTED_VALUE"""),0.30859728506787343)</f>
        <v>0.3085972851</v>
      </c>
      <c r="N3" s="10">
        <f>IFERROR(__xludf.DUMMYFUNCTION("""COMPUTED_VALUE"""),0.3114754098360656)</f>
        <v>0.3114754098</v>
      </c>
      <c r="O3" s="35">
        <f>IFERROR(__xludf.DUMMYFUNCTION("""COMPUTED_VALUE"""),0.28781247681921585)</f>
        <v>0.2878124768</v>
      </c>
      <c r="P3" s="11">
        <f>IFERROR(__xludf.DUMMYFUNCTION("""COMPUTED_VALUE"""),17.599999999999998)</f>
        <v>17.6</v>
      </c>
      <c r="Q3" s="11">
        <f>IFERROR(__xludf.DUMMYFUNCTION("""COMPUTED_VALUE"""),19.0)</f>
        <v>19</v>
      </c>
      <c r="R3" s="11">
        <f>IFERROR(__xludf.DUMMYFUNCTION("""COMPUTED_VALUE"""),1.4000000000000021)</f>
        <v>1.4</v>
      </c>
      <c r="S3" s="10">
        <f>IFERROR(__xludf.DUMMYFUNCTION("""COMPUTED_VALUE"""),0.07954545454545468)</f>
        <v>0.07954545455</v>
      </c>
      <c r="T3" s="11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IFERROR(__xludf.DUMMYFUNCTION("""COMPUTED_VALUE"""),4313.6312811149655)</f>
        <v>4313.631281</v>
      </c>
      <c r="W3" s="10">
        <f>IFERROR(__xludf.DUMMYFUNCTION("""COMPUTED_VALUE"""),0.06957013574660686)</f>
        <v>0.06957013575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IFERROR(__xludf.DUMMYFUNCTION("""COMPUTED_VALUE"""),1250.3225806451608)</f>
        <v>1250.322581</v>
      </c>
      <c r="C4" s="11">
        <f>IFERROR(__xludf.DUMMYFUNCTION("""COMPUTED_VALUE"""),947.0)</f>
        <v>947</v>
      </c>
      <c r="D4" s="11">
        <f>IFERROR(__xludf.DUMMYFUNCTION("""COMPUTED_VALUE"""),-303.32258064516077)</f>
        <v>-303.3225806</v>
      </c>
      <c r="E4" s="10">
        <f>IFERROR(__xludf.DUMMYFUNCTION("""COMPUTED_VALUE"""),-0.2425954592363258)</f>
        <v>-0.2425954592</v>
      </c>
      <c r="F4" s="10">
        <f>IFERROR(__xludf.DUMMYFUNCTION("""COMPUTED_VALUE"""),0.7882218697919465)</f>
        <v>0.7882218698</v>
      </c>
      <c r="G4" s="10">
        <f>IFERROR(__xludf.DUMMYFUNCTION("""COMPUTED_VALUE"""),0.8796198521647307)</f>
        <v>0.8796198522</v>
      </c>
      <c r="H4" s="35">
        <f>IFERROR(__xludf.DUMMYFUNCTION("""COMPUTED_VALUE"""),9.139798237278418)</f>
        <v>9.139798237</v>
      </c>
      <c r="I4" s="11">
        <f>IFERROR(__xludf.DUMMYFUNCTION("""COMPUTED_VALUE"""),985.5316023592205)</f>
        <v>985.5316024</v>
      </c>
      <c r="J4" s="11">
        <f>IFERROR(__xludf.DUMMYFUNCTION("""COMPUTED_VALUE"""),833.0)</f>
        <v>833</v>
      </c>
      <c r="K4" s="11">
        <f>IFERROR(__xludf.DUMMYFUNCTION("""COMPUTED_VALUE"""),-152.53160235922053)</f>
        <v>-152.5316024</v>
      </c>
      <c r="L4" s="10">
        <f>IFERROR(__xludf.DUMMYFUNCTION("""COMPUTED_VALUE"""),-0.15477088912631706)</f>
        <v>-0.1547708891</v>
      </c>
      <c r="M4" s="10">
        <f>IFERROR(__xludf.DUMMYFUNCTION("""COMPUTED_VALUE"""),0.366544922676706)</f>
        <v>0.3665449227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IFERROR(__xludf.DUMMYFUNCTION("""COMPUTED_VALUE"""),361.2416049822107)</f>
        <v>361.241605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IFERROR(__xludf.DUMMYFUNCTION("""COMPUTED_VALUE"""),-403615.2997057589)</f>
        <v>-403615.2997</v>
      </c>
      <c r="W4" s="10">
        <f>IFERROR(__xludf.DUMMYFUNCTION("""COMPUTED_VALUE"""),-0.267872105071598)</f>
        <v>-0.2678721051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IFERROR(__xludf.DUMMYFUNCTION("""COMPUTED_VALUE"""),767.7419354838706)</f>
        <v>767.7419355</v>
      </c>
      <c r="C5" s="11">
        <f>IFERROR(__xludf.DUMMYFUNCTION("""COMPUTED_VALUE"""),708.0)</f>
        <v>708</v>
      </c>
      <c r="D5" s="11">
        <f>IFERROR(__xludf.DUMMYFUNCTION("""COMPUTED_VALUE"""),-59.741935483870634)</f>
        <v>-59.74193548</v>
      </c>
      <c r="E5" s="10">
        <f>IFERROR(__xludf.DUMMYFUNCTION("""COMPUTED_VALUE"""),-0.07781512605041976)</f>
        <v>-0.07781512605</v>
      </c>
      <c r="F5" s="10">
        <f>IFERROR(__xludf.DUMMYFUNCTION("""COMPUTED_VALUE"""),0.7999999999999999)</f>
        <v>0.8</v>
      </c>
      <c r="G5" s="10">
        <f>IFERROR(__xludf.DUMMYFUNCTION("""COMPUTED_VALUE"""),0.7669491525423728)</f>
        <v>0.7669491525</v>
      </c>
      <c r="H5" s="35">
        <f>IFERROR(__xludf.DUMMYFUNCTION("""COMPUTED_VALUE"""),-3.3050847457627097)</f>
        <v>-3.305084746</v>
      </c>
      <c r="I5" s="11">
        <f>IFERROR(__xludf.DUMMYFUNCTION("""COMPUTED_VALUE"""),614.1935483870965)</f>
        <v>614.1935484</v>
      </c>
      <c r="J5" s="11">
        <f>IFERROR(__xludf.DUMMYFUNCTION("""COMPUTED_VALUE"""),543.0)</f>
        <v>543</v>
      </c>
      <c r="K5" s="11">
        <f>IFERROR(__xludf.DUMMYFUNCTION("""COMPUTED_VALUE"""),-71.19354838709648)</f>
        <v>-71.19354839</v>
      </c>
      <c r="L5" s="10">
        <f>IFERROR(__xludf.DUMMYFUNCTION("""COMPUTED_VALUE"""),-0.11591386554621808)</f>
        <v>-0.1159138655</v>
      </c>
      <c r="M5" s="10">
        <f>IFERROR(__xludf.DUMMYFUNCTION("""COMPUTED_VALUE"""),0.3630014081802471)</f>
        <v>0.3630014082</v>
      </c>
      <c r="N5" s="10">
        <f>IFERROR(__xludf.DUMMYFUNCTION("""COMPUTED_VALUE"""),0.3425414364640884)</f>
        <v>0.3425414365</v>
      </c>
      <c r="O5" s="35">
        <f>IFERROR(__xludf.DUMMYFUNCTION("""COMPUTED_VALUE"""),-2.0459971716158707)</f>
        <v>-2.045997172</v>
      </c>
      <c r="P5" s="11">
        <f>IFERROR(__xludf.DUMMYFUNCTION("""COMPUTED_VALUE"""),222.95312295973878)</f>
        <v>222.953123</v>
      </c>
      <c r="Q5" s="11">
        <f>IFERROR(__xludf.DUMMYFUNCTION("""COMPUTED_VALUE"""),186.0)</f>
        <v>186</v>
      </c>
      <c r="R5" s="11">
        <f>IFERROR(__xludf.DUMMYFUNCTION("""COMPUTED_VALUE"""),-36.95312295973878)</f>
        <v>-36.95312296</v>
      </c>
      <c r="S5" s="10">
        <f>IFERROR(__xludf.DUMMYFUNCTION("""COMPUTED_VALUE"""),-0.1657439127525109)</f>
        <v>-0.1657439128</v>
      </c>
      <c r="T5" s="11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IFERROR(__xludf.DUMMYFUNCTION("""COMPUTED_VALUE"""),-100506.04218420495)</f>
        <v>-100506.0422</v>
      </c>
      <c r="W5" s="10">
        <f>IFERROR(__xludf.DUMMYFUNCTION("""COMPUTED_VALUE"""),-0.11591386554621806)</f>
        <v>-0.1159138655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IFERROR(__xludf.DUMMYFUNCTION("""COMPUTED_VALUE"""),159.0)</f>
        <v>159</v>
      </c>
      <c r="D6" s="9"/>
      <c r="E6" s="9"/>
      <c r="F6" s="9"/>
      <c r="G6" s="10">
        <f>IFERROR(__xludf.DUMMYFUNCTION("""COMPUTED_VALUE"""),0.8679245283018868)</f>
        <v>0.8679245283</v>
      </c>
      <c r="H6" s="9"/>
      <c r="I6" s="9"/>
      <c r="J6" s="11">
        <f>IFERROR(__xludf.DUMMYFUNCTION("""COMPUTED_VALUE"""),138.0)</f>
        <v>138</v>
      </c>
      <c r="K6" s="9"/>
      <c r="L6" s="9"/>
      <c r="M6" s="10">
        <f>IFERROR(__xludf.DUMMYFUNCTION("""COMPUTED_VALUE"""),0.3630014081802471)</f>
        <v>0.3630014082</v>
      </c>
      <c r="N6" s="10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1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1">
        <f>IFERROR(__xludf.DUMMYFUNCTION("""COMPUTED_VALUE"""),133.0)</f>
        <v>133</v>
      </c>
      <c r="D7" s="9"/>
      <c r="E7" s="9"/>
      <c r="F7" s="9"/>
      <c r="G7" s="10">
        <f>IFERROR(__xludf.DUMMYFUNCTION("""COMPUTED_VALUE"""),0.849624060150376)</f>
        <v>0.8496240602</v>
      </c>
      <c r="H7" s="9"/>
      <c r="I7" s="9"/>
      <c r="J7" s="11">
        <f>IFERROR(__xludf.DUMMYFUNCTION("""COMPUTED_VALUE"""),113.0)</f>
        <v>113</v>
      </c>
      <c r="K7" s="9"/>
      <c r="L7" s="9"/>
      <c r="M7" s="9"/>
      <c r="N7" s="10">
        <f>IFERROR(__xludf.DUMMYFUNCTION("""COMPUTED_VALUE"""),0.40707964601769914)</f>
        <v>0.407079646</v>
      </c>
      <c r="O7" s="9"/>
      <c r="P7" s="9"/>
      <c r="Q7" s="11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IFERROR(__xludf.DUMMYFUNCTION("""COMPUTED_VALUE"""),143.0)</f>
        <v>143</v>
      </c>
      <c r="D8" s="9"/>
      <c r="E8" s="9"/>
      <c r="F8" s="9"/>
      <c r="G8" s="10">
        <f>IFERROR(__xludf.DUMMYFUNCTION("""COMPUTED_VALUE"""),0.8321678321678322)</f>
        <v>0.8321678322</v>
      </c>
      <c r="H8" s="9"/>
      <c r="I8" s="9"/>
      <c r="J8" s="11">
        <f>IFERROR(__xludf.DUMMYFUNCTION("""COMPUTED_VALUE"""),119.0)</f>
        <v>119</v>
      </c>
      <c r="K8" s="9"/>
      <c r="L8" s="9"/>
      <c r="M8" s="10">
        <f>IFERROR(__xludf.DUMMYFUNCTION("""COMPUTED_VALUE"""),0.3630014081802471)</f>
        <v>0.3630014082</v>
      </c>
      <c r="N8" s="10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1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1">
        <f>IFERROR(__xludf.DUMMYFUNCTION("""COMPUTED_VALUE"""),152.0)</f>
        <v>152</v>
      </c>
      <c r="D9" s="9"/>
      <c r="E9" s="9"/>
      <c r="F9" s="9"/>
      <c r="G9" s="10">
        <f>IFERROR(__xludf.DUMMYFUNCTION("""COMPUTED_VALUE"""),0.7894736842105263)</f>
        <v>0.7894736842</v>
      </c>
      <c r="H9" s="9"/>
      <c r="I9" s="9"/>
      <c r="J9" s="11">
        <f>IFERROR(__xludf.DUMMYFUNCTION("""COMPUTED_VALUE"""),120.0)</f>
        <v>120</v>
      </c>
      <c r="K9" s="9"/>
      <c r="L9" s="9"/>
      <c r="M9" s="10">
        <f>IFERROR(__xludf.DUMMYFUNCTION("""COMPUTED_VALUE"""),0.3630014081802471)</f>
        <v>0.3630014082</v>
      </c>
      <c r="N9" s="10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1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1">
        <f>IFERROR(__xludf.DUMMYFUNCTION("""COMPUTED_VALUE"""),134.0)</f>
        <v>134</v>
      </c>
      <c r="D10" s="9"/>
      <c r="E10" s="9"/>
      <c r="F10" s="9"/>
      <c r="G10" s="10">
        <f>IFERROR(__xludf.DUMMYFUNCTION("""COMPUTED_VALUE"""),0.8507462686567164)</f>
        <v>0.8507462687</v>
      </c>
      <c r="H10" s="9"/>
      <c r="I10" s="9"/>
      <c r="J10" s="11">
        <f>IFERROR(__xludf.DUMMYFUNCTION("""COMPUTED_VALUE"""),114.0)</f>
        <v>114</v>
      </c>
      <c r="K10" s="9"/>
      <c r="L10" s="9"/>
      <c r="M10" s="10">
        <f>IFERROR(__xludf.DUMMYFUNCTION("""COMPUTED_VALUE"""),0.3630014081802471)</f>
        <v>0.3630014082</v>
      </c>
      <c r="N10" s="10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1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IFERROR(__xludf.DUMMYFUNCTION("""COMPUTED_VALUE"""),145.0)</f>
        <v>145</v>
      </c>
      <c r="D11" s="9"/>
      <c r="E11" s="9"/>
      <c r="F11" s="9"/>
      <c r="G11" s="10">
        <f>IFERROR(__xludf.DUMMYFUNCTION("""COMPUTED_VALUE"""),0.8068965517241379)</f>
        <v>0.8068965517</v>
      </c>
      <c r="H11" s="9"/>
      <c r="I11" s="9"/>
      <c r="J11" s="11">
        <f>IFERROR(__xludf.DUMMYFUNCTION("""COMPUTED_VALUE"""),117.0)</f>
        <v>117</v>
      </c>
      <c r="K11" s="9"/>
      <c r="L11" s="9"/>
      <c r="M11" s="10">
        <f>IFERROR(__xludf.DUMMYFUNCTION("""COMPUTED_VALUE"""),0.3630014081802471)</f>
        <v>0.3630014082</v>
      </c>
      <c r="N11" s="10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1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IFERROR(__xludf.DUMMYFUNCTION("""COMPUTED_VALUE"""),124.0)</f>
        <v>124</v>
      </c>
      <c r="D12" s="9"/>
      <c r="E12" s="9"/>
      <c r="F12" s="9"/>
      <c r="G12" s="10">
        <f>IFERROR(__xludf.DUMMYFUNCTION("""COMPUTED_VALUE"""),0.9112903225806451)</f>
        <v>0.9112903226</v>
      </c>
      <c r="H12" s="9"/>
      <c r="I12" s="9"/>
      <c r="J12" s="11">
        <f>IFERROR(__xludf.DUMMYFUNCTION("""COMPUTED_VALUE"""),113.0)</f>
        <v>113</v>
      </c>
      <c r="K12" s="9"/>
      <c r="L12" s="9"/>
      <c r="M12" s="10">
        <f>IFERROR(__xludf.DUMMYFUNCTION("""COMPUTED_VALUE"""),0.3630014081802471)</f>
        <v>0.3630014082</v>
      </c>
      <c r="N12" s="10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1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1">
        <f>IFERROR(__xludf.DUMMYFUNCTION("""COMPUTED_VALUE"""),91.0)</f>
        <v>91</v>
      </c>
      <c r="D13" s="9"/>
      <c r="E13" s="9"/>
      <c r="F13" s="9"/>
      <c r="G13" s="10">
        <f>IFERROR(__xludf.DUMMYFUNCTION("""COMPUTED_VALUE"""),0.8901098901098901)</f>
        <v>0.8901098901</v>
      </c>
      <c r="H13" s="9"/>
      <c r="I13" s="9"/>
      <c r="J13" s="11">
        <f>IFERROR(__xludf.DUMMYFUNCTION("""COMPUTED_VALUE"""),81.0)</f>
        <v>81</v>
      </c>
      <c r="K13" s="9"/>
      <c r="L13" s="9"/>
      <c r="M13" s="10">
        <f>IFERROR(__xludf.DUMMYFUNCTION("""COMPUTED_VALUE"""),0.3630014081802471)</f>
        <v>0.3630014082</v>
      </c>
      <c r="N13" s="10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1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IFERROR(__xludf.DUMMYFUNCTION("""COMPUTED_VALUE"""),127.0)</f>
        <v>127</v>
      </c>
      <c r="D14" s="9"/>
      <c r="E14" s="9"/>
      <c r="F14" s="9"/>
      <c r="G14" s="10">
        <f>IFERROR(__xludf.DUMMYFUNCTION("""COMPUTED_VALUE"""),0.6850393700787402)</f>
        <v>0.6850393701</v>
      </c>
      <c r="H14" s="9"/>
      <c r="I14" s="9"/>
      <c r="J14" s="11">
        <f>IFERROR(__xludf.DUMMYFUNCTION("""COMPUTED_VALUE"""),87.0)</f>
        <v>87</v>
      </c>
      <c r="K14" s="9"/>
      <c r="L14" s="9"/>
      <c r="M14" s="10">
        <f>IFERROR(__xludf.DUMMYFUNCTION("""COMPUTED_VALUE"""),0.3630014081802471)</f>
        <v>0.3630014082</v>
      </c>
      <c r="N14" s="10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1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1">
        <f>IFERROR(__xludf.DUMMYFUNCTION("""COMPUTED_VALUE"""),141.0)</f>
        <v>141</v>
      </c>
      <c r="D15" s="9"/>
      <c r="E15" s="9"/>
      <c r="F15" s="9"/>
      <c r="G15" s="10">
        <f>IFERROR(__xludf.DUMMYFUNCTION("""COMPUTED_VALUE"""),0.8297872340425532)</f>
        <v>0.829787234</v>
      </c>
      <c r="H15" s="9"/>
      <c r="I15" s="9"/>
      <c r="J15" s="11">
        <f>IFERROR(__xludf.DUMMYFUNCTION("""COMPUTED_VALUE"""),117.0)</f>
        <v>117</v>
      </c>
      <c r="K15" s="9"/>
      <c r="L15" s="9"/>
      <c r="M15" s="10">
        <f>IFERROR(__xludf.DUMMYFUNCTION("""COMPUTED_VALUE"""),0.3630014081802471)</f>
        <v>0.3630014082</v>
      </c>
      <c r="N15" s="10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1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1">
        <f>IFERROR(__xludf.DUMMYFUNCTION("""COMPUTED_VALUE"""),65.0)</f>
        <v>65</v>
      </c>
      <c r="D16" s="9"/>
      <c r="E16" s="9"/>
      <c r="F16" s="9"/>
      <c r="G16" s="10">
        <f>IFERROR(__xludf.DUMMYFUNCTION("""COMPUTED_VALUE"""),0.8461538461538461)</f>
        <v>0.8461538462</v>
      </c>
      <c r="H16" s="9"/>
      <c r="I16" s="9"/>
      <c r="J16" s="11">
        <f>IFERROR(__xludf.DUMMYFUNCTION("""COMPUTED_VALUE"""),55.0)</f>
        <v>55</v>
      </c>
      <c r="K16" s="9"/>
      <c r="L16" s="9"/>
      <c r="M16" s="10">
        <f>IFERROR(__xludf.DUMMYFUNCTION("""COMPUTED_VALUE"""),0.3630014081802471)</f>
        <v>0.3630014082</v>
      </c>
      <c r="N16" s="10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1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1">
        <f>IFERROR(__xludf.DUMMYFUNCTION("""COMPUTED_VALUE"""),8.0)</f>
        <v>8</v>
      </c>
      <c r="D17" s="9"/>
      <c r="E17" s="9"/>
      <c r="F17" s="9"/>
      <c r="G17" s="10">
        <f>IFERROR(__xludf.DUMMYFUNCTION("""COMPUTED_VALUE"""),1.125)</f>
        <v>1.125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IFERROR(__xludf.DUMMYFUNCTION("""COMPUTED_VALUE"""),0.3630014081802471)</f>
        <v>0.3630014082</v>
      </c>
      <c r="N17" s="10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1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IFERROR(__xludf.DUMMYFUNCTION("""COMPUTED_VALUE"""),0.3630014081802471)</f>
        <v>0.3630014082</v>
      </c>
      <c r="N18" s="10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1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IFERROR(__xludf.DUMMYFUNCTION("""COMPUTED_VALUE"""),11.0)</f>
        <v>11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IFERROR(__xludf.DUMMYFUNCTION("""COMPUTED_VALUE"""),11.0)</f>
        <v>11</v>
      </c>
      <c r="K19" s="9"/>
      <c r="L19" s="9"/>
      <c r="M19" s="10">
        <f>IFERROR(__xludf.DUMMYFUNCTION("""COMPUTED_VALUE"""),0.3630014081802471)</f>
        <v>0.3630014082</v>
      </c>
      <c r="N19" s="10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1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IFERROR(__xludf.DUMMYFUNCTION("""COMPUTED_VALUE"""),0.3630014081802471)</f>
        <v>0.3630014082</v>
      </c>
      <c r="N20" s="10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1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IFERROR(__xludf.DUMMYFUNCTION("""COMPUTED_VALUE"""),0.3630014081802471)</f>
        <v>0.3630014082</v>
      </c>
      <c r="N21" s="10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1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IFERROR(__xludf.DUMMYFUNCTION("""COMPUTED_VALUE"""),0.3630014081802471)</f>
        <v>0.3630014082</v>
      </c>
      <c r="N22" s="10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1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1">
        <f>IFERROR(__xludf.DUMMYFUNCTION("""COMPUTED_VALUE"""),2.0)</f>
        <v>2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IFERROR(__xludf.DUMMYFUNCTION("""COMPUTED_VALUE"""),2.0)</f>
        <v>2</v>
      </c>
      <c r="K23" s="9"/>
      <c r="L23" s="9"/>
      <c r="M23" s="10">
        <f>IFERROR(__xludf.DUMMYFUNCTION("""COMPUTED_VALUE"""),0.3630014081802471)</f>
        <v>0.3630014082</v>
      </c>
      <c r="N23" s="10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1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1">
        <f>IFERROR(__xludf.DUMMYFUNCTION("""COMPUTED_VALUE"""),1.0)</f>
        <v>1</v>
      </c>
      <c r="D24" s="9"/>
      <c r="E24" s="9"/>
      <c r="F24" s="9"/>
      <c r="G24" s="10">
        <f>IFERROR(__xludf.DUMMYFUNCTION("""COMPUTED_VALUE"""),0.0)</f>
        <v>0</v>
      </c>
      <c r="H24" s="9"/>
      <c r="I24" s="9"/>
      <c r="J24" s="11">
        <f>IFERROR(__xludf.DUMMYFUNCTION("""COMPUTED_VALUE"""),0.0)</f>
        <v>0</v>
      </c>
      <c r="K24" s="9"/>
      <c r="L24" s="9"/>
      <c r="M24" s="10">
        <f>IFERROR(__xludf.DUMMYFUNCTION("""COMPUTED_VALUE"""),0.3630014081802471)</f>
        <v>0.3630014082</v>
      </c>
      <c r="N24" s="10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1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1">
        <f>IFERROR(__xludf.DUMMYFUNCTION("""COMPUTED_VALUE"""),230.32258064516117)</f>
        <v>230.3225806</v>
      </c>
      <c r="C25" s="11">
        <f>IFERROR(__xludf.DUMMYFUNCTION("""COMPUTED_VALUE"""),108.0)</f>
        <v>108</v>
      </c>
      <c r="D25" s="11">
        <f>IFERROR(__xludf.DUMMYFUNCTION("""COMPUTED_VALUE"""),-122.32258064516117)</f>
        <v>-122.3225806</v>
      </c>
      <c r="E25" s="10">
        <f>IFERROR(__xludf.DUMMYFUNCTION("""COMPUTED_VALUE"""),-0.5310924369747897)</f>
        <v>-0.531092437</v>
      </c>
      <c r="F25" s="10">
        <f>IFERROR(__xludf.DUMMYFUNCTION("""COMPUTED_VALUE"""),0.8100000000000002)</f>
        <v>0.81</v>
      </c>
      <c r="G25" s="10">
        <f>IFERROR(__xludf.DUMMYFUNCTION("""COMPUTED_VALUE"""),0.8703703703703703)</f>
        <v>0.8703703704</v>
      </c>
      <c r="H25" s="35">
        <f>IFERROR(__xludf.DUMMYFUNCTION("""COMPUTED_VALUE"""),6.0370370370370185)</f>
        <v>6.037037037</v>
      </c>
      <c r="I25" s="11">
        <f>IFERROR(__xludf.DUMMYFUNCTION("""COMPUTED_VALUE"""),186.5612903225806)</f>
        <v>186.5612903</v>
      </c>
      <c r="J25" s="11">
        <f>IFERROR(__xludf.DUMMYFUNCTION("""COMPUTED_VALUE"""),94.0)</f>
        <v>94</v>
      </c>
      <c r="K25" s="11">
        <f>IFERROR(__xludf.DUMMYFUNCTION("""COMPUTED_VALUE"""),-92.56129032258059)</f>
        <v>-92.56129032</v>
      </c>
      <c r="L25" s="10">
        <f>IFERROR(__xludf.DUMMYFUNCTION("""COMPUTED_VALUE"""),-0.49614413666701235)</f>
        <v>-0.4961441367</v>
      </c>
      <c r="M25" s="10">
        <f>IFERROR(__xludf.DUMMYFUNCTION("""COMPUTED_VALUE"""),0.31091176470588244)</f>
        <v>0.3109117647</v>
      </c>
      <c r="N25" s="10">
        <f>IFERROR(__xludf.DUMMYFUNCTION("""COMPUTED_VALUE"""),0.40425531914893614)</f>
        <v>0.4042553191</v>
      </c>
      <c r="O25" s="35">
        <f>IFERROR(__xludf.DUMMYFUNCTION("""COMPUTED_VALUE"""),9.33435544430537)</f>
        <v>9.334355444</v>
      </c>
      <c r="P25" s="11">
        <f>IFERROR(__xludf.DUMMYFUNCTION("""COMPUTED_VALUE"""),58.0041)</f>
        <v>58.0041</v>
      </c>
      <c r="Q25" s="11">
        <f>IFERROR(__xludf.DUMMYFUNCTION("""COMPUTED_VALUE"""),38.0)</f>
        <v>38</v>
      </c>
      <c r="R25" s="11">
        <f>IFERROR(__xludf.DUMMYFUNCTION("""COMPUTED_VALUE"""),-20.0041)</f>
        <v>-20.0041</v>
      </c>
      <c r="S25" s="10">
        <f>IFERROR(__xludf.DUMMYFUNCTION("""COMPUTED_VALUE"""),-0.344873896845223)</f>
        <v>-0.3448738968</v>
      </c>
      <c r="T25" s="11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IFERROR(__xludf.DUMMYFUNCTION("""COMPUTED_VALUE"""),-153224.5421788235)</f>
        <v>-153224.5422</v>
      </c>
      <c r="W25" s="10">
        <f>IFERROR(__xludf.DUMMYFUNCTION("""COMPUTED_VALUE"""),-0.4961441366670123)</f>
        <v>-0.4961441367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1">
        <f>IFERROR(__xludf.DUMMYFUNCTION("""COMPUTED_VALUE"""),38.0)</f>
        <v>38</v>
      </c>
      <c r="D26" s="9"/>
      <c r="E26" s="9"/>
      <c r="F26" s="9"/>
      <c r="G26" s="10">
        <f>IFERROR(__xludf.DUMMYFUNCTION("""COMPUTED_VALUE"""),0.9473684210526315)</f>
        <v>0.9473684211</v>
      </c>
      <c r="H26" s="9"/>
      <c r="I26" s="9"/>
      <c r="J26" s="11">
        <f>IFERROR(__xludf.DUMMYFUNCTION("""COMPUTED_VALUE"""),36.0)</f>
        <v>36</v>
      </c>
      <c r="K26" s="9"/>
      <c r="L26" s="9"/>
      <c r="M26" s="9"/>
      <c r="N26" s="10">
        <f>IFERROR(__xludf.DUMMYFUNCTION("""COMPUTED_VALUE"""),0.4722222222222222)</f>
        <v>0.4722222222</v>
      </c>
      <c r="O26" s="9"/>
      <c r="P26" s="9"/>
      <c r="Q26" s="11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1">
        <f>IFERROR(__xludf.DUMMYFUNCTION("""COMPUTED_VALUE"""),51.0)</f>
        <v>51</v>
      </c>
      <c r="D27" s="9"/>
      <c r="E27" s="9"/>
      <c r="F27" s="9"/>
      <c r="G27" s="10">
        <f>IFERROR(__xludf.DUMMYFUNCTION("""COMPUTED_VALUE"""),0.7450980392156863)</f>
        <v>0.7450980392</v>
      </c>
      <c r="H27" s="9"/>
      <c r="I27" s="9"/>
      <c r="J27" s="11">
        <f>IFERROR(__xludf.DUMMYFUNCTION("""COMPUTED_VALUE"""),38.0)</f>
        <v>38</v>
      </c>
      <c r="K27" s="9"/>
      <c r="L27" s="9"/>
      <c r="M27" s="9"/>
      <c r="N27" s="10">
        <f>IFERROR(__xludf.DUMMYFUNCTION("""COMPUTED_VALUE"""),0.4473684210526316)</f>
        <v>0.4473684211</v>
      </c>
      <c r="O27" s="9"/>
      <c r="P27" s="9"/>
      <c r="Q27" s="11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1">
        <f>IFERROR(__xludf.DUMMYFUNCTION("""COMPUTED_VALUE"""),53.0)</f>
        <v>53</v>
      </c>
      <c r="D28" s="9"/>
      <c r="E28" s="9"/>
      <c r="F28" s="9"/>
      <c r="G28" s="10">
        <f>IFERROR(__xludf.DUMMYFUNCTION("""COMPUTED_VALUE"""),0.8301886792452831)</f>
        <v>0.8301886792</v>
      </c>
      <c r="H28" s="9"/>
      <c r="I28" s="9"/>
      <c r="J28" s="11">
        <f>IFERROR(__xludf.DUMMYFUNCTION("""COMPUTED_VALUE"""),44.0)</f>
        <v>44</v>
      </c>
      <c r="K28" s="9"/>
      <c r="L28" s="9"/>
      <c r="M28" s="9"/>
      <c r="N28" s="10">
        <f>IFERROR(__xludf.DUMMYFUNCTION("""COMPUTED_VALUE"""),0.36363636363636365)</f>
        <v>0.3636363636</v>
      </c>
      <c r="O28" s="9"/>
      <c r="P28" s="9"/>
      <c r="Q28" s="11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1">
        <f>IFERROR(__xludf.DUMMYFUNCTION("""COMPUTED_VALUE"""),50.0)</f>
        <v>50</v>
      </c>
      <c r="D29" s="9"/>
      <c r="E29" s="9"/>
      <c r="F29" s="9"/>
      <c r="G29" s="10">
        <f>IFERROR(__xludf.DUMMYFUNCTION("""COMPUTED_VALUE"""),0.84)</f>
        <v>0.84</v>
      </c>
      <c r="H29" s="9"/>
      <c r="I29" s="9"/>
      <c r="J29" s="11">
        <f>IFERROR(__xludf.DUMMYFUNCTION("""COMPUTED_VALUE"""),42.0)</f>
        <v>42</v>
      </c>
      <c r="K29" s="9"/>
      <c r="L29" s="9"/>
      <c r="M29" s="9"/>
      <c r="N29" s="10">
        <f>IFERROR(__xludf.DUMMYFUNCTION("""COMPUTED_VALUE"""),0.3333333333333333)</f>
        <v>0.3333333333</v>
      </c>
      <c r="O29" s="9"/>
      <c r="P29" s="9"/>
      <c r="Q29" s="11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1">
        <f>IFERROR(__xludf.DUMMYFUNCTION("""COMPUTED_VALUE"""),40.0)</f>
        <v>40</v>
      </c>
      <c r="D30" s="9"/>
      <c r="E30" s="9"/>
      <c r="F30" s="9"/>
      <c r="G30" s="10">
        <f>IFERROR(__xludf.DUMMYFUNCTION("""COMPUTED_VALUE"""),0.8)</f>
        <v>0.8</v>
      </c>
      <c r="H30" s="9"/>
      <c r="I30" s="9"/>
      <c r="J30" s="11">
        <f>IFERROR(__xludf.DUMMYFUNCTION("""COMPUTED_VALUE"""),32.0)</f>
        <v>32</v>
      </c>
      <c r="K30" s="9"/>
      <c r="L30" s="9"/>
      <c r="M30" s="9"/>
      <c r="N30" s="10">
        <f>IFERROR(__xludf.DUMMYFUNCTION("""COMPUTED_VALUE"""),0.40625)</f>
        <v>0.40625</v>
      </c>
      <c r="O30" s="9"/>
      <c r="P30" s="9"/>
      <c r="Q30" s="11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IFERROR(__xludf.DUMMYFUNCTION("""COMPUTED_VALUE"""),47.0)</f>
        <v>47</v>
      </c>
      <c r="D31" s="9"/>
      <c r="E31" s="9"/>
      <c r="F31" s="9"/>
      <c r="G31" s="10">
        <f>IFERROR(__xludf.DUMMYFUNCTION("""COMPUTED_VALUE"""),0.8936170212765957)</f>
        <v>0.8936170213</v>
      </c>
      <c r="H31" s="9"/>
      <c r="I31" s="9"/>
      <c r="J31" s="11">
        <f>IFERROR(__xludf.DUMMYFUNCTION("""COMPUTED_VALUE"""),42.0)</f>
        <v>42</v>
      </c>
      <c r="K31" s="9"/>
      <c r="L31" s="9"/>
      <c r="M31" s="9"/>
      <c r="N31" s="10">
        <f>IFERROR(__xludf.DUMMYFUNCTION("""COMPUTED_VALUE"""),0.2857142857142857)</f>
        <v>0.2857142857</v>
      </c>
      <c r="O31" s="9"/>
      <c r="P31" s="9"/>
      <c r="Q31" s="11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1">
        <f>IFERROR(__xludf.DUMMYFUNCTION("""COMPUTED_VALUE"""),42.0)</f>
        <v>42</v>
      </c>
      <c r="D32" s="9"/>
      <c r="E32" s="9"/>
      <c r="F32" s="9"/>
      <c r="G32" s="10">
        <f>IFERROR(__xludf.DUMMYFUNCTION("""COMPUTED_VALUE"""),0.7619047619047619)</f>
        <v>0.7619047619</v>
      </c>
      <c r="H32" s="9"/>
      <c r="I32" s="9"/>
      <c r="J32" s="11">
        <f>IFERROR(__xludf.DUMMYFUNCTION("""COMPUTED_VALUE"""),32.0)</f>
        <v>32</v>
      </c>
      <c r="K32" s="9"/>
      <c r="L32" s="9"/>
      <c r="M32" s="9"/>
      <c r="N32" s="10">
        <f>IFERROR(__xludf.DUMMYFUNCTION("""COMPUTED_VALUE"""),0.3125)</f>
        <v>0.3125</v>
      </c>
      <c r="O32" s="9"/>
      <c r="P32" s="9"/>
      <c r="Q32" s="11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1">
        <f>IFERROR(__xludf.DUMMYFUNCTION("""COMPUTED_VALUE"""),32.0)</f>
        <v>32</v>
      </c>
      <c r="D33" s="9"/>
      <c r="E33" s="9"/>
      <c r="F33" s="9"/>
      <c r="G33" s="10">
        <f>IFERROR(__xludf.DUMMYFUNCTION("""COMPUTED_VALUE"""),0.90625)</f>
        <v>0.90625</v>
      </c>
      <c r="H33" s="9"/>
      <c r="I33" s="9"/>
      <c r="J33" s="11">
        <f>IFERROR(__xludf.DUMMYFUNCTION("""COMPUTED_VALUE"""),29.0)</f>
        <v>29</v>
      </c>
      <c r="K33" s="9"/>
      <c r="L33" s="9"/>
      <c r="M33" s="9"/>
      <c r="N33" s="10">
        <f>IFERROR(__xludf.DUMMYFUNCTION("""COMPUTED_VALUE"""),0.27586206896551724)</f>
        <v>0.275862069</v>
      </c>
      <c r="O33" s="9"/>
      <c r="P33" s="9"/>
      <c r="Q33" s="11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1">
        <f>IFERROR(__xludf.DUMMYFUNCTION("""COMPUTED_VALUE"""),38.0)</f>
        <v>38</v>
      </c>
      <c r="D34" s="9"/>
      <c r="E34" s="9"/>
      <c r="F34" s="9"/>
      <c r="G34" s="10">
        <f>IFERROR(__xludf.DUMMYFUNCTION("""COMPUTED_VALUE"""),0.7631578947368421)</f>
        <v>0.7631578947</v>
      </c>
      <c r="H34" s="9"/>
      <c r="I34" s="9"/>
      <c r="J34" s="11">
        <f>IFERROR(__xludf.DUMMYFUNCTION("""COMPUTED_VALUE"""),29.0)</f>
        <v>29</v>
      </c>
      <c r="K34" s="9"/>
      <c r="L34" s="9"/>
      <c r="M34" s="9"/>
      <c r="N34" s="10">
        <f>IFERROR(__xludf.DUMMYFUNCTION("""COMPUTED_VALUE"""),0.2413793103448276)</f>
        <v>0.2413793103</v>
      </c>
      <c r="O34" s="9"/>
      <c r="P34" s="9"/>
      <c r="Q34" s="11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1">
        <f>IFERROR(__xludf.DUMMYFUNCTION("""COMPUTED_VALUE"""),11.0)</f>
        <v>11</v>
      </c>
      <c r="D35" s="9"/>
      <c r="E35" s="9"/>
      <c r="F35" s="9"/>
      <c r="G35" s="10">
        <f>IFERROR(__xludf.DUMMYFUNCTION("""COMPUTED_VALUE"""),1.0)</f>
        <v>1</v>
      </c>
      <c r="H35" s="9"/>
      <c r="I35" s="9"/>
      <c r="J35" s="11">
        <f>IFERROR(__xludf.DUMMYFUNCTION("""COMPUTED_VALUE"""),11.0)</f>
        <v>11</v>
      </c>
      <c r="K35" s="9"/>
      <c r="L35" s="9"/>
      <c r="M35" s="9"/>
      <c r="N35" s="10">
        <f>IFERROR(__xludf.DUMMYFUNCTION("""COMPUTED_VALUE"""),0.36363636363636365)</f>
        <v>0.3636363636</v>
      </c>
      <c r="O35" s="9"/>
      <c r="P35" s="9"/>
      <c r="Q35" s="11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IFERROR(__xludf.DUMMYFUNCTION("""COMPUTED_VALUE"""),31.0)</f>
        <v>31</v>
      </c>
      <c r="D36" s="9"/>
      <c r="E36" s="9"/>
      <c r="F36" s="9"/>
      <c r="G36" s="10">
        <f>IFERROR(__xludf.DUMMYFUNCTION("""COMPUTED_VALUE"""),0.6774193548387096)</f>
        <v>0.6774193548</v>
      </c>
      <c r="H36" s="9"/>
      <c r="I36" s="9"/>
      <c r="J36" s="11">
        <f>IFERROR(__xludf.DUMMYFUNCTION("""COMPUTED_VALUE"""),21.0)</f>
        <v>21</v>
      </c>
      <c r="K36" s="9"/>
      <c r="L36" s="9"/>
      <c r="M36" s="9"/>
      <c r="N36" s="10">
        <f>IFERROR(__xludf.DUMMYFUNCTION("""COMPUTED_VALUE"""),0.14285714285714285)</f>
        <v>0.1428571429</v>
      </c>
      <c r="O36" s="9"/>
      <c r="P36" s="9"/>
      <c r="Q36" s="11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1">
        <f>IFERROR(__xludf.DUMMYFUNCTION("""COMPUTED_VALUE"""),4.0)</f>
        <v>4</v>
      </c>
      <c r="D37" s="9"/>
      <c r="E37" s="9"/>
      <c r="F37" s="9"/>
      <c r="G37" s="10">
        <f>IFERROR(__xludf.DUMMYFUNCTION("""COMPUTED_VALUE"""),1.25)</f>
        <v>1.25</v>
      </c>
      <c r="H37" s="9"/>
      <c r="I37" s="9"/>
      <c r="J37" s="11">
        <f>IFERROR(__xludf.DUMMYFUNCTION("""COMPUTED_VALUE"""),5.0)</f>
        <v>5</v>
      </c>
      <c r="K37" s="9"/>
      <c r="L37" s="9"/>
      <c r="M37" s="9"/>
      <c r="N37" s="10">
        <f>IFERROR(__xludf.DUMMYFUNCTION("""COMPUTED_VALUE"""),0.4)</f>
        <v>0.4</v>
      </c>
      <c r="O37" s="9"/>
      <c r="P37" s="9"/>
      <c r="Q37" s="11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1">
        <f>IFERROR(__xludf.DUMMYFUNCTION("""COMPUTED_VALUE"""),219.35483870967732)</f>
        <v>219.3548387</v>
      </c>
      <c r="C38" s="11">
        <f>IFERROR(__xludf.DUMMYFUNCTION("""COMPUTED_VALUE"""),102.0)</f>
        <v>102</v>
      </c>
      <c r="D38" s="11">
        <f>IFERROR(__xludf.DUMMYFUNCTION("""COMPUTED_VALUE"""),-117.35483870967732)</f>
        <v>-117.3548387</v>
      </c>
      <c r="E38" s="10">
        <f>IFERROR(__xludf.DUMMYFUNCTION("""COMPUTED_VALUE"""),-0.5349999999999998)</f>
        <v>-0.535</v>
      </c>
      <c r="F38" s="10">
        <f>IFERROR(__xludf.DUMMYFUNCTION("""COMPUTED_VALUE"""),0.7454545454545455)</f>
        <v>0.7454545455</v>
      </c>
      <c r="G38" s="10">
        <f>IFERROR(__xludf.DUMMYFUNCTION("""COMPUTED_VALUE"""),0.8235294117647058)</f>
        <v>0.8235294118</v>
      </c>
      <c r="H38" s="35">
        <f>IFERROR(__xludf.DUMMYFUNCTION("""COMPUTED_VALUE"""),7.807486631016037)</f>
        <v>7.807486631</v>
      </c>
      <c r="I38" s="11">
        <f>IFERROR(__xludf.DUMMYFUNCTION("""COMPUTED_VALUE"""),163.51906158357764)</f>
        <v>163.5190616</v>
      </c>
      <c r="J38" s="11">
        <f>IFERROR(__xludf.DUMMYFUNCTION("""COMPUTED_VALUE"""),84.0)</f>
        <v>84</v>
      </c>
      <c r="K38" s="11">
        <f>IFERROR(__xludf.DUMMYFUNCTION("""COMPUTED_VALUE"""),-79.51906158357764)</f>
        <v>-79.51906158</v>
      </c>
      <c r="L38" s="10">
        <f>IFERROR(__xludf.DUMMYFUNCTION("""COMPUTED_VALUE"""),-0.48629842180774724)</f>
        <v>-0.4862984218</v>
      </c>
      <c r="M38" s="10">
        <f>IFERROR(__xludf.DUMMYFUNCTION("""COMPUTED_VALUE"""),0.45499282639885236)</f>
        <v>0.4549928264</v>
      </c>
      <c r="N38" s="10">
        <f>IFERROR(__xludf.DUMMYFUNCTION("""COMPUTED_VALUE"""),0.5357142857142857)</f>
        <v>0.5357142857</v>
      </c>
      <c r="O38" s="35">
        <f>IFERROR(__xludf.DUMMYFUNCTION("""COMPUTED_VALUE"""),8.072145931543334)</f>
        <v>8.072145932</v>
      </c>
      <c r="P38" s="11">
        <f>IFERROR(__xludf.DUMMYFUNCTION("""COMPUTED_VALUE"""),74.39999999999999)</f>
        <v>74.4</v>
      </c>
      <c r="Q38" s="11">
        <f>IFERROR(__xludf.DUMMYFUNCTION("""COMPUTED_VALUE"""),45.0)</f>
        <v>45</v>
      </c>
      <c r="R38" s="11">
        <f>IFERROR(__xludf.DUMMYFUNCTION("""COMPUTED_VALUE"""),-29.39999999999999)</f>
        <v>-29.4</v>
      </c>
      <c r="S38" s="10">
        <f>IFERROR(__xludf.DUMMYFUNCTION("""COMPUTED_VALUE"""),-0.39516129032258057)</f>
        <v>-0.3951612903</v>
      </c>
      <c r="T38" s="11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IFERROR(__xludf.DUMMYFUNCTION("""COMPUTED_VALUE"""),-144822.1158655223)</f>
        <v>-144822.1159</v>
      </c>
      <c r="W38" s="10">
        <f>IFERROR(__xludf.DUMMYFUNCTION("""COMPUTED_VALUE"""),-0.48629842180774724)</f>
        <v>-0.4862984218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1" t="str">
        <f>IFERROR(__xludf.DUMMYFUNCTION("""COMPUTED_VALUE"""),"#REF!")</f>
        <v>#REF!</v>
      </c>
      <c r="D39" s="9"/>
      <c r="E39" s="9"/>
      <c r="F39" s="9"/>
      <c r="G39" s="10" t="str">
        <f>IFERROR(__xludf.DUMMYFUNCTION("""COMPUTED_VALUE"""),"#REF!")</f>
        <v>#REF!</v>
      </c>
      <c r="H39" s="9"/>
      <c r="I39" s="9"/>
      <c r="J39" s="11" t="str">
        <f>IFERROR(__xludf.DUMMYFUNCTION("""COMPUTED_VALUE"""),"#REF!")</f>
        <v>#REF!</v>
      </c>
      <c r="K39" s="9"/>
      <c r="L39" s="9"/>
      <c r="M39" s="9"/>
      <c r="N39" s="10" t="str">
        <f>IFERROR(__xludf.DUMMYFUNCTION("""COMPUTED_VALUE"""),"#REF!")</f>
        <v>#REF!</v>
      </c>
      <c r="O39" s="9"/>
      <c r="P39" s="9"/>
      <c r="Q39" s="11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1">
        <f>IFERROR(__xludf.DUMMYFUNCTION("""COMPUTED_VALUE"""),32.903225806451594)</f>
        <v>32.90322581</v>
      </c>
      <c r="C53" s="11">
        <f>IFERROR(__xludf.DUMMYFUNCTION("""COMPUTED_VALUE"""),29.0)</f>
        <v>29</v>
      </c>
      <c r="D53" s="11">
        <f>IFERROR(__xludf.DUMMYFUNCTION("""COMPUTED_VALUE"""),-3.9032258064515943)</f>
        <v>-3.903225806</v>
      </c>
      <c r="E53" s="10">
        <f>IFERROR(__xludf.DUMMYFUNCTION("""COMPUTED_VALUE"""),-0.11862745098039167)</f>
        <v>-0.118627451</v>
      </c>
      <c r="F53" s="10">
        <f>IFERROR(__xludf.DUMMYFUNCTION("""COMPUTED_VALUE"""),0.6460674157303372)</f>
        <v>0.6460674157</v>
      </c>
      <c r="G53" s="10">
        <f>IFERROR(__xludf.DUMMYFUNCTION("""COMPUTED_VALUE"""),0.6206896551724138)</f>
        <v>0.6206896552</v>
      </c>
      <c r="H53" s="35">
        <f>IFERROR(__xludf.DUMMYFUNCTION("""COMPUTED_VALUE"""),-2.53777605579234)</f>
        <v>-2.537776056</v>
      </c>
      <c r="I53" s="11">
        <f>IFERROR(__xludf.DUMMYFUNCTION("""COMPUTED_VALUE"""),21.257702065965923)</f>
        <v>21.25770207</v>
      </c>
      <c r="J53" s="11">
        <f>IFERROR(__xludf.DUMMYFUNCTION("""COMPUTED_VALUE"""),18.0)</f>
        <v>18</v>
      </c>
      <c r="K53" s="11">
        <f>IFERROR(__xludf.DUMMYFUNCTION("""COMPUTED_VALUE"""),-3.2577020659659226)</f>
        <v>-3.257702066</v>
      </c>
      <c r="L53" s="10">
        <f>IFERROR(__xludf.DUMMYFUNCTION("""COMPUTED_VALUE"""),-0.15324808184143193)</f>
        <v>-0.1532480818</v>
      </c>
      <c r="M53" s="10">
        <f>IFERROR(__xludf.DUMMYFUNCTION("""COMPUTED_VALUE"""),0.2768117647058824)</f>
        <v>0.2768117647</v>
      </c>
      <c r="N53" s="10">
        <f>IFERROR(__xludf.DUMMYFUNCTION("""COMPUTED_VALUE"""),0.2777777777777778)</f>
        <v>0.2777777778</v>
      </c>
      <c r="O53" s="35">
        <f>IFERROR(__xludf.DUMMYFUNCTION("""COMPUTED_VALUE"""),0.09660130718953663)</f>
        <v>0.09660130719</v>
      </c>
      <c r="P53" s="11">
        <f>IFERROR(__xludf.DUMMYFUNCTION("""COMPUTED_VALUE"""),5.88438202247191)</f>
        <v>5.884382022</v>
      </c>
      <c r="Q53" s="11">
        <f>IFERROR(__xludf.DUMMYFUNCTION("""COMPUTED_VALUE"""),5.0)</f>
        <v>5</v>
      </c>
      <c r="R53" s="11">
        <f>IFERROR(__xludf.DUMMYFUNCTION("""COMPUTED_VALUE"""),-0.8843820224719101)</f>
        <v>-0.8843820225</v>
      </c>
      <c r="S53" s="10">
        <f>IFERROR(__xludf.DUMMYFUNCTION("""COMPUTED_VALUE"""),-0.15029310114376276)</f>
        <v>-0.1502931011</v>
      </c>
      <c r="T53" s="11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IFERROR(__xludf.DUMMYFUNCTION("""COMPUTED_VALUE"""),-5062.599477208188)</f>
        <v>-5062.599477</v>
      </c>
      <c r="W53" s="10">
        <f>IFERROR(__xludf.DUMMYFUNCTION("""COMPUTED_VALUE"""),-0.15324808184143193)</f>
        <v>-0.1532480818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IFERROR(__xludf.DUMMYFUNCTION("""COMPUTED_VALUE"""),13.0)</f>
        <v>13</v>
      </c>
      <c r="D54" s="9"/>
      <c r="E54" s="9"/>
      <c r="F54" s="9"/>
      <c r="G54" s="10">
        <f>IFERROR(__xludf.DUMMYFUNCTION("""COMPUTED_VALUE"""),0.5384615384615384)</f>
        <v>0.5384615385</v>
      </c>
      <c r="H54" s="9"/>
      <c r="I54" s="9"/>
      <c r="J54" s="11">
        <f>IFERROR(__xludf.DUMMYFUNCTION("""COMPUTED_VALUE"""),7.0)</f>
        <v>7</v>
      </c>
      <c r="K54" s="9"/>
      <c r="L54" s="9"/>
      <c r="M54" s="9"/>
      <c r="N54" s="10">
        <f>IFERROR(__xludf.DUMMYFUNCTION("""COMPUTED_VALUE"""),0.42857142857142855)</f>
        <v>0.4285714286</v>
      </c>
      <c r="O54" s="9"/>
      <c r="P54" s="9"/>
      <c r="Q54" s="11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1">
        <f>IFERROR(__xludf.DUMMYFUNCTION("""COMPUTED_VALUE"""),8.0)</f>
        <v>8</v>
      </c>
      <c r="D55" s="9"/>
      <c r="E55" s="9"/>
      <c r="F55" s="9"/>
      <c r="G55" s="10">
        <f>IFERROR(__xludf.DUMMYFUNCTION("""COMPUTED_VALUE"""),0.5)</f>
        <v>0.5</v>
      </c>
      <c r="H55" s="9"/>
      <c r="I55" s="9"/>
      <c r="J55" s="11">
        <f>IFERROR(__xludf.DUMMYFUNCTION("""COMPUTED_VALUE"""),4.0)</f>
        <v>4</v>
      </c>
      <c r="K55" s="9"/>
      <c r="L55" s="9"/>
      <c r="M55" s="9"/>
      <c r="N55" s="10">
        <f>IFERROR(__xludf.DUMMYFUNCTION("""COMPUTED_VALUE"""),0.5)</f>
        <v>0.5</v>
      </c>
      <c r="O55" s="9"/>
      <c r="P55" s="9"/>
      <c r="Q55" s="11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IFERROR(__xludf.DUMMYFUNCTION("""COMPUTED_VALUE"""),0.3333333333333333)</f>
        <v>0.3333333333</v>
      </c>
      <c r="O56" s="9"/>
      <c r="P56" s="9"/>
      <c r="Q56" s="11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1">
        <f>IFERROR(__xludf.DUMMYFUNCTION("""COMPUTED_VALUE"""),10.0)</f>
        <v>10</v>
      </c>
      <c r="D57" s="9"/>
      <c r="E57" s="9"/>
      <c r="F57" s="9"/>
      <c r="G57" s="10">
        <f>IFERROR(__xludf.DUMMYFUNCTION("""COMPUTED_VALUE"""),0.8)</f>
        <v>0.8</v>
      </c>
      <c r="H57" s="9"/>
      <c r="I57" s="9"/>
      <c r="J57" s="11">
        <f>IFERROR(__xludf.DUMMYFUNCTION("""COMPUTED_VALUE"""),8.0)</f>
        <v>8</v>
      </c>
      <c r="K57" s="9"/>
      <c r="L57" s="9"/>
      <c r="M57" s="9"/>
      <c r="N57" s="10">
        <f>IFERROR(__xludf.DUMMYFUNCTION("""COMPUTED_VALUE"""),0.25)</f>
        <v>0.25</v>
      </c>
      <c r="O57" s="9"/>
      <c r="P57" s="9"/>
      <c r="Q57" s="11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1">
        <f>IFERROR(__xludf.DUMMYFUNCTION("""COMPUTED_VALUE"""),8.0)</f>
        <v>8</v>
      </c>
      <c r="D58" s="9"/>
      <c r="E58" s="9"/>
      <c r="F58" s="9"/>
      <c r="G58" s="10">
        <f>IFERROR(__xludf.DUMMYFUNCTION("""COMPUTED_VALUE"""),1.0)</f>
        <v>1</v>
      </c>
      <c r="H58" s="9"/>
      <c r="I58" s="9"/>
      <c r="J58" s="11">
        <f>IFERROR(__xludf.DUMMYFUNCTION("""COMPUTED_VALUE"""),8.0)</f>
        <v>8</v>
      </c>
      <c r="K58" s="9"/>
      <c r="L58" s="9"/>
      <c r="M58" s="9"/>
      <c r="N58" s="10">
        <f>IFERROR(__xludf.DUMMYFUNCTION("""COMPUTED_VALUE"""),0.25)</f>
        <v>0.25</v>
      </c>
      <c r="O58" s="9"/>
      <c r="P58" s="9"/>
      <c r="Q58" s="11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1">
        <f>IFERROR(__xludf.DUMMYFUNCTION("""COMPUTED_VALUE"""),1.0)</f>
        <v>1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IFERROR(__xludf.DUMMYFUNCTION("""COMPUTED_VALUE"""),1.0)</f>
        <v>1</v>
      </c>
      <c r="K59" s="9"/>
      <c r="L59" s="9"/>
      <c r="M59" s="9"/>
      <c r="N59" s="10">
        <f>IFERROR(__xludf.DUMMYFUNCTION("""COMPUTED_VALUE"""),1.0)</f>
        <v>1</v>
      </c>
      <c r="O59" s="9"/>
      <c r="P59" s="9"/>
      <c r="Q59" s="11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1">
        <f>IFERROR(__xludf.DUMMYFUNCTION("""COMPUTED_VALUE"""),5.0)</f>
        <v>5</v>
      </c>
      <c r="D60" s="9"/>
      <c r="E60" s="9"/>
      <c r="F60" s="9"/>
      <c r="G60" s="10">
        <f>IFERROR(__xludf.DUMMYFUNCTION("""COMPUTED_VALUE"""),0.6)</f>
        <v>0.6</v>
      </c>
      <c r="H60" s="9"/>
      <c r="I60" s="9"/>
      <c r="J60" s="11">
        <f>IFERROR(__xludf.DUMMYFUNCTION("""COMPUTED_VALUE"""),3.0)</f>
        <v>3</v>
      </c>
      <c r="K60" s="9"/>
      <c r="L60" s="9"/>
      <c r="M60" s="9"/>
      <c r="N60" s="10">
        <f>IFERROR(__xludf.DUMMYFUNCTION("""COMPUTED_VALUE"""),0.3333333333333333)</f>
        <v>0.3333333333</v>
      </c>
      <c r="O60" s="9"/>
      <c r="P60" s="9"/>
      <c r="Q60" s="11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1">
        <f>IFERROR(__xludf.DUMMYFUNCTION("""COMPUTED_VALUE"""),8.0)</f>
        <v>8</v>
      </c>
      <c r="D61" s="9"/>
      <c r="E61" s="9"/>
      <c r="F61" s="9"/>
      <c r="G61" s="10">
        <f>IFERROR(__xludf.DUMMYFUNCTION("""COMPUTED_VALUE"""),0.875)</f>
        <v>0.875</v>
      </c>
      <c r="H61" s="9"/>
      <c r="I61" s="9"/>
      <c r="J61" s="11">
        <f>IFERROR(__xludf.DUMMYFUNCTION("""COMPUTED_VALUE"""),7.0)</f>
        <v>7</v>
      </c>
      <c r="K61" s="9"/>
      <c r="L61" s="9"/>
      <c r="M61" s="9"/>
      <c r="N61" s="10">
        <f>IFERROR(__xludf.DUMMYFUNCTION("""COMPUTED_VALUE"""),0.14285714285714285)</f>
        <v>0.1428571429</v>
      </c>
      <c r="O61" s="9"/>
      <c r="P61" s="9"/>
      <c r="Q61" s="11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1">
        <f>IFERROR(__xludf.DUMMYFUNCTION("""COMPUTED_VALUE"""),8.0)</f>
        <v>8</v>
      </c>
      <c r="D62" s="9"/>
      <c r="E62" s="9"/>
      <c r="F62" s="9"/>
      <c r="G62" s="10">
        <f>IFERROR(__xludf.DUMMYFUNCTION("""COMPUTED_VALUE"""),1.0)</f>
        <v>1</v>
      </c>
      <c r="H62" s="9"/>
      <c r="I62" s="9"/>
      <c r="J62" s="11">
        <f>IFERROR(__xludf.DUMMYFUNCTION("""COMPUTED_VALUE"""),8.0)</f>
        <v>8</v>
      </c>
      <c r="K62" s="9"/>
      <c r="L62" s="9"/>
      <c r="M62" s="9"/>
      <c r="N62" s="10">
        <f>IFERROR(__xludf.DUMMYFUNCTION("""COMPUTED_VALUE"""),0.125)</f>
        <v>0.125</v>
      </c>
      <c r="O62" s="9"/>
      <c r="P62" s="9"/>
      <c r="Q62" s="11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1">
        <f>IFERROR(__xludf.DUMMYFUNCTION("""COMPUTED_VALUE"""),9.0)</f>
        <v>9</v>
      </c>
      <c r="D63" s="9"/>
      <c r="E63" s="9"/>
      <c r="F63" s="9"/>
      <c r="G63" s="10">
        <f>IFERROR(__xludf.DUMMYFUNCTION("""COMPUTED_VALUE"""),0.6666666666666666)</f>
        <v>0.6666666667</v>
      </c>
      <c r="H63" s="9"/>
      <c r="I63" s="9"/>
      <c r="J63" s="11">
        <f>IFERROR(__xludf.DUMMYFUNCTION("""COMPUTED_VALUE"""),6.0)</f>
        <v>6</v>
      </c>
      <c r="K63" s="9"/>
      <c r="L63" s="9"/>
      <c r="M63" s="9"/>
      <c r="N63" s="10">
        <f>IFERROR(__xludf.DUMMYFUNCTION("""COMPUTED_VALUE"""),0.0)</f>
        <v>0</v>
      </c>
      <c r="O63" s="9"/>
      <c r="P63" s="9"/>
      <c r="Q63" s="11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1">
        <f>IFERROR(__xludf.DUMMYFUNCTION("""COMPUTED_VALUE"""),1072.5354838709673)</f>
        <v>1072.535484</v>
      </c>
      <c r="C64" s="11">
        <f>IFERROR(__xludf.DUMMYFUNCTION("""COMPUTED_VALUE"""),916.0)</f>
        <v>916</v>
      </c>
      <c r="D64" s="11">
        <f>IFERROR(__xludf.DUMMYFUNCTION("""COMPUTED_VALUE"""),-156.53548387096725)</f>
        <v>-156.5354839</v>
      </c>
      <c r="E64" s="10">
        <f>IFERROR(__xludf.DUMMYFUNCTION("""COMPUTED_VALUE"""),-0.14594900236400893)</f>
        <v>-0.1459490024</v>
      </c>
      <c r="F64" s="10">
        <f>IFERROR(__xludf.DUMMYFUNCTION("""COMPUTED_VALUE"""),0.708632118125173)</f>
        <v>0.7086321181</v>
      </c>
      <c r="G64" s="10">
        <f>IFERROR(__xludf.DUMMYFUNCTION("""COMPUTED_VALUE"""),0.6921397379912664)</f>
        <v>0.692139738</v>
      </c>
      <c r="H64" s="35">
        <f>IFERROR(__xludf.DUMMYFUNCTION("""COMPUTED_VALUE"""),-1.6492380133906637)</f>
        <v>-1.649238013</v>
      </c>
      <c r="I64" s="11">
        <f>IFERROR(__xludf.DUMMYFUNCTION("""COMPUTED_VALUE"""),760.0330916998909)</f>
        <v>760.0330917</v>
      </c>
      <c r="J64" s="11">
        <f>IFERROR(__xludf.DUMMYFUNCTION("""COMPUTED_VALUE"""),634.0)</f>
        <v>634</v>
      </c>
      <c r="K64" s="11">
        <f>IFERROR(__xludf.DUMMYFUNCTION("""COMPUTED_VALUE"""),-126.03309169989086)</f>
        <v>-126.0330917</v>
      </c>
      <c r="L64" s="10">
        <f>IFERROR(__xludf.DUMMYFUNCTION("""COMPUTED_VALUE"""),-0.16582579505585093)</f>
        <v>-0.1658257951</v>
      </c>
      <c r="M64" s="10">
        <f>IFERROR(__xludf.DUMMYFUNCTION("""COMPUTED_VALUE"""),0.3616454985315925)</f>
        <v>0.3616454985</v>
      </c>
      <c r="N64" s="10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1">
        <f>IFERROR(__xludf.DUMMYFUNCTION("""COMPUTED_VALUE"""),274.8625463483146)</f>
        <v>274.8625463</v>
      </c>
      <c r="Q64" s="11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0" t="str">
        <f>IFERROR(__xludf.DUMMYFUNCTION("""COMPUTED_VALUE"""),"#REF!")</f>
        <v>#REF!</v>
      </c>
      <c r="T64" s="11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IFERROR(__xludf.DUMMYFUNCTION("""COMPUTED_VALUE"""),-216133.72915546937)</f>
        <v>-216133.7292</v>
      </c>
      <c r="W64" s="10">
        <f>IFERROR(__xludf.DUMMYFUNCTION("""COMPUTED_VALUE"""),-0.21046835950735843)</f>
        <v>-0.2104683595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1">
        <f>IFERROR(__xludf.DUMMYFUNCTION("""COMPUTED_VALUE"""),261.85483870967727)</f>
        <v>261.8548387</v>
      </c>
      <c r="C65" s="11">
        <f>IFERROR(__xludf.DUMMYFUNCTION("""COMPUTED_VALUE"""),174.0)</f>
        <v>174</v>
      </c>
      <c r="D65" s="11">
        <f>IFERROR(__xludf.DUMMYFUNCTION("""COMPUTED_VALUE"""),-87.85483870967727)</f>
        <v>-87.85483871</v>
      </c>
      <c r="E65" s="10">
        <f>IFERROR(__xludf.DUMMYFUNCTION("""COMPUTED_VALUE"""),-0.33550970126270363)</f>
        <v>-0.3355097013</v>
      </c>
      <c r="F65" s="10">
        <f>IFERROR(__xludf.DUMMYFUNCTION("""COMPUTED_VALUE"""),0.8)</f>
        <v>0.8</v>
      </c>
      <c r="G65" s="10">
        <f>IFERROR(__xludf.DUMMYFUNCTION("""COMPUTED_VALUE"""),0.6436781609195402)</f>
        <v>0.6436781609</v>
      </c>
      <c r="H65" s="35">
        <f>IFERROR(__xludf.DUMMYFUNCTION("""COMPUTED_VALUE"""),-15.632183908045983)</f>
        <v>-15.63218391</v>
      </c>
      <c r="I65" s="11">
        <f>IFERROR(__xludf.DUMMYFUNCTION("""COMPUTED_VALUE"""),209.48387096774184)</f>
        <v>209.483871</v>
      </c>
      <c r="J65" s="11">
        <f>IFERROR(__xludf.DUMMYFUNCTION("""COMPUTED_VALUE"""),112.0)</f>
        <v>112</v>
      </c>
      <c r="K65" s="11">
        <f>IFERROR(__xludf.DUMMYFUNCTION("""COMPUTED_VALUE"""),-97.48387096774184)</f>
        <v>-97.48387097</v>
      </c>
      <c r="L65" s="10">
        <f>IFERROR(__xludf.DUMMYFUNCTION("""COMPUTED_VALUE"""),-0.4653526331998766)</f>
        <v>-0.4653526332</v>
      </c>
      <c r="M65" s="10">
        <f>IFERROR(__xludf.DUMMYFUNCTION("""COMPUTED_VALUE"""),0.3410000000000001)</f>
        <v>0.341</v>
      </c>
      <c r="N65" s="10">
        <f>IFERROR(__xludf.DUMMYFUNCTION("""COMPUTED_VALUE"""),0.3482142857142857)</f>
        <v>0.3482142857</v>
      </c>
      <c r="O65" s="35">
        <f>IFERROR(__xludf.DUMMYFUNCTION("""COMPUTED_VALUE"""),0.7214285714285618)</f>
        <v>0.7214285714</v>
      </c>
      <c r="P65" s="11">
        <f>IFERROR(__xludf.DUMMYFUNCTION("""COMPUTED_VALUE"""),71.43399999999998)</f>
        <v>71.434</v>
      </c>
      <c r="Q65" s="11">
        <f>IFERROR(__xludf.DUMMYFUNCTION("""COMPUTED_VALUE"""),39.0)</f>
        <v>39</v>
      </c>
      <c r="R65" s="11">
        <f>IFERROR(__xludf.DUMMYFUNCTION("""COMPUTED_VALUE"""),-32.43399999999998)</f>
        <v>-32.434</v>
      </c>
      <c r="S65" s="10">
        <f>IFERROR(__xludf.DUMMYFUNCTION("""COMPUTED_VALUE"""),-0.45404149284654355)</f>
        <v>-0.4540414928</v>
      </c>
      <c r="T65" s="11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IFERROR(__xludf.DUMMYFUNCTION("""COMPUTED_VALUE"""),-119019.41503999992)</f>
        <v>-119019.415</v>
      </c>
      <c r="W65" s="10">
        <f>IFERROR(__xludf.DUMMYFUNCTION("""COMPUTED_VALUE"""),-0.4653526331998765)</f>
        <v>-0.4653526332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1">
        <f>IFERROR(__xludf.DUMMYFUNCTION("""COMPUTED_VALUE"""),43.0)</f>
        <v>43</v>
      </c>
      <c r="D66" s="9"/>
      <c r="E66" s="9"/>
      <c r="F66" s="9"/>
      <c r="G66" s="10">
        <f>IFERROR(__xludf.DUMMYFUNCTION("""COMPUTED_VALUE"""),0.8372093023255814)</f>
        <v>0.8372093023</v>
      </c>
      <c r="H66" s="9"/>
      <c r="I66" s="9"/>
      <c r="J66" s="11">
        <f>IFERROR(__xludf.DUMMYFUNCTION("""COMPUTED_VALUE"""),36.0)</f>
        <v>36</v>
      </c>
      <c r="K66" s="9"/>
      <c r="L66" s="9"/>
      <c r="M66" s="9"/>
      <c r="N66" s="10">
        <f>IFERROR(__xludf.DUMMYFUNCTION("""COMPUTED_VALUE"""),0.5277777777777778)</f>
        <v>0.5277777778</v>
      </c>
      <c r="O66" s="9"/>
      <c r="P66" s="9"/>
      <c r="Q66" s="11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1">
        <f>IFERROR(__xludf.DUMMYFUNCTION("""COMPUTED_VALUE"""),47.0)</f>
        <v>47</v>
      </c>
      <c r="D67" s="9"/>
      <c r="E67" s="9"/>
      <c r="F67" s="9"/>
      <c r="G67" s="10">
        <f>IFERROR(__xludf.DUMMYFUNCTION("""COMPUTED_VALUE"""),0.7446808510638298)</f>
        <v>0.7446808511</v>
      </c>
      <c r="H67" s="9"/>
      <c r="I67" s="9"/>
      <c r="J67" s="11">
        <f>IFERROR(__xludf.DUMMYFUNCTION("""COMPUTED_VALUE"""),35.0)</f>
        <v>35</v>
      </c>
      <c r="K67" s="9"/>
      <c r="L67" s="9"/>
      <c r="M67" s="9"/>
      <c r="N67" s="10">
        <f>IFERROR(__xludf.DUMMYFUNCTION("""COMPUTED_VALUE"""),0.45714285714285713)</f>
        <v>0.4571428571</v>
      </c>
      <c r="O67" s="9"/>
      <c r="P67" s="9"/>
      <c r="Q67" s="11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1">
        <f>IFERROR(__xludf.DUMMYFUNCTION("""COMPUTED_VALUE"""),51.0)</f>
        <v>51</v>
      </c>
      <c r="D68" s="9"/>
      <c r="E68" s="9"/>
      <c r="F68" s="9"/>
      <c r="G68" s="10">
        <f>IFERROR(__xludf.DUMMYFUNCTION("""COMPUTED_VALUE"""),0.6666666666666666)</f>
        <v>0.6666666667</v>
      </c>
      <c r="H68" s="9"/>
      <c r="I68" s="9"/>
      <c r="J68" s="11">
        <f>IFERROR(__xludf.DUMMYFUNCTION("""COMPUTED_VALUE"""),34.0)</f>
        <v>34</v>
      </c>
      <c r="K68" s="9"/>
      <c r="L68" s="9"/>
      <c r="M68" s="9"/>
      <c r="N68" s="10">
        <f>IFERROR(__xludf.DUMMYFUNCTION("""COMPUTED_VALUE"""),0.4411764705882353)</f>
        <v>0.4411764706</v>
      </c>
      <c r="O68" s="9"/>
      <c r="P68" s="9"/>
      <c r="Q68" s="11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IFERROR(__xludf.DUMMYFUNCTION("""COMPUTED_VALUE"""),44.0)</f>
        <v>44</v>
      </c>
      <c r="D69" s="9"/>
      <c r="E69" s="9"/>
      <c r="F69" s="9"/>
      <c r="G69" s="10">
        <f>IFERROR(__xludf.DUMMYFUNCTION("""COMPUTED_VALUE"""),0.6363636363636364)</f>
        <v>0.6363636364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IFERROR(__xludf.DUMMYFUNCTION("""COMPUTED_VALUE"""),0.5)</f>
        <v>0.5</v>
      </c>
      <c r="O69" s="9"/>
      <c r="P69" s="9"/>
      <c r="Q69" s="11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1">
        <f>IFERROR(__xludf.DUMMYFUNCTION("""COMPUTED_VALUE"""),51.0)</f>
        <v>51</v>
      </c>
      <c r="D70" s="9"/>
      <c r="E70" s="9"/>
      <c r="F70" s="9"/>
      <c r="G70" s="10">
        <f>IFERROR(__xludf.DUMMYFUNCTION("""COMPUTED_VALUE"""),0.803921568627451)</f>
        <v>0.8039215686</v>
      </c>
      <c r="H70" s="9"/>
      <c r="I70" s="9"/>
      <c r="J70" s="11">
        <f>IFERROR(__xludf.DUMMYFUNCTION("""COMPUTED_VALUE"""),41.0)</f>
        <v>41</v>
      </c>
      <c r="K70" s="9"/>
      <c r="L70" s="9"/>
      <c r="M70" s="9"/>
      <c r="N70" s="10">
        <f>IFERROR(__xludf.DUMMYFUNCTION("""COMPUTED_VALUE"""),0.34146341463414637)</f>
        <v>0.3414634146</v>
      </c>
      <c r="O70" s="9"/>
      <c r="P70" s="9"/>
      <c r="Q70" s="11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1">
        <f>IFERROR(__xludf.DUMMYFUNCTION("""COMPUTED_VALUE"""),46.0)</f>
        <v>46</v>
      </c>
      <c r="D71" s="9"/>
      <c r="E71" s="9"/>
      <c r="F71" s="9"/>
      <c r="G71" s="10">
        <f>IFERROR(__xludf.DUMMYFUNCTION("""COMPUTED_VALUE"""),0.6304347826086957)</f>
        <v>0.6304347826</v>
      </c>
      <c r="H71" s="9"/>
      <c r="I71" s="9"/>
      <c r="J71" s="11">
        <f>IFERROR(__xludf.DUMMYFUNCTION("""COMPUTED_VALUE"""),29.0)</f>
        <v>29</v>
      </c>
      <c r="K71" s="9"/>
      <c r="L71" s="9"/>
      <c r="M71" s="9"/>
      <c r="N71" s="10">
        <f>IFERROR(__xludf.DUMMYFUNCTION("""COMPUTED_VALUE"""),0.4482758620689655)</f>
        <v>0.4482758621</v>
      </c>
      <c r="O71" s="9"/>
      <c r="P71" s="9"/>
      <c r="Q71" s="11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1">
        <f>IFERROR(__xludf.DUMMYFUNCTION("""COMPUTED_VALUE"""),35.0)</f>
        <v>35</v>
      </c>
      <c r="D72" s="9"/>
      <c r="E72" s="9"/>
      <c r="F72" s="9"/>
      <c r="G72" s="10">
        <f>IFERROR(__xludf.DUMMYFUNCTION("""COMPUTED_VALUE"""),0.7714285714285715)</f>
        <v>0.7714285714</v>
      </c>
      <c r="H72" s="9"/>
      <c r="I72" s="9"/>
      <c r="J72" s="11">
        <f>IFERROR(__xludf.DUMMYFUNCTION("""COMPUTED_VALUE"""),27.0)</f>
        <v>27</v>
      </c>
      <c r="K72" s="9"/>
      <c r="L72" s="9"/>
      <c r="M72" s="9"/>
      <c r="N72" s="10">
        <f>IFERROR(__xludf.DUMMYFUNCTION("""COMPUTED_VALUE"""),0.4444444444444444)</f>
        <v>0.4444444444</v>
      </c>
      <c r="O72" s="9"/>
      <c r="P72" s="9"/>
      <c r="Q72" s="11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1">
        <f>IFERROR(__xludf.DUMMYFUNCTION("""COMPUTED_VALUE"""),45.0)</f>
        <v>45</v>
      </c>
      <c r="D73" s="9"/>
      <c r="E73" s="9"/>
      <c r="F73" s="9"/>
      <c r="G73" s="10">
        <f>IFERROR(__xludf.DUMMYFUNCTION("""COMPUTED_VALUE"""),0.6222222222222222)</f>
        <v>0.6222222222</v>
      </c>
      <c r="H73" s="9"/>
      <c r="I73" s="9"/>
      <c r="J73" s="11">
        <f>IFERROR(__xludf.DUMMYFUNCTION("""COMPUTED_VALUE"""),28.0)</f>
        <v>28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1">
        <f>IFERROR(__xludf.DUMMYFUNCTION("""COMPUTED_VALUE"""),42.0)</f>
        <v>42</v>
      </c>
      <c r="D74" s="9"/>
      <c r="E74" s="9"/>
      <c r="F74" s="9"/>
      <c r="G74" s="10">
        <f>IFERROR(__xludf.DUMMYFUNCTION("""COMPUTED_VALUE"""),0.7619047619047619)</f>
        <v>0.7619047619</v>
      </c>
      <c r="H74" s="9"/>
      <c r="I74" s="9"/>
      <c r="J74" s="11">
        <f>IFERROR(__xludf.DUMMYFUNCTION("""COMPUTED_VALUE"""),32.0)</f>
        <v>32</v>
      </c>
      <c r="K74" s="9"/>
      <c r="L74" s="9"/>
      <c r="M74" s="9"/>
      <c r="N74" s="10">
        <f>IFERROR(__xludf.DUMMYFUNCTION("""COMPUTED_VALUE"""),0.375)</f>
        <v>0.375</v>
      </c>
      <c r="O74" s="9"/>
      <c r="P74" s="9"/>
      <c r="Q74" s="11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1">
        <f>IFERROR(__xludf.DUMMYFUNCTION("""COMPUTED_VALUE"""),6.0)</f>
        <v>6</v>
      </c>
      <c r="D75" s="9"/>
      <c r="E75" s="9"/>
      <c r="F75" s="9"/>
      <c r="G75" s="10">
        <f>IFERROR(__xludf.DUMMYFUNCTION("""COMPUTED_VALUE"""),0.8333333333333334)</f>
        <v>0.8333333333</v>
      </c>
      <c r="H75" s="9"/>
      <c r="I75" s="9"/>
      <c r="J75" s="11">
        <f>IFERROR(__xludf.DUMMYFUNCTION("""COMPUTED_VALUE"""),5.0)</f>
        <v>5</v>
      </c>
      <c r="K75" s="9"/>
      <c r="L75" s="9"/>
      <c r="M75" s="9"/>
      <c r="N75" s="10">
        <f>IFERROR(__xludf.DUMMYFUNCTION("""COMPUTED_VALUE"""),1.2)</f>
        <v>1.2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1">
        <f>IFERROR(__xludf.DUMMYFUNCTION("""COMPUTED_VALUE"""),1.0)</f>
        <v>1</v>
      </c>
      <c r="D76" s="9"/>
      <c r="E76" s="9"/>
      <c r="F76" s="9"/>
      <c r="G76" s="10">
        <f>IFERROR(__xludf.DUMMYFUNCTION("""COMPUTED_VALUE"""),1.0)</f>
        <v>1</v>
      </c>
      <c r="H76" s="9"/>
      <c r="I76" s="9"/>
      <c r="J76" s="11">
        <f>IFERROR(__xludf.DUMMYFUNCTION("""COMPUTED_VALUE"""),1.0)</f>
        <v>1</v>
      </c>
      <c r="K76" s="9"/>
      <c r="L76" s="9"/>
      <c r="M76" s="9"/>
      <c r="N76" s="10">
        <f>IFERROR(__xludf.DUMMYFUNCTION("""COMPUTED_VALUE"""),1.0)</f>
        <v>1</v>
      </c>
      <c r="O76" s="9"/>
      <c r="P76" s="9"/>
      <c r="Q76" s="11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1">
        <f>IFERROR(__xludf.DUMMYFUNCTION("""COMPUTED_VALUE"""),1.0)</f>
        <v>1</v>
      </c>
      <c r="D77" s="9"/>
      <c r="E77" s="9"/>
      <c r="F77" s="9"/>
      <c r="G77" s="10">
        <f>IFERROR(__xludf.DUMMYFUNCTION("""COMPUTED_VALUE"""),1.0)</f>
        <v>1</v>
      </c>
      <c r="H77" s="9"/>
      <c r="I77" s="9"/>
      <c r="J77" s="11">
        <f>IFERROR(__xludf.DUMMYFUNCTION("""COMPUTED_VALUE"""),1.0)</f>
        <v>1</v>
      </c>
      <c r="K77" s="9"/>
      <c r="L77" s="9"/>
      <c r="M77" s="9"/>
      <c r="N77" s="10">
        <f>IFERROR(__xludf.DUMMYFUNCTION("""COMPUTED_VALUE"""),1.0)</f>
        <v>1</v>
      </c>
      <c r="O77" s="9"/>
      <c r="P77" s="9"/>
      <c r="Q77" s="11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1">
        <f>IFERROR(__xludf.DUMMYFUNCTION("""COMPUTED_VALUE"""),191.93548387096766)</f>
        <v>191.9354839</v>
      </c>
      <c r="C78" s="11">
        <f>IFERROR(__xludf.DUMMYFUNCTION("""COMPUTED_VALUE"""),274.0)</f>
        <v>274</v>
      </c>
      <c r="D78" s="11">
        <f>IFERROR(__xludf.DUMMYFUNCTION("""COMPUTED_VALUE"""),82.06451612903234)</f>
        <v>82.06451613</v>
      </c>
      <c r="E78" s="10">
        <f>IFERROR(__xludf.DUMMYFUNCTION("""COMPUTED_VALUE"""),0.42756302521008466)</f>
        <v>0.4275630252</v>
      </c>
      <c r="F78" s="10">
        <f>IFERROR(__xludf.DUMMYFUNCTION("""COMPUTED_VALUE"""),0.73)</f>
        <v>0.73</v>
      </c>
      <c r="G78" s="10">
        <f>IFERROR(__xludf.DUMMYFUNCTION("""COMPUTED_VALUE"""),0.7445255474452555)</f>
        <v>0.7445255474</v>
      </c>
      <c r="H78" s="35">
        <f>IFERROR(__xludf.DUMMYFUNCTION("""COMPUTED_VALUE"""),1.4525547445255471)</f>
        <v>1.452554745</v>
      </c>
      <c r="I78" s="11">
        <f>IFERROR(__xludf.DUMMYFUNCTION("""COMPUTED_VALUE"""),140.11290322580638)</f>
        <v>140.1129032</v>
      </c>
      <c r="J78" s="11">
        <f>IFERROR(__xludf.DUMMYFUNCTION("""COMPUTED_VALUE"""),204.0)</f>
        <v>204</v>
      </c>
      <c r="K78" s="11">
        <f>IFERROR(__xludf.DUMMYFUNCTION("""COMPUTED_VALUE"""),63.88709677419362)</f>
        <v>63.88709677</v>
      </c>
      <c r="L78" s="10">
        <f>IFERROR(__xludf.DUMMYFUNCTION("""COMPUTED_VALUE"""),0.4559686888454019)</f>
        <v>0.4559686888</v>
      </c>
      <c r="M78" s="10">
        <f>IFERROR(__xludf.DUMMYFUNCTION("""COMPUTED_VALUE"""),0.2650630252100842)</f>
        <v>0.2650630252</v>
      </c>
      <c r="N78" s="10">
        <f>IFERROR(__xludf.DUMMYFUNCTION("""COMPUTED_VALUE"""),0.29411764705882354)</f>
        <v>0.2941176471</v>
      </c>
      <c r="O78" s="35">
        <f>IFERROR(__xludf.DUMMYFUNCTION("""COMPUTED_VALUE"""),2.9054621848739357)</f>
        <v>2.905462185</v>
      </c>
      <c r="P78" s="11">
        <f>IFERROR(__xludf.DUMMYFUNCTION("""COMPUTED_VALUE"""),37.13875)</f>
        <v>37.13875</v>
      </c>
      <c r="Q78" s="11">
        <f>IFERROR(__xludf.DUMMYFUNCTION("""COMPUTED_VALUE"""),60.0)</f>
        <v>60</v>
      </c>
      <c r="R78" s="11">
        <f>IFERROR(__xludf.DUMMYFUNCTION("""COMPUTED_VALUE"""),22.86125)</f>
        <v>22.86125</v>
      </c>
      <c r="S78" s="10">
        <f>IFERROR(__xludf.DUMMYFUNCTION("""COMPUTED_VALUE"""),0.6155632593988758)</f>
        <v>0.6155632594</v>
      </c>
      <c r="T78" s="11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IFERROR(__xludf.DUMMYFUNCTION("""COMPUTED_VALUE"""),46375.691821758315)</f>
        <v>46375.69182</v>
      </c>
      <c r="W78" s="10">
        <f>IFERROR(__xludf.DUMMYFUNCTION("""COMPUTED_VALUE"""),0.4559686888454019)</f>
        <v>0.4559686888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IFERROR(__xludf.DUMMYFUNCTION("""COMPUTED_VALUE"""),0.7241379310344828)</f>
        <v>0.724137931</v>
      </c>
      <c r="H79" s="9"/>
      <c r="I79" s="9"/>
      <c r="J79" s="11">
        <f>IFERROR(__xludf.DUMMYFUNCTION("""COMPUTED_VALUE"""),21.0)</f>
        <v>21</v>
      </c>
      <c r="K79" s="9"/>
      <c r="L79" s="9"/>
      <c r="M79" s="9"/>
      <c r="N79" s="10">
        <f>IFERROR(__xludf.DUMMYFUNCTION("""COMPUTED_VALUE"""),0.47619047619047616)</f>
        <v>0.4761904762</v>
      </c>
      <c r="O79" s="9"/>
      <c r="P79" s="9"/>
      <c r="Q79" s="11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1">
        <f>IFERROR(__xludf.DUMMYFUNCTION("""COMPUTED_VALUE"""),31.0)</f>
        <v>31</v>
      </c>
      <c r="D80" s="9"/>
      <c r="E80" s="9"/>
      <c r="F80" s="9"/>
      <c r="G80" s="10">
        <f>IFERROR(__xludf.DUMMYFUNCTION("""COMPUTED_VALUE"""),0.7096774193548387)</f>
        <v>0.7096774194</v>
      </c>
      <c r="H80" s="9"/>
      <c r="I80" s="9"/>
      <c r="J80" s="11">
        <f>IFERROR(__xludf.DUMMYFUNCTION("""COMPUTED_VALUE"""),22.0)</f>
        <v>22</v>
      </c>
      <c r="K80" s="9"/>
      <c r="L80" s="9"/>
      <c r="M80" s="9"/>
      <c r="N80" s="10">
        <f>IFERROR(__xludf.DUMMYFUNCTION("""COMPUTED_VALUE"""),0.45454545454545453)</f>
        <v>0.4545454545</v>
      </c>
      <c r="O80" s="9"/>
      <c r="P80" s="9"/>
      <c r="Q80" s="11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1">
        <f>IFERROR(__xludf.DUMMYFUNCTION("""COMPUTED_VALUE"""),31.0)</f>
        <v>31</v>
      </c>
      <c r="D81" s="9"/>
      <c r="E81" s="9"/>
      <c r="F81" s="9"/>
      <c r="G81" s="10">
        <f>IFERROR(__xludf.DUMMYFUNCTION("""COMPUTED_VALUE"""),0.7741935483870968)</f>
        <v>0.7741935484</v>
      </c>
      <c r="H81" s="9"/>
      <c r="I81" s="9"/>
      <c r="J81" s="11">
        <f>IFERROR(__xludf.DUMMYFUNCTION("""COMPUTED_VALUE"""),24.0)</f>
        <v>24</v>
      </c>
      <c r="K81" s="9"/>
      <c r="L81" s="9"/>
      <c r="M81" s="9"/>
      <c r="N81" s="10">
        <f>IFERROR(__xludf.DUMMYFUNCTION("""COMPUTED_VALUE"""),0.3333333333333333)</f>
        <v>0.3333333333</v>
      </c>
      <c r="O81" s="9"/>
      <c r="P81" s="9"/>
      <c r="Q81" s="11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1">
        <f>IFERROR(__xludf.DUMMYFUNCTION("""COMPUTED_VALUE"""),28.0)</f>
        <v>28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IFERROR(__xludf.DUMMYFUNCTION("""COMPUTED_VALUE"""),20.0)</f>
        <v>20</v>
      </c>
      <c r="K82" s="9"/>
      <c r="L82" s="9"/>
      <c r="M82" s="9"/>
      <c r="N82" s="10">
        <f>IFERROR(__xludf.DUMMYFUNCTION("""COMPUTED_VALUE"""),0.25)</f>
        <v>0.25</v>
      </c>
      <c r="O82" s="9"/>
      <c r="P82" s="9"/>
      <c r="Q82" s="11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IFERROR(__xludf.DUMMYFUNCTION("""COMPUTED_VALUE"""),28.0)</f>
        <v>28</v>
      </c>
      <c r="D83" s="9"/>
      <c r="E83" s="9"/>
      <c r="F83" s="9"/>
      <c r="G83" s="10">
        <f>IFERROR(__xludf.DUMMYFUNCTION("""COMPUTED_VALUE"""),0.8214285714285714)</f>
        <v>0.8214285714</v>
      </c>
      <c r="H83" s="9"/>
      <c r="I83" s="9"/>
      <c r="J83" s="11">
        <f>IFERROR(__xludf.DUMMYFUNCTION("""COMPUTED_VALUE"""),23.0)</f>
        <v>23</v>
      </c>
      <c r="K83" s="9"/>
      <c r="L83" s="9"/>
      <c r="M83" s="9"/>
      <c r="N83" s="10">
        <f>IFERROR(__xludf.DUMMYFUNCTION("""COMPUTED_VALUE"""),0.21739130434782608)</f>
        <v>0.2173913043</v>
      </c>
      <c r="O83" s="9"/>
      <c r="P83" s="9"/>
      <c r="Q83" s="11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1">
        <f>IFERROR(__xludf.DUMMYFUNCTION("""COMPUTED_VALUE"""),24.0)</f>
        <v>24</v>
      </c>
      <c r="D84" s="9"/>
      <c r="E84" s="9"/>
      <c r="F84" s="9"/>
      <c r="G84" s="10">
        <f>IFERROR(__xludf.DUMMYFUNCTION("""COMPUTED_VALUE"""),0.625)</f>
        <v>0.625</v>
      </c>
      <c r="H84" s="9"/>
      <c r="I84" s="9"/>
      <c r="J84" s="11">
        <f>IFERROR(__xludf.DUMMYFUNCTION("""COMPUTED_VALUE"""),15.0)</f>
        <v>15</v>
      </c>
      <c r="K84" s="9"/>
      <c r="L84" s="9"/>
      <c r="M84" s="9"/>
      <c r="N84" s="10">
        <f>IFERROR(__xludf.DUMMYFUNCTION("""COMPUTED_VALUE"""),0.26666666666666666)</f>
        <v>0.2666666667</v>
      </c>
      <c r="O84" s="9"/>
      <c r="P84" s="9"/>
      <c r="Q84" s="11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IFERROR(__xludf.DUMMYFUNCTION("""COMPUTED_VALUE"""),0.6363636363636364)</f>
        <v>0.6363636364</v>
      </c>
      <c r="H85" s="9"/>
      <c r="I85" s="9"/>
      <c r="J85" s="11">
        <f>IFERROR(__xludf.DUMMYFUNCTION("""COMPUTED_VALUE"""),21.0)</f>
        <v>21</v>
      </c>
      <c r="K85" s="9"/>
      <c r="L85" s="9"/>
      <c r="M85" s="9"/>
      <c r="N85" s="10">
        <f>IFERROR(__xludf.DUMMYFUNCTION("""COMPUTED_VALUE"""),0.14285714285714285)</f>
        <v>0.1428571429</v>
      </c>
      <c r="O85" s="9"/>
      <c r="P85" s="9"/>
      <c r="Q85" s="11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1">
        <f>IFERROR(__xludf.DUMMYFUNCTION("""COMPUTED_VALUE"""),23.0)</f>
        <v>23</v>
      </c>
      <c r="D86" s="9"/>
      <c r="E86" s="9"/>
      <c r="F86" s="9"/>
      <c r="G86" s="10">
        <f>IFERROR(__xludf.DUMMYFUNCTION("""COMPUTED_VALUE"""),0.6956521739130435)</f>
        <v>0.6956521739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IFERROR(__xludf.DUMMYFUNCTION("""COMPUTED_VALUE"""),0.125)</f>
        <v>0.125</v>
      </c>
      <c r="O86" s="9"/>
      <c r="P86" s="9"/>
      <c r="Q86" s="11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1">
        <f>IFERROR(__xludf.DUMMYFUNCTION("""COMPUTED_VALUE"""),1.0)</f>
        <v>1</v>
      </c>
      <c r="D87" s="9"/>
      <c r="E87" s="9"/>
      <c r="F87" s="9"/>
      <c r="G87" s="10">
        <f>IFERROR(__xludf.DUMMYFUNCTION("""COMPUTED_VALUE"""),1.0)</f>
        <v>1</v>
      </c>
      <c r="H87" s="9"/>
      <c r="I87" s="9"/>
      <c r="J87" s="11">
        <f>IFERROR(__xludf.DUMMYFUNCTION("""COMPUTED_VALUE"""),1.0)</f>
        <v>1</v>
      </c>
      <c r="K87" s="9"/>
      <c r="L87" s="9"/>
      <c r="M87" s="9"/>
      <c r="N87" s="10">
        <f>IFERROR(__xludf.DUMMYFUNCTION("""COMPUTED_VALUE"""),1.0)</f>
        <v>1</v>
      </c>
      <c r="O87" s="9"/>
      <c r="P87" s="9"/>
      <c r="Q87" s="11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1">
        <f>IFERROR(__xludf.DUMMYFUNCTION("""COMPUTED_VALUE"""),7.0)</f>
        <v>7</v>
      </c>
      <c r="D88" s="9"/>
      <c r="E88" s="9"/>
      <c r="F88" s="9"/>
      <c r="G88" s="10">
        <f>IFERROR(__xludf.DUMMYFUNCTION("""COMPUTED_VALUE"""),0.8571428571428571)</f>
        <v>0.8571428571</v>
      </c>
      <c r="H88" s="9"/>
      <c r="I88" s="9"/>
      <c r="J88" s="11">
        <f>IFERROR(__xludf.DUMMYFUNCTION("""COMPUTED_VALUE"""),6.0)</f>
        <v>6</v>
      </c>
      <c r="K88" s="9"/>
      <c r="L88" s="9"/>
      <c r="M88" s="9"/>
      <c r="N88" s="10">
        <f>IFERROR(__xludf.DUMMYFUNCTION("""COMPUTED_VALUE"""),0.16666666666666666)</f>
        <v>0.1666666667</v>
      </c>
      <c r="O88" s="9"/>
      <c r="P88" s="9"/>
      <c r="Q88" s="11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1">
        <f>IFERROR(__xludf.DUMMYFUNCTION("""COMPUTED_VALUE"""),1.0)</f>
        <v>1</v>
      </c>
      <c r="D89" s="9"/>
      <c r="E89" s="9"/>
      <c r="F89" s="9"/>
      <c r="G89" s="10">
        <f>IFERROR(__xludf.DUMMYFUNCTION("""COMPUTED_VALUE"""),1.0)</f>
        <v>1</v>
      </c>
      <c r="H89" s="9"/>
      <c r="I89" s="9"/>
      <c r="J89" s="11">
        <f>IFERROR(__xludf.DUMMYFUNCTION("""COMPUTED_VALUE"""),1.0)</f>
        <v>1</v>
      </c>
      <c r="K89" s="9"/>
      <c r="L89" s="9"/>
      <c r="M89" s="9"/>
      <c r="N89" s="10">
        <f>IFERROR(__xludf.DUMMYFUNCTION("""COMPUTED_VALUE"""),0.0)</f>
        <v>0</v>
      </c>
      <c r="O89" s="9"/>
      <c r="P89" s="9"/>
      <c r="Q89" s="11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1">
        <f>IFERROR(__xludf.DUMMYFUNCTION("""COMPUTED_VALUE"""),159.03225806451604)</f>
        <v>159.0322581</v>
      </c>
      <c r="C90" s="11">
        <f>IFERROR(__xludf.DUMMYFUNCTION("""COMPUTED_VALUE"""),125.0)</f>
        <v>125</v>
      </c>
      <c r="D90" s="11">
        <f>IFERROR(__xludf.DUMMYFUNCTION("""COMPUTED_VALUE"""),-34.03225806451604)</f>
        <v>-34.03225806</v>
      </c>
      <c r="E90" s="10">
        <f>IFERROR(__xludf.DUMMYFUNCTION("""COMPUTED_VALUE"""),-0.21399594320486773)</f>
        <v>-0.2139959432</v>
      </c>
      <c r="F90" s="10">
        <f>IFERROR(__xludf.DUMMYFUNCTION("""COMPUTED_VALUE"""),0.7900000000000001)</f>
        <v>0.79</v>
      </c>
      <c r="G90" s="10">
        <f>IFERROR(__xludf.DUMMYFUNCTION("""COMPUTED_VALUE"""),0.768)</f>
        <v>0.768</v>
      </c>
      <c r="H90" s="35">
        <f>IFERROR(__xludf.DUMMYFUNCTION("""COMPUTED_VALUE"""),-2.200000000000013)</f>
        <v>-2.2</v>
      </c>
      <c r="I90" s="11">
        <f>IFERROR(__xludf.DUMMYFUNCTION("""COMPUTED_VALUE"""),125.63548387096769)</f>
        <v>125.6354839</v>
      </c>
      <c r="J90" s="11">
        <f>IFERROR(__xludf.DUMMYFUNCTION("""COMPUTED_VALUE"""),96.0)</f>
        <v>96</v>
      </c>
      <c r="K90" s="11">
        <f>IFERROR(__xludf.DUMMYFUNCTION("""COMPUTED_VALUE"""),-29.63548387096769)</f>
        <v>-29.63548387</v>
      </c>
      <c r="L90" s="10">
        <f>IFERROR(__xludf.DUMMYFUNCTION("""COMPUTED_VALUE"""),-0.2358846637738462)</f>
        <v>-0.2358846638</v>
      </c>
      <c r="M90" s="10">
        <f>IFERROR(__xludf.DUMMYFUNCTION("""COMPUTED_VALUE"""),0.37610294117647075)</f>
        <v>0.3761029412</v>
      </c>
      <c r="N90" s="10">
        <f>IFERROR(__xludf.DUMMYFUNCTION("""COMPUTED_VALUE"""),0.4270833333333333)</f>
        <v>0.4270833333</v>
      </c>
      <c r="O90" s="35">
        <f>IFERROR(__xludf.DUMMYFUNCTION("""COMPUTED_VALUE"""),5.098039215686256)</f>
        <v>5.098039216</v>
      </c>
      <c r="P90" s="11">
        <f>IFERROR(__xludf.DUMMYFUNCTION("""COMPUTED_VALUE"""),47.251875)</f>
        <v>47.251875</v>
      </c>
      <c r="Q90" s="11">
        <f>IFERROR(__xludf.DUMMYFUNCTION("""COMPUTED_VALUE"""),41.0)</f>
        <v>41</v>
      </c>
      <c r="R90" s="11">
        <f>IFERROR(__xludf.DUMMYFUNCTION("""COMPUTED_VALUE"""),-6.251874999999998)</f>
        <v>-6.251875</v>
      </c>
      <c r="S90" s="10">
        <f>IFERROR(__xludf.DUMMYFUNCTION("""COMPUTED_VALUE"""),-0.1323095644352737)</f>
        <v>-0.1323095644</v>
      </c>
      <c r="T90" s="11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IFERROR(__xludf.DUMMYFUNCTION("""COMPUTED_VALUE"""),-41871.24819764113)</f>
        <v>-41871.2482</v>
      </c>
      <c r="W90" s="10">
        <f>IFERROR(__xludf.DUMMYFUNCTION("""COMPUTED_VALUE"""),-0.2358846637738462)</f>
        <v>-0.2358846638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1">
        <f>IFERROR(__xludf.DUMMYFUNCTION("""COMPUTED_VALUE"""),38.0)</f>
        <v>38</v>
      </c>
      <c r="D91" s="9"/>
      <c r="E91" s="9"/>
      <c r="F91" s="9"/>
      <c r="G91" s="10">
        <f>IFERROR(__xludf.DUMMYFUNCTION("""COMPUTED_VALUE"""),0.7105263157894737)</f>
        <v>0.7105263158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IFERROR(__xludf.DUMMYFUNCTION("""COMPUTED_VALUE"""),0.5925925925925926)</f>
        <v>0.5925925926</v>
      </c>
      <c r="O91" s="9"/>
      <c r="P91" s="9"/>
      <c r="Q91" s="11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1">
        <f>IFERROR(__xludf.DUMMYFUNCTION("""COMPUTED_VALUE"""),21.0)</f>
        <v>21</v>
      </c>
      <c r="D92" s="9"/>
      <c r="E92" s="9"/>
      <c r="F92" s="9"/>
      <c r="G92" s="10">
        <f>IFERROR(__xludf.DUMMYFUNCTION("""COMPUTED_VALUE"""),0.9047619047619048)</f>
        <v>0.9047619048</v>
      </c>
      <c r="H92" s="9"/>
      <c r="I92" s="9"/>
      <c r="J92" s="11">
        <f>IFERROR(__xludf.DUMMYFUNCTION("""COMPUTED_VALUE"""),19.0)</f>
        <v>19</v>
      </c>
      <c r="K92" s="9"/>
      <c r="L92" s="9"/>
      <c r="M92" s="9"/>
      <c r="N92" s="10">
        <f>IFERROR(__xludf.DUMMYFUNCTION("""COMPUTED_VALUE"""),0.6842105263157895)</f>
        <v>0.6842105263</v>
      </c>
      <c r="O92" s="9"/>
      <c r="P92" s="9"/>
      <c r="Q92" s="11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1">
        <f>IFERROR(__xludf.DUMMYFUNCTION("""COMPUTED_VALUE"""),25.0)</f>
        <v>25</v>
      </c>
      <c r="D93" s="9"/>
      <c r="E93" s="9"/>
      <c r="F93" s="9"/>
      <c r="G93" s="10">
        <f>IFERROR(__xludf.DUMMYFUNCTION("""COMPUTED_VALUE"""),0.88)</f>
        <v>0.88</v>
      </c>
      <c r="H93" s="9"/>
      <c r="I93" s="9"/>
      <c r="J93" s="11">
        <f>IFERROR(__xludf.DUMMYFUNCTION("""COMPUTED_VALUE"""),22.0)</f>
        <v>22</v>
      </c>
      <c r="K93" s="9"/>
      <c r="L93" s="9"/>
      <c r="M93" s="9"/>
      <c r="N93" s="10">
        <f>IFERROR(__xludf.DUMMYFUNCTION("""COMPUTED_VALUE"""),0.5454545454545454)</f>
        <v>0.5454545455</v>
      </c>
      <c r="O93" s="9"/>
      <c r="P93" s="9"/>
      <c r="Q93" s="11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1">
        <f>IFERROR(__xludf.DUMMYFUNCTION("""COMPUTED_VALUE"""),33.0)</f>
        <v>33</v>
      </c>
      <c r="D94" s="9"/>
      <c r="E94" s="9"/>
      <c r="F94" s="9"/>
      <c r="G94" s="10">
        <f>IFERROR(__xludf.DUMMYFUNCTION("""COMPUTED_VALUE"""),0.7272727272727273)</f>
        <v>0.7272727273</v>
      </c>
      <c r="H94" s="9"/>
      <c r="I94" s="9"/>
      <c r="J94" s="11">
        <f>IFERROR(__xludf.DUMMYFUNCTION("""COMPUTED_VALUE"""),24.0)</f>
        <v>24</v>
      </c>
      <c r="K94" s="9"/>
      <c r="L94" s="9"/>
      <c r="M94" s="9"/>
      <c r="N94" s="10">
        <f>IFERROR(__xludf.DUMMYFUNCTION("""COMPUTED_VALUE"""),0.5)</f>
        <v>0.5</v>
      </c>
      <c r="O94" s="9"/>
      <c r="P94" s="9"/>
      <c r="Q94" s="11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1">
        <f>IFERROR(__xludf.DUMMYFUNCTION("""COMPUTED_VALUE"""),49.0)</f>
        <v>49</v>
      </c>
      <c r="D95" s="9"/>
      <c r="E95" s="9"/>
      <c r="F95" s="9"/>
      <c r="G95" s="10">
        <f>IFERROR(__xludf.DUMMYFUNCTION("""COMPUTED_VALUE"""),0.7959183673469388)</f>
        <v>0.7959183673</v>
      </c>
      <c r="H95" s="9"/>
      <c r="I95" s="9"/>
      <c r="J95" s="11">
        <f>IFERROR(__xludf.DUMMYFUNCTION("""COMPUTED_VALUE"""),39.0)</f>
        <v>39</v>
      </c>
      <c r="K95" s="9"/>
      <c r="L95" s="9"/>
      <c r="M95" s="9"/>
      <c r="N95" s="10">
        <f>IFERROR(__xludf.DUMMYFUNCTION("""COMPUTED_VALUE"""),0.3076923076923077)</f>
        <v>0.3076923077</v>
      </c>
      <c r="O95" s="9"/>
      <c r="P95" s="9"/>
      <c r="Q95" s="11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1">
        <f>IFERROR(__xludf.DUMMYFUNCTION("""COMPUTED_VALUE"""),29.0)</f>
        <v>29</v>
      </c>
      <c r="D96" s="9"/>
      <c r="E96" s="9"/>
      <c r="F96" s="9"/>
      <c r="G96" s="10">
        <f>IFERROR(__xludf.DUMMYFUNCTION("""COMPUTED_VALUE"""),0.6551724137931034)</f>
        <v>0.6551724138</v>
      </c>
      <c r="H96" s="9"/>
      <c r="I96" s="9"/>
      <c r="J96" s="11">
        <f>IFERROR(__xludf.DUMMYFUNCTION("""COMPUTED_VALUE"""),19.0)</f>
        <v>19</v>
      </c>
      <c r="K96" s="9"/>
      <c r="L96" s="9"/>
      <c r="M96" s="9"/>
      <c r="N96" s="10">
        <f>IFERROR(__xludf.DUMMYFUNCTION("""COMPUTED_VALUE"""),0.5263157894736842)</f>
        <v>0.5263157895</v>
      </c>
      <c r="O96" s="9"/>
      <c r="P96" s="9"/>
      <c r="Q96" s="11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1">
        <f>IFERROR(__xludf.DUMMYFUNCTION("""COMPUTED_VALUE"""),27.0)</f>
        <v>27</v>
      </c>
      <c r="D97" s="9"/>
      <c r="E97" s="9"/>
      <c r="F97" s="9"/>
      <c r="G97" s="10">
        <f>IFERROR(__xludf.DUMMYFUNCTION("""COMPUTED_VALUE"""),0.8148148148148148)</f>
        <v>0.8148148148</v>
      </c>
      <c r="H97" s="9"/>
      <c r="I97" s="9"/>
      <c r="J97" s="11">
        <f>IFERROR(__xludf.DUMMYFUNCTION("""COMPUTED_VALUE"""),22.0)</f>
        <v>22</v>
      </c>
      <c r="K97" s="9"/>
      <c r="L97" s="9"/>
      <c r="M97" s="9"/>
      <c r="N97" s="10">
        <f>IFERROR(__xludf.DUMMYFUNCTION("""COMPUTED_VALUE"""),0.4090909090909091)</f>
        <v>0.4090909091</v>
      </c>
      <c r="O97" s="9"/>
      <c r="P97" s="9"/>
      <c r="Q97" s="11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1">
        <f>IFERROR(__xludf.DUMMYFUNCTION("""COMPUTED_VALUE"""),25.0)</f>
        <v>25</v>
      </c>
      <c r="D98" s="9"/>
      <c r="E98" s="9"/>
      <c r="F98" s="9"/>
      <c r="G98" s="10">
        <f>IFERROR(__xludf.DUMMYFUNCTION("""COMPUTED_VALUE"""),0.88)</f>
        <v>0.88</v>
      </c>
      <c r="H98" s="9"/>
      <c r="I98" s="9"/>
      <c r="J98" s="11">
        <f>IFERROR(__xludf.DUMMYFUNCTION("""COMPUTED_VALUE"""),22.0)</f>
        <v>22</v>
      </c>
      <c r="K98" s="9"/>
      <c r="L98" s="9"/>
      <c r="M98" s="9"/>
      <c r="N98" s="10">
        <f>IFERROR(__xludf.DUMMYFUNCTION("""COMPUTED_VALUE"""),0.4090909090909091)</f>
        <v>0.4090909091</v>
      </c>
      <c r="O98" s="9"/>
      <c r="P98" s="9"/>
      <c r="Q98" s="11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1">
        <f>IFERROR(__xludf.DUMMYFUNCTION("""COMPUTED_VALUE"""),26.0)</f>
        <v>26</v>
      </c>
      <c r="D99" s="9"/>
      <c r="E99" s="9"/>
      <c r="F99" s="9"/>
      <c r="G99" s="10">
        <f>IFERROR(__xludf.DUMMYFUNCTION("""COMPUTED_VALUE"""),0.9615384615384616)</f>
        <v>0.9615384615</v>
      </c>
      <c r="H99" s="9"/>
      <c r="I99" s="9"/>
      <c r="J99" s="11">
        <f>IFERROR(__xludf.DUMMYFUNCTION("""COMPUTED_VALUE"""),25.0)</f>
        <v>25</v>
      </c>
      <c r="K99" s="9"/>
      <c r="L99" s="9"/>
      <c r="M99" s="9"/>
      <c r="N99" s="10">
        <f>IFERROR(__xludf.DUMMYFUNCTION("""COMPUTED_VALUE"""),0.28)</f>
        <v>0.28</v>
      </c>
      <c r="O99" s="9"/>
      <c r="P99" s="9"/>
      <c r="Q99" s="11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1">
        <f>IFERROR(__xludf.DUMMYFUNCTION("""COMPUTED_VALUE"""),2.0)</f>
        <v>2</v>
      </c>
      <c r="D100" s="9"/>
      <c r="E100" s="9"/>
      <c r="F100" s="9"/>
      <c r="G100" s="10">
        <f>IFERROR(__xludf.DUMMYFUNCTION("""COMPUTED_VALUE"""),1.0)</f>
        <v>1</v>
      </c>
      <c r="H100" s="9"/>
      <c r="I100" s="9"/>
      <c r="J100" s="11">
        <f>IFERROR(__xludf.DUMMYFUNCTION("""COMPUTED_VALUE"""),2.0)</f>
        <v>2</v>
      </c>
      <c r="K100" s="9"/>
      <c r="L100" s="9"/>
      <c r="M100" s="9"/>
      <c r="N100" s="10">
        <f>IFERROR(__xludf.DUMMYFUNCTION("""COMPUTED_VALUE"""),1.0)</f>
        <v>1</v>
      </c>
      <c r="O100" s="9"/>
      <c r="P100" s="9"/>
      <c r="Q100" s="11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1">
        <f>IFERROR(__xludf.DUMMYFUNCTION("""COMPUTED_VALUE"""),7.0)</f>
        <v>7</v>
      </c>
      <c r="D101" s="9"/>
      <c r="E101" s="9"/>
      <c r="F101" s="9"/>
      <c r="G101" s="10">
        <f>IFERROR(__xludf.DUMMYFUNCTION("""COMPUTED_VALUE"""),0.8571428571428571)</f>
        <v>0.8571428571</v>
      </c>
      <c r="H101" s="9"/>
      <c r="I101" s="9"/>
      <c r="J101" s="11">
        <f>IFERROR(__xludf.DUMMYFUNCTION("""COMPUTED_VALUE"""),6.0)</f>
        <v>6</v>
      </c>
      <c r="K101" s="9"/>
      <c r="L101" s="9"/>
      <c r="M101" s="9"/>
      <c r="N101" s="10">
        <f>IFERROR(__xludf.DUMMYFUNCTION("""COMPUTED_VALUE"""),0.3333333333333333)</f>
        <v>0.3333333333</v>
      </c>
      <c r="O101" s="9"/>
      <c r="P101" s="9"/>
      <c r="Q101" s="11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1">
        <f>IFERROR(__xludf.DUMMYFUNCTION("""COMPUTED_VALUE"""),1.0)</f>
        <v>1</v>
      </c>
      <c r="D102" s="9"/>
      <c r="E102" s="9"/>
      <c r="F102" s="9"/>
      <c r="G102" s="10">
        <f>IFERROR(__xludf.DUMMYFUNCTION("""COMPUTED_VALUE"""),1.0)</f>
        <v>1</v>
      </c>
      <c r="H102" s="9"/>
      <c r="I102" s="9"/>
      <c r="J102" s="11">
        <f>IFERROR(__xludf.DUMMYFUNCTION("""COMPUTED_VALUE"""),1.0)</f>
        <v>1</v>
      </c>
      <c r="K102" s="9"/>
      <c r="L102" s="9"/>
      <c r="M102" s="9"/>
      <c r="N102" s="10">
        <f>IFERROR(__xludf.DUMMYFUNCTION("""COMPUTED_VALUE"""),0.0)</f>
        <v>0</v>
      </c>
      <c r="O102" s="9"/>
      <c r="P102" s="9"/>
      <c r="Q102" s="11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1">
        <f>IFERROR(__xludf.DUMMYFUNCTION("""COMPUTED_VALUE"""),1.0)</f>
        <v>1</v>
      </c>
      <c r="D103" s="9"/>
      <c r="E103" s="9"/>
      <c r="F103" s="9"/>
      <c r="G103" s="10">
        <f>IFERROR(__xludf.DUMMYFUNCTION("""COMPUTED_VALUE"""),0.0)</f>
        <v>0</v>
      </c>
      <c r="H103" s="9"/>
      <c r="I103" s="9"/>
      <c r="J103" s="11">
        <f>IFERROR(__xludf.DUMMYFUNCTION("""COMPUTED_VALUE"""),0.0)</f>
        <v>0</v>
      </c>
      <c r="K103" s="9"/>
      <c r="L103" s="9"/>
      <c r="M103" s="9"/>
      <c r="N103" s="10">
        <f>IFERROR(__xludf.DUMMYFUNCTION("""COMPUTED_VALUE"""),0.0)</f>
        <v>0</v>
      </c>
      <c r="O103" s="9"/>
      <c r="P103" s="9"/>
      <c r="Q103" s="11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1">
        <f>IFERROR(__xludf.DUMMYFUNCTION("""COMPUTED_VALUE"""),1.0)</f>
        <v>1</v>
      </c>
      <c r="D104" s="9"/>
      <c r="E104" s="9"/>
      <c r="F104" s="9"/>
      <c r="G104" s="10">
        <f>IFERROR(__xludf.DUMMYFUNCTION("""COMPUTED_VALUE"""),2.0)</f>
        <v>2</v>
      </c>
      <c r="H104" s="9"/>
      <c r="I104" s="9"/>
      <c r="J104" s="11">
        <f>IFERROR(__xludf.DUMMYFUNCTION("""COMPUTED_VALUE"""),2.0)</f>
        <v>2</v>
      </c>
      <c r="K104" s="9"/>
      <c r="L104" s="9"/>
      <c r="M104" s="9"/>
      <c r="N104" s="10">
        <f>IFERROR(__xludf.DUMMYFUNCTION("""COMPUTED_VALUE"""),0.0)</f>
        <v>0</v>
      </c>
      <c r="O104" s="9"/>
      <c r="P104" s="9"/>
      <c r="Q104" s="11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1">
        <f>IFERROR(__xludf.DUMMYFUNCTION("""COMPUTED_VALUE"""),319.38064516129015)</f>
        <v>319.3806452</v>
      </c>
      <c r="C105" s="11">
        <f>IFERROR(__xludf.DUMMYFUNCTION("""COMPUTED_VALUE"""),262.0)</f>
        <v>262</v>
      </c>
      <c r="D105" s="11">
        <f>IFERROR(__xludf.DUMMYFUNCTION("""COMPUTED_VALUE"""),-57.38064516129015)</f>
        <v>-57.38064516</v>
      </c>
      <c r="E105" s="10">
        <f>IFERROR(__xludf.DUMMYFUNCTION("""COMPUTED_VALUE"""),-0.17966224951519025)</f>
        <v>-0.1796622495</v>
      </c>
      <c r="F105" s="10">
        <f>IFERROR(__xludf.DUMMYFUNCTION("""COMPUTED_VALUE"""),0.5817307692307692)</f>
        <v>0.5817307692</v>
      </c>
      <c r="G105" s="10">
        <f>IFERROR(__xludf.DUMMYFUNCTION("""COMPUTED_VALUE"""),0.6297709923664122)</f>
        <v>0.6297709924</v>
      </c>
      <c r="H105" s="35">
        <f>IFERROR(__xludf.DUMMYFUNCTION("""COMPUTED_VALUE"""),4.804022313564305)</f>
        <v>4.804022314</v>
      </c>
      <c r="I105" s="11">
        <f>IFERROR(__xludf.DUMMYFUNCTION("""COMPUTED_VALUE"""),185.79354838709665)</f>
        <v>185.7935484</v>
      </c>
      <c r="J105" s="11">
        <f>IFERROR(__xludf.DUMMYFUNCTION("""COMPUTED_VALUE"""),165.0)</f>
        <v>165</v>
      </c>
      <c r="K105" s="11">
        <f>IFERROR(__xludf.DUMMYFUNCTION("""COMPUTED_VALUE"""),-20.79354838709665)</f>
        <v>-20.79354839</v>
      </c>
      <c r="L105" s="10">
        <f>IFERROR(__xludf.DUMMYFUNCTION("""COMPUTED_VALUE"""),-0.11191749427043485)</f>
        <v>-0.1119174943</v>
      </c>
      <c r="M105" s="10">
        <f>IFERROR(__xludf.DUMMYFUNCTION("""COMPUTED_VALUE"""),0.4434491978609628)</f>
        <v>0.4434491979</v>
      </c>
      <c r="N105" s="10">
        <f>IFERROR(__xludf.DUMMYFUNCTION("""COMPUTED_VALUE"""),0.5212121212121212)</f>
        <v>0.5212121212</v>
      </c>
      <c r="O105" s="35">
        <f>IFERROR(__xludf.DUMMYFUNCTION("""COMPUTED_VALUE"""),7.776292335115842)</f>
        <v>7.776292335</v>
      </c>
      <c r="P105" s="11">
        <f>IFERROR(__xludf.DUMMYFUNCTION("""COMPUTED_VALUE"""),82.38999999999999)</f>
        <v>82.39</v>
      </c>
      <c r="Q105" s="11">
        <f>IFERROR(__xludf.DUMMYFUNCTION("""COMPUTED_VALUE"""),86.0)</f>
        <v>86</v>
      </c>
      <c r="R105" s="11">
        <f>IFERROR(__xludf.DUMMYFUNCTION("""COMPUTED_VALUE"""),3.6100000000000136)</f>
        <v>3.61</v>
      </c>
      <c r="S105" s="10">
        <f>IFERROR(__xludf.DUMMYFUNCTION("""COMPUTED_VALUE"""),0.0438159970870253)</f>
        <v>0.04381599709</v>
      </c>
      <c r="T105" s="11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IFERROR(__xludf.DUMMYFUNCTION("""COMPUTED_VALUE"""),-38322.16254545434)</f>
        <v>-38322.16255</v>
      </c>
      <c r="W105" s="10">
        <f>IFERROR(__xludf.DUMMYFUNCTION("""COMPUTED_VALUE"""),-0.11191749427043485)</f>
        <v>-0.1119174943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1" t="str">
        <f>IFERROR(__xludf.DUMMYFUNCTION("""COMPUTED_VALUE"""),"#REF!")</f>
        <v>#REF!</v>
      </c>
      <c r="D106" s="9"/>
      <c r="E106" s="9"/>
      <c r="F106" s="9"/>
      <c r="G106" s="10" t="str">
        <f>IFERROR(__xludf.DUMMYFUNCTION("""COMPUTED_VALUE"""),"#REF!")</f>
        <v>#REF!</v>
      </c>
      <c r="H106" s="9"/>
      <c r="I106" s="9"/>
      <c r="J106" s="11" t="str">
        <f>IFERROR(__xludf.DUMMYFUNCTION("""COMPUTED_VALUE"""),"#REF!")</f>
        <v>#REF!</v>
      </c>
      <c r="K106" s="9"/>
      <c r="L106" s="9"/>
      <c r="M106" s="9"/>
      <c r="N106" s="10" t="str">
        <f>IFERROR(__xludf.DUMMYFUNCTION("""COMPUTED_VALUE"""),"#REF!")</f>
        <v>#REF!</v>
      </c>
      <c r="O106" s="9"/>
      <c r="P106" s="9"/>
      <c r="Q106" s="11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1">
        <f>IFERROR(__xludf.DUMMYFUNCTION("""COMPUTED_VALUE"""),118.39677419354834)</f>
        <v>118.3967742</v>
      </c>
      <c r="C124" s="11">
        <f>IFERROR(__xludf.DUMMYFUNCTION("""COMPUTED_VALUE"""),62.0)</f>
        <v>62</v>
      </c>
      <c r="D124" s="11">
        <f>IFERROR(__xludf.DUMMYFUNCTION("""COMPUTED_VALUE"""),-56.39677419354834)</f>
        <v>-56.39677419</v>
      </c>
      <c r="E124" s="10">
        <f>IFERROR(__xludf.DUMMYFUNCTION("""COMPUTED_VALUE"""),-0.4763370841620574)</f>
        <v>-0.4763370842</v>
      </c>
      <c r="F124" s="10">
        <f>IFERROR(__xludf.DUMMYFUNCTION("""COMPUTED_VALUE"""),0.716535433070866)</f>
        <v>0.7165354331</v>
      </c>
      <c r="G124" s="10">
        <f>IFERROR(__xludf.DUMMYFUNCTION("""COMPUTED_VALUE"""),0.7419354838709677)</f>
        <v>0.7419354839</v>
      </c>
      <c r="H124" s="35">
        <f>IFERROR(__xludf.DUMMYFUNCTION("""COMPUTED_VALUE"""),2.540005080010177)</f>
        <v>2.54000508</v>
      </c>
      <c r="I124" s="11">
        <f>IFERROR(__xludf.DUMMYFUNCTION("""COMPUTED_VALUE"""),84.83548387096769)</f>
        <v>84.83548387</v>
      </c>
      <c r="J124" s="11">
        <f>IFERROR(__xludf.DUMMYFUNCTION("""COMPUTED_VALUE"""),46.0)</f>
        <v>46</v>
      </c>
      <c r="K124" s="11">
        <f>IFERROR(__xludf.DUMMYFUNCTION("""COMPUTED_VALUE"""),-38.83548387096769)</f>
        <v>-38.83548387</v>
      </c>
      <c r="L124" s="10">
        <f>IFERROR(__xludf.DUMMYFUNCTION("""COMPUTED_VALUE"""),-0.4577740598501841)</f>
        <v>-0.4577740599</v>
      </c>
      <c r="M124" s="10">
        <f>IFERROR(__xludf.DUMMYFUNCTION("""COMPUTED_VALUE"""),0.3857466063348418)</f>
        <v>0.3857466063</v>
      </c>
      <c r="N124" s="10">
        <f>IFERROR(__xludf.DUMMYFUNCTION("""COMPUTED_VALUE"""),0.30434782608695654)</f>
        <v>0.3043478261</v>
      </c>
      <c r="O124" s="35">
        <f>IFERROR(__xludf.DUMMYFUNCTION("""COMPUTED_VALUE"""),-8.139878024788526)</f>
        <v>-8.139878025</v>
      </c>
      <c r="P124" s="11">
        <f>IFERROR(__xludf.DUMMYFUNCTION("""COMPUTED_VALUE"""),32.724999999999994)</f>
        <v>32.725</v>
      </c>
      <c r="Q124" s="11">
        <f>IFERROR(__xludf.DUMMYFUNCTION("""COMPUTED_VALUE"""),14.0)</f>
        <v>14</v>
      </c>
      <c r="R124" s="11">
        <f>IFERROR(__xludf.DUMMYFUNCTION("""COMPUTED_VALUE"""),-18.724999999999994)</f>
        <v>-18.725</v>
      </c>
      <c r="S124" s="10">
        <f>IFERROR(__xludf.DUMMYFUNCTION("""COMPUTED_VALUE"""),-0.5721925133689839)</f>
        <v>-0.5721925134</v>
      </c>
      <c r="T124" s="11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IFERROR(__xludf.DUMMYFUNCTION("""COMPUTED_VALUE"""),-58367.48882730441)</f>
        <v>-58367.48883</v>
      </c>
      <c r="W124" s="10">
        <f>IFERROR(__xludf.DUMMYFUNCTION("""COMPUTED_VALUE"""),-0.45777405985018405)</f>
        <v>-0.4577740599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IFERROR(__xludf.DUMMYFUNCTION("""COMPUTED_VALUE"""),1.0)</f>
        <v>1</v>
      </c>
      <c r="H125" s="9"/>
      <c r="I125" s="9"/>
      <c r="J125" s="11">
        <f>IFERROR(__xludf.DUMMYFUNCTION("""COMPUTED_VALUE"""),12.0)</f>
        <v>12</v>
      </c>
      <c r="K125" s="9"/>
      <c r="L125" s="9"/>
      <c r="M125" s="9"/>
      <c r="N125" s="10">
        <f>IFERROR(__xludf.DUMMYFUNCTION("""COMPUTED_VALUE"""),0.5833333333333334)</f>
        <v>0.5833333333</v>
      </c>
      <c r="O125" s="9"/>
      <c r="P125" s="9"/>
      <c r="Q125" s="11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1">
        <f>IFERROR(__xludf.DUMMYFUNCTION("""COMPUTED_VALUE"""),9.0)</f>
        <v>9</v>
      </c>
      <c r="D126" s="9"/>
      <c r="E126" s="9"/>
      <c r="F126" s="9"/>
      <c r="G126" s="10">
        <f>IFERROR(__xludf.DUMMYFUNCTION("""COMPUTED_VALUE"""),0.7777777777777778)</f>
        <v>0.7777777778</v>
      </c>
      <c r="H126" s="9"/>
      <c r="I126" s="9"/>
      <c r="J126" s="11">
        <f>IFERROR(__xludf.DUMMYFUNCTION("""COMPUTED_VALUE"""),7.0)</f>
        <v>7</v>
      </c>
      <c r="K126" s="9"/>
      <c r="L126" s="9"/>
      <c r="M126" s="9"/>
      <c r="N126" s="10">
        <f>IFERROR(__xludf.DUMMYFUNCTION("""COMPUTED_VALUE"""),0.7142857142857143)</f>
        <v>0.7142857143</v>
      </c>
      <c r="O126" s="9"/>
      <c r="P126" s="9"/>
      <c r="Q126" s="11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1">
        <f>IFERROR(__xludf.DUMMYFUNCTION("""COMPUTED_VALUE"""),12.0)</f>
        <v>12</v>
      </c>
      <c r="D127" s="9"/>
      <c r="E127" s="9"/>
      <c r="F127" s="9"/>
      <c r="G127" s="10">
        <f>IFERROR(__xludf.DUMMYFUNCTION("""COMPUTED_VALUE"""),0.8333333333333334)</f>
        <v>0.8333333333</v>
      </c>
      <c r="H127" s="9"/>
      <c r="I127" s="9"/>
      <c r="J127" s="11">
        <f>IFERROR(__xludf.DUMMYFUNCTION("""COMPUTED_VALUE"""),10.0)</f>
        <v>10</v>
      </c>
      <c r="K127" s="9"/>
      <c r="L127" s="9"/>
      <c r="M127" s="9"/>
      <c r="N127" s="10">
        <f>IFERROR(__xludf.DUMMYFUNCTION("""COMPUTED_VALUE"""),0.4)</f>
        <v>0.4</v>
      </c>
      <c r="O127" s="9"/>
      <c r="P127" s="9"/>
      <c r="Q127" s="11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IFERROR(__xludf.DUMMYFUNCTION("""COMPUTED_VALUE"""),12.0)</f>
        <v>12</v>
      </c>
      <c r="D128" s="9"/>
      <c r="E128" s="9"/>
      <c r="F128" s="9"/>
      <c r="G128" s="10">
        <f>IFERROR(__xludf.DUMMYFUNCTION("""COMPUTED_VALUE"""),0.9166666666666666)</f>
        <v>0.9166666667</v>
      </c>
      <c r="H128" s="9"/>
      <c r="I128" s="9"/>
      <c r="J128" s="11">
        <f>IFERROR(__xludf.DUMMYFUNCTION("""COMPUTED_VALUE"""),11.0)</f>
        <v>11</v>
      </c>
      <c r="K128" s="9"/>
      <c r="L128" s="9"/>
      <c r="M128" s="9"/>
      <c r="N128" s="10">
        <f>IFERROR(__xludf.DUMMYFUNCTION("""COMPUTED_VALUE"""),0.2727272727272727)</f>
        <v>0.2727272727</v>
      </c>
      <c r="O128" s="9"/>
      <c r="P128" s="9"/>
      <c r="Q128" s="11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1">
        <f>IFERROR(__xludf.DUMMYFUNCTION("""COMPUTED_VALUE"""),14.0)</f>
        <v>14</v>
      </c>
      <c r="D129" s="9"/>
      <c r="E129" s="9"/>
      <c r="F129" s="9"/>
      <c r="G129" s="10">
        <f>IFERROR(__xludf.DUMMYFUNCTION("""COMPUTED_VALUE"""),0.5)</f>
        <v>0.5</v>
      </c>
      <c r="H129" s="9"/>
      <c r="I129" s="9"/>
      <c r="J129" s="11">
        <f>IFERROR(__xludf.DUMMYFUNCTION("""COMPUTED_VALUE"""),7.0)</f>
        <v>7</v>
      </c>
      <c r="K129" s="9"/>
      <c r="L129" s="9"/>
      <c r="M129" s="9"/>
      <c r="N129" s="10">
        <f>IFERROR(__xludf.DUMMYFUNCTION("""COMPUTED_VALUE"""),0.2857142857142857)</f>
        <v>0.2857142857</v>
      </c>
      <c r="O129" s="9"/>
      <c r="P129" s="9"/>
      <c r="Q129" s="11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IFERROR(__xludf.DUMMYFUNCTION("""COMPUTED_VALUE"""),12.0)</f>
        <v>12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IFERROR(__xludf.DUMMYFUNCTION("""COMPUTED_VALUE"""),8.0)</f>
        <v>8</v>
      </c>
      <c r="K130" s="9"/>
      <c r="L130" s="9"/>
      <c r="M130" s="9"/>
      <c r="N130" s="10">
        <f>IFERROR(__xludf.DUMMYFUNCTION("""COMPUTED_VALUE"""),0.25)</f>
        <v>0.25</v>
      </c>
      <c r="O130" s="9"/>
      <c r="P130" s="9"/>
      <c r="Q130" s="11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1">
        <f>IFERROR(__xludf.DUMMYFUNCTION("""COMPUTED_VALUE"""),12.0)</f>
        <v>12</v>
      </c>
      <c r="D131" s="9"/>
      <c r="E131" s="9"/>
      <c r="F131" s="9"/>
      <c r="G131" s="10">
        <f>IFERROR(__xludf.DUMMYFUNCTION("""COMPUTED_VALUE"""),0.6666666666666666)</f>
        <v>0.6666666667</v>
      </c>
      <c r="H131" s="9"/>
      <c r="I131" s="9"/>
      <c r="J131" s="11">
        <f>IFERROR(__xludf.DUMMYFUNCTION("""COMPUTED_VALUE"""),8.0)</f>
        <v>8</v>
      </c>
      <c r="K131" s="9"/>
      <c r="L131" s="9"/>
      <c r="M131" s="9"/>
      <c r="N131" s="10">
        <f>IFERROR(__xludf.DUMMYFUNCTION("""COMPUTED_VALUE"""),0.25)</f>
        <v>0.25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1">
        <f>IFERROR(__xludf.DUMMYFUNCTION("""COMPUTED_VALUE"""),8.0)</f>
        <v>8</v>
      </c>
      <c r="D132" s="9"/>
      <c r="E132" s="9"/>
      <c r="F132" s="9"/>
      <c r="G132" s="10">
        <f>IFERROR(__xludf.DUMMYFUNCTION("""COMPUTED_VALUE"""),1.125)</f>
        <v>1.125</v>
      </c>
      <c r="H132" s="9"/>
      <c r="I132" s="9"/>
      <c r="J132" s="11">
        <f>IFERROR(__xludf.DUMMYFUNCTION("""COMPUTED_VALUE"""),9.0)</f>
        <v>9</v>
      </c>
      <c r="K132" s="9"/>
      <c r="L132" s="9"/>
      <c r="M132" s="9"/>
      <c r="N132" s="10">
        <f>IFERROR(__xludf.DUMMYFUNCTION("""COMPUTED_VALUE"""),0.2222222222222222)</f>
        <v>0.2222222222</v>
      </c>
      <c r="O132" s="9"/>
      <c r="P132" s="9"/>
      <c r="Q132" s="11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1">
        <f>IFERROR(__xludf.DUMMYFUNCTION("""COMPUTED_VALUE"""),14.0)</f>
        <v>14</v>
      </c>
      <c r="D133" s="9"/>
      <c r="E133" s="9"/>
      <c r="F133" s="9"/>
      <c r="G133" s="10">
        <f>IFERROR(__xludf.DUMMYFUNCTION("""COMPUTED_VALUE"""),0.7857142857142857)</f>
        <v>0.7857142857</v>
      </c>
      <c r="H133" s="9"/>
      <c r="I133" s="9"/>
      <c r="J133" s="11">
        <f>IFERROR(__xludf.DUMMYFUNCTION("""COMPUTED_VALUE"""),11.0)</f>
        <v>11</v>
      </c>
      <c r="K133" s="9"/>
      <c r="L133" s="9"/>
      <c r="M133" s="9"/>
      <c r="N133" s="10">
        <f>IFERROR(__xludf.DUMMYFUNCTION("""COMPUTED_VALUE"""),0.09090909090909091)</f>
        <v>0.09090909091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1">
        <f>IFERROR(__xludf.DUMMYFUNCTION("""COMPUTED_VALUE"""),1.0)</f>
        <v>1</v>
      </c>
      <c r="D134" s="9"/>
      <c r="E134" s="9"/>
      <c r="F134" s="9"/>
      <c r="G134" s="10">
        <f>IFERROR(__xludf.DUMMYFUNCTION("""COMPUTED_VALUE"""),1.0)</f>
        <v>1</v>
      </c>
      <c r="H134" s="9"/>
      <c r="I134" s="9"/>
      <c r="J134" s="11">
        <f>IFERROR(__xludf.DUMMYFUNCTION("""COMPUTED_VALUE"""),1.0)</f>
        <v>1</v>
      </c>
      <c r="K134" s="9"/>
      <c r="L134" s="9"/>
      <c r="M134" s="9"/>
      <c r="N134" s="10">
        <f>IFERROR(__xludf.DUMMYFUNCTION("""COMPUTED_VALUE"""),0.0)</f>
        <v>0</v>
      </c>
      <c r="O134" s="9"/>
      <c r="P134" s="9"/>
      <c r="Q134" s="11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1">
        <f>IFERROR(__xludf.DUMMYFUNCTION("""COMPUTED_VALUE"""),2.0)</f>
        <v>2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IFERROR(__xludf.DUMMYFUNCTION("""COMPUTED_VALUE"""),1.0)</f>
        <v>1</v>
      </c>
      <c r="K135" s="9"/>
      <c r="L135" s="9"/>
      <c r="M135" s="9"/>
      <c r="N135" s="10">
        <f>IFERROR(__xludf.DUMMYFUNCTION("""COMPUTED_VALUE"""),0.0)</f>
        <v>0</v>
      </c>
      <c r="O135" s="9"/>
      <c r="P135" s="9"/>
      <c r="Q135" s="11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1">
        <f>IFERROR(__xludf.DUMMYFUNCTION("""COMPUTED_VALUE"""),21.93548387096773)</f>
        <v>21.93548387</v>
      </c>
      <c r="C136" s="11">
        <f>IFERROR(__xludf.DUMMYFUNCTION("""COMPUTED_VALUE"""),19.0)</f>
        <v>19</v>
      </c>
      <c r="D136" s="11">
        <f>IFERROR(__xludf.DUMMYFUNCTION("""COMPUTED_VALUE"""),-2.9354838709677296)</f>
        <v>-2.935483871</v>
      </c>
      <c r="E136" s="10">
        <f>IFERROR(__xludf.DUMMYFUNCTION("""COMPUTED_VALUE"""),-0.13382352941176423)</f>
        <v>-0.1338235294</v>
      </c>
      <c r="F136" s="10">
        <f>IFERROR(__xludf.DUMMYFUNCTION("""COMPUTED_VALUE"""),0.6460674157303372)</f>
        <v>0.6460674157</v>
      </c>
      <c r="G136" s="10">
        <f>IFERROR(__xludf.DUMMYFUNCTION("""COMPUTED_VALUE"""),0.5789473684210527)</f>
        <v>0.5789473684</v>
      </c>
      <c r="H136" s="35">
        <f>IFERROR(__xludf.DUMMYFUNCTION("""COMPUTED_VALUE"""),-6.712004730928456)</f>
        <v>-6.712004731</v>
      </c>
      <c r="I136" s="11">
        <f>IFERROR(__xludf.DUMMYFUNCTION("""COMPUTED_VALUE"""),14.171801377310615)</f>
        <v>14.17180138</v>
      </c>
      <c r="J136" s="11">
        <f>IFERROR(__xludf.DUMMYFUNCTION("""COMPUTED_VALUE"""),11.0)</f>
        <v>11</v>
      </c>
      <c r="K136" s="11">
        <f>IFERROR(__xludf.DUMMYFUNCTION("""COMPUTED_VALUE"""),-3.171801377310615)</f>
        <v>-3.171801377</v>
      </c>
      <c r="L136" s="10">
        <f>IFERROR(__xludf.DUMMYFUNCTION("""COMPUTED_VALUE"""),-0.2238107416879793)</f>
        <v>-0.2238107417</v>
      </c>
      <c r="M136" s="10">
        <f>IFERROR(__xludf.DUMMYFUNCTION("""COMPUTED_VALUE"""),0.2768117647058825)</f>
        <v>0.2768117647</v>
      </c>
      <c r="N136" s="10">
        <f>IFERROR(__xludf.DUMMYFUNCTION("""COMPUTED_VALUE"""),0.36363636363636365)</f>
        <v>0.3636363636</v>
      </c>
      <c r="O136" s="35">
        <f>IFERROR(__xludf.DUMMYFUNCTION("""COMPUTED_VALUE"""),8.682459893048117)</f>
        <v>8.682459893</v>
      </c>
      <c r="P136" s="11">
        <f>IFERROR(__xludf.DUMMYFUNCTION("""COMPUTED_VALUE"""),3.922921348314607)</f>
        <v>3.922921348</v>
      </c>
      <c r="Q136" s="11">
        <f>IFERROR(__xludf.DUMMYFUNCTION("""COMPUTED_VALUE"""),4.0)</f>
        <v>4</v>
      </c>
      <c r="R136" s="11">
        <f>IFERROR(__xludf.DUMMYFUNCTION("""COMPUTED_VALUE"""),0.07707865168539296)</f>
        <v>0.07707865169</v>
      </c>
      <c r="S136" s="10">
        <f>IFERROR(__xludf.DUMMYFUNCTION("""COMPUTED_VALUE"""),0.0196482786274846)</f>
        <v>0.01964827863</v>
      </c>
      <c r="T136" s="11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IFERROR(__xludf.DUMMYFUNCTION("""COMPUTED_VALUE"""),-4929.106366827868)</f>
        <v>-4929.106367</v>
      </c>
      <c r="W136" s="10">
        <f>IFERROR(__xludf.DUMMYFUNCTION("""COMPUTED_VALUE"""),-0.2238107416879793)</f>
        <v>-0.2238107417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1">
        <f>IFERROR(__xludf.DUMMYFUNCTION("""COMPUTED_VALUE"""),8.0)</f>
        <v>8</v>
      </c>
      <c r="D137" s="9"/>
      <c r="E137" s="9"/>
      <c r="F137" s="9"/>
      <c r="G137" s="10">
        <f>IFERROR(__xludf.DUMMYFUNCTION("""COMPUTED_VALUE"""),0.75)</f>
        <v>0.75</v>
      </c>
      <c r="H137" s="9"/>
      <c r="I137" s="9"/>
      <c r="J137" s="11">
        <f>IFERROR(__xludf.DUMMYFUNCTION("""COMPUTED_VALUE"""),6.0)</f>
        <v>6</v>
      </c>
      <c r="K137" s="9"/>
      <c r="L137" s="9"/>
      <c r="M137" s="9"/>
      <c r="N137" s="10">
        <f>IFERROR(__xludf.DUMMYFUNCTION("""COMPUTED_VALUE"""),0.8333333333333334)</f>
        <v>0.8333333333</v>
      </c>
      <c r="O137" s="9"/>
      <c r="P137" s="9"/>
      <c r="Q137" s="11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1">
        <f>IFERROR(__xludf.DUMMYFUNCTION("""COMPUTED_VALUE"""),7.0)</f>
        <v>7</v>
      </c>
      <c r="D138" s="9"/>
      <c r="E138" s="9"/>
      <c r="F138" s="9"/>
      <c r="G138" s="10">
        <f>IFERROR(__xludf.DUMMYFUNCTION("""COMPUTED_VALUE"""),1.0)</f>
        <v>1</v>
      </c>
      <c r="H138" s="9"/>
      <c r="I138" s="9"/>
      <c r="J138" s="11">
        <f>IFERROR(__xludf.DUMMYFUNCTION("""COMPUTED_VALUE"""),7.0)</f>
        <v>7</v>
      </c>
      <c r="K138" s="9"/>
      <c r="L138" s="9"/>
      <c r="M138" s="9"/>
      <c r="N138" s="10">
        <f>IFERROR(__xludf.DUMMYFUNCTION("""COMPUTED_VALUE"""),0.2857142857142857)</f>
        <v>0.2857142857</v>
      </c>
      <c r="O138" s="9"/>
      <c r="P138" s="9"/>
      <c r="Q138" s="11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1">
        <f>IFERROR(__xludf.DUMMYFUNCTION("""COMPUTED_VALUE"""),2.0)</f>
        <v>2</v>
      </c>
      <c r="D139" s="9"/>
      <c r="E139" s="9"/>
      <c r="F139" s="9"/>
      <c r="G139" s="10">
        <f>IFERROR(__xludf.DUMMYFUNCTION("""COMPUTED_VALUE"""),0.5)</f>
        <v>0.5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IFERROR(__xludf.DUMMYFUNCTION("""COMPUTED_VALUE"""),1.0)</f>
        <v>1</v>
      </c>
      <c r="O139" s="9"/>
      <c r="P139" s="9"/>
      <c r="Q139" s="11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1">
        <f>IFERROR(__xludf.DUMMYFUNCTION("""COMPUTED_VALUE"""),4.0)</f>
        <v>4</v>
      </c>
      <c r="D140" s="9"/>
      <c r="E140" s="9"/>
      <c r="F140" s="9"/>
      <c r="G140" s="10">
        <f>IFERROR(__xludf.DUMMYFUNCTION("""COMPUTED_VALUE"""),0.5)</f>
        <v>0.5</v>
      </c>
      <c r="H140" s="9"/>
      <c r="I140" s="9"/>
      <c r="J140" s="11">
        <f>IFERROR(__xludf.DUMMYFUNCTION("""COMPUTED_VALUE"""),2.0)</f>
        <v>2</v>
      </c>
      <c r="K140" s="9"/>
      <c r="L140" s="9"/>
      <c r="M140" s="9"/>
      <c r="N140" s="10">
        <f>IFERROR(__xludf.DUMMYFUNCTION("""COMPUTED_VALUE"""),0.5)</f>
        <v>0.5</v>
      </c>
      <c r="O140" s="9"/>
      <c r="P140" s="9"/>
      <c r="Q140" s="11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1">
        <f>IFERROR(__xludf.DUMMYFUNCTION("""COMPUTED_VALUE"""),8.0)</f>
        <v>8</v>
      </c>
      <c r="D141" s="9"/>
      <c r="E141" s="9"/>
      <c r="F141" s="9"/>
      <c r="G141" s="10">
        <f>IFERROR(__xludf.DUMMYFUNCTION("""COMPUTED_VALUE"""),0.5)</f>
        <v>0.5</v>
      </c>
      <c r="H141" s="9"/>
      <c r="I141" s="9"/>
      <c r="J141" s="11">
        <f>IFERROR(__xludf.DUMMYFUNCTION("""COMPUTED_VALUE"""),4.0)</f>
        <v>4</v>
      </c>
      <c r="K141" s="9"/>
      <c r="L141" s="9"/>
      <c r="M141" s="9"/>
      <c r="N141" s="10">
        <f>IFERROR(__xludf.DUMMYFUNCTION("""COMPUTED_VALUE"""),0.25)</f>
        <v>0.25</v>
      </c>
      <c r="O141" s="9"/>
      <c r="P141" s="9"/>
      <c r="Q141" s="11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1">
        <f>IFERROR(__xludf.DUMMYFUNCTION("""COMPUTED_VALUE"""),8.0)</f>
        <v>8</v>
      </c>
      <c r="D142" s="9"/>
      <c r="E142" s="9"/>
      <c r="F142" s="9"/>
      <c r="G142" s="10">
        <f>IFERROR(__xludf.DUMMYFUNCTION("""COMPUTED_VALUE"""),0.5)</f>
        <v>0.5</v>
      </c>
      <c r="H142" s="9"/>
      <c r="I142" s="9"/>
      <c r="J142" s="11">
        <f>IFERROR(__xludf.DUMMYFUNCTION("""COMPUTED_VALUE"""),4.0)</f>
        <v>4</v>
      </c>
      <c r="K142" s="9"/>
      <c r="L142" s="9"/>
      <c r="M142" s="9"/>
      <c r="N142" s="10">
        <f>IFERROR(__xludf.DUMMYFUNCTION("""COMPUTED_VALUE"""),0.25)</f>
        <v>0.25</v>
      </c>
      <c r="O142" s="9"/>
      <c r="P142" s="9"/>
      <c r="Q142" s="11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1">
        <f>IFERROR(__xludf.DUMMYFUNCTION("""COMPUTED_VALUE"""),8.0)</f>
        <v>8</v>
      </c>
      <c r="D143" s="9"/>
      <c r="E143" s="9"/>
      <c r="F143" s="9"/>
      <c r="G143" s="10">
        <f>IFERROR(__xludf.DUMMYFUNCTION("""COMPUTED_VALUE"""),0.5)</f>
        <v>0.5</v>
      </c>
      <c r="H143" s="9"/>
      <c r="I143" s="9"/>
      <c r="J143" s="11">
        <f>IFERROR(__xludf.DUMMYFUNCTION("""COMPUTED_VALUE"""),4.0)</f>
        <v>4</v>
      </c>
      <c r="K143" s="9"/>
      <c r="L143" s="9"/>
      <c r="M143" s="9"/>
      <c r="N143" s="10">
        <f>IFERROR(__xludf.DUMMYFUNCTION("""COMPUTED_VALUE"""),0.25)</f>
        <v>0.25</v>
      </c>
      <c r="O143" s="9"/>
      <c r="P143" s="9"/>
      <c r="Q143" s="11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1">
        <f>IFERROR(__xludf.DUMMYFUNCTION("""COMPUTED_VALUE"""),8.0)</f>
        <v>8</v>
      </c>
      <c r="D144" s="9"/>
      <c r="E144" s="9"/>
      <c r="F144" s="9"/>
      <c r="G144" s="10">
        <f>IFERROR(__xludf.DUMMYFUNCTION("""COMPUTED_VALUE"""),0.625)</f>
        <v>0.625</v>
      </c>
      <c r="H144" s="9"/>
      <c r="I144" s="9"/>
      <c r="J144" s="11">
        <f>IFERROR(__xludf.DUMMYFUNCTION("""COMPUTED_VALUE"""),5.0)</f>
        <v>5</v>
      </c>
      <c r="K144" s="9"/>
      <c r="L144" s="9"/>
      <c r="M144" s="9"/>
      <c r="N144" s="10">
        <f>IFERROR(__xludf.DUMMYFUNCTION("""COMPUTED_VALUE"""),0.2)</f>
        <v>0.2</v>
      </c>
      <c r="O144" s="9"/>
      <c r="P144" s="9"/>
      <c r="Q144" s="11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1">
        <f>IFERROR(__xludf.DUMMYFUNCTION("""COMPUTED_VALUE"""),7.0)</f>
        <v>7</v>
      </c>
      <c r="D145" s="9"/>
      <c r="E145" s="9"/>
      <c r="F145" s="9"/>
      <c r="G145" s="10">
        <f>IFERROR(__xludf.DUMMYFUNCTION("""COMPUTED_VALUE"""),0.7142857142857143)</f>
        <v>0.7142857143</v>
      </c>
      <c r="H145" s="9"/>
      <c r="I145" s="9"/>
      <c r="J145" s="11">
        <f>IFERROR(__xludf.DUMMYFUNCTION("""COMPUTED_VALUE"""),5.0)</f>
        <v>5</v>
      </c>
      <c r="K145" s="9"/>
      <c r="L145" s="9"/>
      <c r="M145" s="9"/>
      <c r="N145" s="10">
        <f>IFERROR(__xludf.DUMMYFUNCTION("""COMPUTED_VALUE"""),0.2)</f>
        <v>0.2</v>
      </c>
      <c r="O145" s="9"/>
      <c r="P145" s="9"/>
      <c r="Q145" s="11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1">
        <f>IFERROR(__xludf.DUMMYFUNCTION("""COMPUTED_VALUE"""),8.0)</f>
        <v>8</v>
      </c>
      <c r="D146" s="9"/>
      <c r="E146" s="9"/>
      <c r="F146" s="9"/>
      <c r="G146" s="10">
        <f>IFERROR(__xludf.DUMMYFUNCTION("""COMPUTED_VALUE"""),0.25)</f>
        <v>0.25</v>
      </c>
      <c r="H146" s="9"/>
      <c r="I146" s="9"/>
      <c r="J146" s="11">
        <f>IFERROR(__xludf.DUMMYFUNCTION("""COMPUTED_VALUE"""),2.0)</f>
        <v>2</v>
      </c>
      <c r="K146" s="9"/>
      <c r="L146" s="9"/>
      <c r="M146" s="9"/>
      <c r="N146" s="10">
        <f>IFERROR(__xludf.DUMMYFUNCTION("""COMPUTED_VALUE"""),0.0)</f>
        <v>0</v>
      </c>
      <c r="O146" s="9"/>
      <c r="P146" s="9"/>
      <c r="Q146" s="11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