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<sst xmlns="http://schemas.openxmlformats.org/spreadsheetml/2006/main" count="686" uniqueCount="398">
  <si>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</si>
  <si>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</si>
  <si>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</si>
  <si>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</si>
  <si>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</si>
  <si>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</si>
  <si>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</si>
  <si>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</si>
  <si>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</si>
  <si>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</si>
  <si>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</si>
  <si>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</si>
  <si>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</si>
  <si>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</si>
  <si>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</si>
  <si>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</si>
  <si>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</si>
  <si>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</si>
  <si>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</si>
  <si>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</si>
  <si>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</si>
  <si>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</si>
  <si>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</si>
  <si>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</si>
  <si>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</si>
  <si>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</si>
  <si>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</si>
  <si>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</si>
  <si>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</si>
  <si>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</si>
  <si>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</si>
  <si>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</si>
  <si>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</si>
  <si>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</si>
  <si>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</si>
  <si>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</si>
  <si>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</si>
  <si>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</si>
  <si>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</si>
  <si>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</si>
  <si>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</si>
  <si>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</si>
  <si>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</si>
  <si>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</si>
  <si>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</si>
  <si>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</si>
  <si>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</si>
  <si>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</si>
  <si>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</si>
  <si>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</si>
  <si>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</si>
  <si>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</si>
  <si>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</si>
  <si>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</si>
  <si>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</si>
  <si>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</si>
  <si>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</si>
  <si>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</si>
  <si>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</si>
  <si>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</si>
  <si>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</si>
  <si>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</si>
  <si>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</si>
  <si>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</si>
  <si>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</si>
  <si>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</si>
  <si>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</si>
  <si>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</si>
  <si>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</si>
  <si>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</si>
  <si>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</si>
  <si>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</si>
  <si>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</si>
  <si>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</si>
  <si>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</si>
  <si>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</si>
  <si>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</si>
  <si>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</si>
  <si>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</si>
  <si>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</si>
  <si>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</si>
  <si>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</si>
  <si>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</si>
  <si>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</si>
  <si>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</si>
  <si>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</si>
  <si>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</si>
  <si>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</si>
  <si>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</si>
  <si>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</si>
  <si>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</si>
  <si>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</si>
  <si>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</si>
  <si>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</si>
  <si>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</si>
  <si>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</si>
  <si>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[SKL] Outros</t>
  </si>
  <si>
    <t>[SKL] Social</t>
  </si>
  <si>
    <t>[SKL] CRM - Email</t>
  </si>
  <si>
    <t>[SKL] Chat</t>
  </si>
  <si>
    <t>Visão</t>
  </si>
  <si>
    <t>Tai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</si>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</sst>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IFERROR(__xludf.DUMMYFUNCTION("""COMPUTED_VALUE"""),5486718.548217773)</f>
        <v>5486718.548</v>
      </c>
      <c r="C2" s="3">
        <f>B2-A2</f>
        <v>-2413380.653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IFERROR(__xludf.DUMMYFUNCTION("""COMPUTED_VALUE"""),-0.852431145868752)</f>
        <v>-0.8524311459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IFERROR(__xludf.DUMMYFUNCTION("""COMPUTED_VALUE"""),-0.8729247796679647)</f>
        <v>-0.8729247797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"),"Indicação - Outros")</f>
        <v>Indicação - Outros</v>
      </c>
      <c r="M2" s="6">
        <f>IFERROR(__xludf.DUMMYFUNCTION("""COMPUTED_VALUE"""),-63.63636363636365)</f>
        <v>-63.63636364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"),0.2631578947368421)</f>
        <v>0.2631578947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IFERROR(__xludf.DUMMYFUNCTION("""COMPUTED_VALUE"""),-0.8087458708144946)</f>
        <v>-0.8087458708</v>
      </c>
      <c r="AC2" s="3">
        <f>IFERROR(__xludf.DUMMYFUNCTION("""COMPUTED_VALUE"""),-1930.1960072595277)</f>
        <v>-1930.196007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IFERROR(__xludf.DUMMYFUNCTION("""COMPUTED_VALUE"""),6.037677589297183)</f>
        <v>6.037677589</v>
      </c>
      <c r="AF2" s="3">
        <f>IFERROR(__xludf.DUMMYFUNCTION("""COMPUTED_VALUE"""),32234.464285714286)</f>
        <v>32234.46429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Comercial!AE2"")"),2.680260656775241E7)</f>
        <v>26802606.57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IFERROR(__xludf.DUMMYFUNCTION("""COMPUTED_VALUE"""),-0.8227862573600868)</f>
        <v>-0.8227862574</v>
      </c>
      <c r="H3" s="4" t="str">
        <f>IFERROR(__xludf.DUMMYFUNCTION("""COMPUTED_VALUE"""),"Indicação - Outros")</f>
        <v>Indicação - Outros</v>
      </c>
      <c r="I3" s="5">
        <f>IFERROR(__xludf.DUMMYFUNCTION("""COMPUTED_VALUE"""),-0.7384495967061522)</f>
        <v>-0.7384495967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IFERROR(__xludf.DUMMYFUNCTION("""COMPUTED_VALUE"""),-8.02675585284281)</f>
        <v>-8.026755853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IFERROR(__xludf.DUMMYFUNCTION("""COMPUTED_VALUE"""),"Indicação - Outros")</f>
        <v>Indicação - Outros</v>
      </c>
      <c r="O3" s="5">
        <f>IFERROR(__xludf.DUMMYFUNCTION("""COMPUTED_VALUE"""),-1.0)</f>
        <v>-1</v>
      </c>
      <c r="P3" s="3">
        <f>IFERROR(__xludf.DUMMYFUNCTION("""COMPUTED_VALUE"""),-27596.0)</f>
        <v>-27596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Link de Indicação")</f>
        <v>[IM] Link de Indicação</v>
      </c>
      <c r="AE3" s="5">
        <f>IFERROR(__xludf.DUMMYFUNCTION("""COMPUTED_VALUE"""),1.1636787533979538)</f>
        <v>1.163678753</v>
      </c>
      <c r="AF3" s="3">
        <f>IFERROR(__xludf.DUMMYFUNCTION("""COMPUTED_VALUE"""),3056.982)</f>
        <v>3056.982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IFERROR(__xludf.DUMMYFUNCTION("""COMPUTED_VALUE"""),-0.7565584431519791)</f>
        <v>-0.7565584432</v>
      </c>
      <c r="H4" s="4" t="str">
        <f>IFERROR(__xludf.DUMMYFUNCTION("""COMPUTED_VALUE"""),"[SKL] Outros")</f>
        <v>[SKL] Outros</v>
      </c>
      <c r="I4" s="5">
        <f>IFERROR(__xludf.DUMMYFUNCTION("""COMPUTED_VALUE"""),-0.7364651475157589)</f>
        <v>-0.7364651475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IFERROR(__xludf.DUMMYFUNCTION("""COMPUTED_VALUE"""),-7.600000000000001)</f>
        <v>-7.6</v>
      </c>
      <c r="L4" s="4" t="str">
        <f>IFERROR(__xludf.DUMMYFUNCTION("""COMPUTED_VALUE"""),"[ON] Chat")</f>
        <v>[ON] Chat</v>
      </c>
      <c r="M4" s="6">
        <f>IFERROR(__xludf.DUMMYFUNCTION("""COMPUTED_VALUE"""),-22.599999999999998)</f>
        <v>-22.6</v>
      </c>
      <c r="N4" s="4" t="str">
        <f>IFERROR(__xludf.DUMMYFUNCTION("""COMPUTED_VALUE"""),"[ON] Time de vendas")</f>
        <v>[ON] Time de vendas</v>
      </c>
      <c r="O4" s="5">
        <f>IFERROR(__xludf.DUMMYFUNCTION("""COMPUTED_VALUE"""),-0.8386803403442227)</f>
        <v>-0.8386803403</v>
      </c>
      <c r="P4" s="3">
        <f>IFERROR(__xludf.DUMMYFUNCTION("""COMPUTED_VALUE"""),-20779.89333419602)</f>
        <v>-20779.89333</v>
      </c>
      <c r="S4" s="4"/>
      <c r="T4" s="4"/>
      <c r="AA4" s="4" t="str">
        <f>IFERROR(__xludf.DUMMYFUNCTION("""COMPUTED_VALUE"""),"Form G4 Instagram Tallis")</f>
        <v>Form G4 Instagram Tallis</v>
      </c>
      <c r="AB4" s="5">
        <f>IFERROR(__xludf.DUMMYFUNCTION("""COMPUTED_VALUE"""),-0.7081843777522858)</f>
        <v>-0.7081843778</v>
      </c>
      <c r="AC4" s="3">
        <f>IFERROR(__xludf.DUMMYFUNCTION("""COMPUTED_VALUE"""),-4019.293548387097)</f>
        <v>-4019.293548</v>
      </c>
      <c r="AD4" s="4" t="str">
        <f>IFERROR(__xludf.DUMMYFUNCTION("""COMPUTED_VALUE"""),"Aplicativo G4 - Indicação")</f>
        <v>Aplicativo G4 - Indicação</v>
      </c>
      <c r="AE4" s="5">
        <f>IFERROR(__xludf.DUMMYFUNCTION("""COMPUTED_VALUE"""),1.081751050026079)</f>
        <v>1.08175105</v>
      </c>
      <c r="AF4" s="3">
        <f>IFERROR(__xludf.DUMMYFUNCTION("""COMPUTED_VALUE"""),2642.3076923076924)</f>
        <v>2642.307692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IFERROR(__xludf.DUMMYFUNCTION("""COMPUTED_VALUE"""),-0.6890827942430168)</f>
        <v>-0.6890827942</v>
      </c>
      <c r="H5" s="4" t="str">
        <f>IFERROR(__xludf.DUMMYFUNCTION("""COMPUTED_VALUE"""),"[SKL] CRM - Email")</f>
        <v>[SKL] CRM - Email</v>
      </c>
      <c r="I5" s="5">
        <f>IFERROR(__xludf.DUMMYFUNCTION("""COMPUTED_VALUE"""),-0.6997098471741636)</f>
        <v>-0.6997098472</v>
      </c>
      <c r="J5" s="4" t="str">
        <f>IFERROR(__xludf.DUMMYFUNCTION("""COMPUTED_VALUE"""),"[IM] Form Facebook Ads")</f>
        <v>[IM] Form Facebook Ads</v>
      </c>
      <c r="K5" s="6">
        <f>IFERROR(__xludf.DUMMYFUNCTION("""COMPUTED_VALUE"""),-6.674418604651167)</f>
        <v>-6.674418605</v>
      </c>
      <c r="L5" s="4" t="str">
        <f>IFERROR(__xludf.DUMMYFUNCTION("""COMPUTED_VALUE"""),"[ON] Outros")</f>
        <v>[ON] Outros</v>
      </c>
      <c r="M5" s="6">
        <f>IFERROR(__xludf.DUMMYFUNCTION("""COMPUTED_VALUE"""),-20.91942148760331)</f>
        <v>-20.91942149</v>
      </c>
      <c r="N5" s="4" t="str">
        <f>IFERROR(__xludf.DUMMYFUNCTION("""COMPUTED_VALUE"""),"[IM] Form G4 Facebook Ads - K")</f>
        <v>[IM] Form G4 Facebook Ads - K</v>
      </c>
      <c r="O5" s="5">
        <f>IFERROR(__xludf.DUMMYFUNCTION("""COMPUTED_VALUE"""),-0.7747483903958348)</f>
        <v>-0.7747483904</v>
      </c>
      <c r="P5" s="3">
        <f>IFERROR(__xludf.DUMMYFUNCTION("""COMPUTED_VALUE"""),-11110.666666666666)</f>
        <v>-11110.66667</v>
      </c>
      <c r="S5" s="4"/>
      <c r="T5" s="4"/>
      <c r="AA5" s="4" t="str">
        <f>IFERROR(__xludf.DUMMYFUNCTION("""COMPUTED_VALUE"""),"[SKL] Midia Paga - Quente")</f>
        <v>[SKL] Midia Paga - Quente</v>
      </c>
      <c r="AB5" s="5">
        <f>IFERROR(__xludf.DUMMYFUNCTION("""COMPUTED_VALUE"""),-0.6963935956615251)</f>
        <v>-0.6963935957</v>
      </c>
      <c r="AC5" s="3">
        <f>IFERROR(__xludf.DUMMYFUNCTION("""COMPUTED_VALUE"""),-2516.32962962963)</f>
        <v>-2516.32963</v>
      </c>
      <c r="AD5" s="4" t="str">
        <f>IFERROR(__xludf.DUMMYFUNCTION("""COMPUTED_VALUE"""),"[IM] Chat")</f>
        <v>[IM] Chat</v>
      </c>
      <c r="AE5" s="5">
        <f>IFERROR(__xludf.DUMMYFUNCTION("""COMPUTED_VALUE"""),1.059733431253287)</f>
        <v>1.059733431</v>
      </c>
      <c r="AF5" s="3">
        <f>IFERROR(__xludf.DUMMYFUNCTION("""COMPUTED_VALUE"""),2826.6350814295683)</f>
        <v>2826.635081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IFERROR(__xludf.DUMMYFUNCTION("""COMPUTED_VALUE"""),-0.6808823529411764)</f>
        <v>-0.6808823529</v>
      </c>
      <c r="H6" s="4" t="str">
        <f>IFERROR(__xludf.DUMMYFUNCTION("""COMPUTED_VALUE"""),"Aplicativo G4 - Indicação")</f>
        <v>Aplicativo G4 - Indicação</v>
      </c>
      <c r="I6" s="5">
        <f>IFERROR(__xludf.DUMMYFUNCTION("""COMPUTED_VALUE"""),-0.6748164286290647)</f>
        <v>-0.6748164286</v>
      </c>
      <c r="J6" s="4" t="str">
        <f>IFERROR(__xludf.DUMMYFUNCTION("""COMPUTED_VALUE"""),"[ON] Abandono de carrinho")</f>
        <v>[ON] Abandono de carrinho</v>
      </c>
      <c r="K6" s="6">
        <f>IFERROR(__xludf.DUMMYFUNCTION("""COMPUTED_VALUE"""),-5.915384615384614)</f>
        <v>-5.915384615</v>
      </c>
      <c r="L6" s="4" t="str">
        <f>IFERROR(__xludf.DUMMYFUNCTION("""COMPUTED_VALUE"""),"[CM] Form G4 - Instagram")</f>
        <v>[CM] Form G4 - Instagram</v>
      </c>
      <c r="M6" s="6">
        <f>IFERROR(__xludf.DUMMYFUNCTION("""COMPUTED_VALUE"""),-17.85714285714286)</f>
        <v>-17.85714286</v>
      </c>
      <c r="N6" s="4" t="str">
        <f>IFERROR(__xludf.DUMMYFUNCTION("""COMPUTED_VALUE"""),"[SKL] Social")</f>
        <v>[SKL] Social</v>
      </c>
      <c r="O6" s="5">
        <f>IFERROR(__xludf.DUMMYFUNCTION("""COMPUTED_VALUE"""),-0.7324411764705883)</f>
        <v>-0.7324411765</v>
      </c>
      <c r="P6" s="3">
        <f>IFERROR(__xludf.DUMMYFUNCTION("""COMPUTED_VALUE"""),-12451.5)</f>
        <v>-12451.5</v>
      </c>
      <c r="Q6" s="7"/>
      <c r="S6" s="4"/>
      <c r="T6" s="4"/>
      <c r="AA6" s="4" t="str">
        <f>IFERROR(__xludf.DUMMYFUNCTION("""COMPUTED_VALUE"""),"[SKL] CRM - WhatsApp")</f>
        <v>[SKL] CRM - WhatsApp</v>
      </c>
      <c r="AB6" s="5">
        <f>IFERROR(__xludf.DUMMYFUNCTION("""COMPUTED_VALUE"""),-0.6740939875526439)</f>
        <v>-0.6740939876</v>
      </c>
      <c r="AC6" s="3">
        <f>IFERROR(__xludf.DUMMYFUNCTION("""COMPUTED_VALUE"""),-1579.8052373158755)</f>
        <v>-1579.805237</v>
      </c>
      <c r="AD6" s="4" t="str">
        <f>IFERROR(__xludf.DUMMYFUNCTION("""COMPUTED_VALUE"""),"Form G4 - K Outros")</f>
        <v>Form G4 - K Outros</v>
      </c>
      <c r="AE6" s="5">
        <f>IFERROR(__xludf.DUMMYFUNCTION("""COMPUTED_VALUE"""),0.613766281832389)</f>
        <v>0.6137662818</v>
      </c>
      <c r="AF6" s="3">
        <f>IFERROR(__xludf.DUMMYFUNCTION("""COMPUTED_VALUE"""),392.17428571428604)</f>
        <v>392.1742857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IFERROR(__xludf.DUMMYFUNCTION("""COMPUTED_VALUE"""),"Indicação - Outros")</f>
        <v>Indicação - Outros</v>
      </c>
      <c r="G7" s="5">
        <f>IFERROR(__xludf.DUMMYFUNCTION("""COMPUTED_VALUE"""),-0.5605953224663357)</f>
        <v>-0.5605953225</v>
      </c>
      <c r="H7" s="4" t="str">
        <f>IFERROR(__xludf.DUMMYFUNCTION("""COMPUTED_VALUE"""),"[SKL] Social")</f>
        <v>[SKL] Social</v>
      </c>
      <c r="I7" s="5">
        <f>IFERROR(__xludf.DUMMYFUNCTION("""COMPUTED_VALUE"""),-0.6627344484119525)</f>
        <v>-0.6627344484</v>
      </c>
      <c r="J7" s="4" t="str">
        <f>IFERROR(__xludf.DUMMYFUNCTION("""COMPUTED_VALUE"""),"[SKL] CRM - WhatsApp")</f>
        <v>[SKL] CRM - WhatsApp</v>
      </c>
      <c r="K7" s="6">
        <f>IFERROR(__xludf.DUMMYFUNCTION("""COMPUTED_VALUE"""),-5.77821625887924)</f>
        <v>-5.778216259</v>
      </c>
      <c r="L7" s="4" t="str">
        <f>IFERROR(__xludf.DUMMYFUNCTION("""COMPUTED_VALUE"""),"Form G4 Instagram Tallis")</f>
        <v>Form G4 Instagram Tallis</v>
      </c>
      <c r="M7" s="6">
        <f>IFERROR(__xludf.DUMMYFUNCTION("""COMPUTED_VALUE"""),-13.225806451612904)</f>
        <v>-13.22580645</v>
      </c>
      <c r="N7" s="4" t="str">
        <f>IFERROR(__xludf.DUMMYFUNCTION("""COMPUTED_VALUE"""),"[IM] Outros")</f>
        <v>[IM] Outros</v>
      </c>
      <c r="O7" s="5">
        <f>IFERROR(__xludf.DUMMYFUNCTION("""COMPUTED_VALUE"""),-0.4781749128557307)</f>
        <v>-0.4781749129</v>
      </c>
      <c r="P7" s="3">
        <f>IFERROR(__xludf.DUMMYFUNCTION("""COMPUTED_VALUE"""),-9191.0)</f>
        <v>-9191</v>
      </c>
      <c r="S7" s="4"/>
      <c r="T7" s="4"/>
      <c r="AA7" s="4" t="str">
        <f>IFERROR(__xludf.DUMMYFUNCTION("""COMPUTED_VALUE"""),"Form G4 - K Instagram")</f>
        <v>Form G4 - K Instagram</v>
      </c>
      <c r="AB7" s="5">
        <f>IFERROR(__xludf.DUMMYFUNCTION("""COMPUTED_VALUE"""),-0.6348115143225639)</f>
        <v>-0.6348115143</v>
      </c>
      <c r="AC7" s="3">
        <f>IFERROR(__xludf.DUMMYFUNCTION("""COMPUTED_VALUE"""),-772.9962406015037)</f>
        <v>-772.9962406</v>
      </c>
      <c r="AD7" s="4" t="str">
        <f>IFERROR(__xludf.DUMMYFUNCTION("""COMPUTED_VALUE"""),"Form G4 Outros - Orgânico")</f>
        <v>Form G4 Outros - Orgânico</v>
      </c>
      <c r="AE7" s="5">
        <f>IFERROR(__xludf.DUMMYFUNCTION("""COMPUTED_VALUE"""),0.3703138830155035)</f>
        <v>0.370313883</v>
      </c>
      <c r="AF7" s="3">
        <f>IFERROR(__xludf.DUMMYFUNCTION("""COMPUTED_VALUE"""),309.0692684419819)</f>
        <v>309.0692684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IFERROR(__xludf.DUMMYFUNCTION("""COMPUTED_VALUE"""),"Form G4 Instagram Tallis")</f>
        <v>Form G4 Instagram Tallis</v>
      </c>
      <c r="G8" s="5">
        <f>IFERROR(__xludf.DUMMYFUNCTION("""COMPUTED_VALUE"""),-0.5349999999999998)</f>
        <v>-0.535</v>
      </c>
      <c r="H8" s="4" t="str">
        <f>IFERROR(__xludf.DUMMYFUNCTION("""COMPUTED_VALUE"""),"Form G4 - K Instagram")</f>
        <v>Form G4 - K Instagram</v>
      </c>
      <c r="I8" s="5">
        <f>IFERROR(__xludf.DUMMYFUNCTION("""COMPUTED_VALUE"""),-0.4966353075094578)</f>
        <v>-0.4966353075</v>
      </c>
      <c r="J8" s="4" t="str">
        <f>IFERROR(__xludf.DUMMYFUNCTION("""COMPUTED_VALUE"""),"[SKL] Site")</f>
        <v>[SKL] Site</v>
      </c>
      <c r="K8" s="6">
        <f>IFERROR(__xludf.DUMMYFUNCTION("""COMPUTED_VALUE"""),-5.216564237635351)</f>
        <v>-5.216564238</v>
      </c>
      <c r="L8" s="4" t="str">
        <f>IFERROR(__xludf.DUMMYFUNCTION("""COMPUTED_VALUE"""),"[SKL] Midia Paga - Quente")</f>
        <v>[SKL] Midia Paga - Quente</v>
      </c>
      <c r="M8" s="6">
        <f>IFERROR(__xludf.DUMMYFUNCTION("""COMPUTED_VALUE"""),-12.592592592592593)</f>
        <v>-12.59259259</v>
      </c>
      <c r="N8" s="4" t="str">
        <f>IFERROR(__xludf.DUMMYFUNCTION("""COMPUTED_VALUE"""),"[SKL] Midia Paga - Quente")</f>
        <v>[SKL] Midia Paga - Quente</v>
      </c>
      <c r="O8" s="5">
        <f>IFERROR(__xludf.DUMMYFUNCTION("""COMPUTED_VALUE"""),-0.36746089708477875)</f>
        <v>-0.3674608971</v>
      </c>
      <c r="P8" s="3">
        <f>IFERROR(__xludf.DUMMYFUNCTION("""COMPUTED_VALUE"""),-6037.75)</f>
        <v>-6037.75</v>
      </c>
      <c r="Q8" s="4"/>
      <c r="S8" s="4"/>
      <c r="T8" s="4"/>
      <c r="AA8" s="4" t="str">
        <f>IFERROR(__xludf.DUMMYFUNCTION("""COMPUTED_VALUE"""),"[SKL] Social")</f>
        <v>[SKL] Social</v>
      </c>
      <c r="AB8" s="5">
        <f>IFERROR(__xludf.DUMMYFUNCTION("""COMPUTED_VALUE"""),-0.6108782949246303)</f>
        <v>-0.6108782949</v>
      </c>
      <c r="AC8" s="3">
        <f>IFERROR(__xludf.DUMMYFUNCTION("""COMPUTED_VALUE"""),-1413.335313531353)</f>
        <v>-1413.335314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Instagram Outros")</f>
        <v>Form G4 Instagram Outros</v>
      </c>
      <c r="G9" s="5">
        <f>IFERROR(__xludf.DUMMYFUNCTION("""COMPUTED_VALUE"""),-0.5310924369747897)</f>
        <v>-0.531092437</v>
      </c>
      <c r="H9" s="4" t="str">
        <f>IFERROR(__xludf.DUMMYFUNCTION("""COMPUTED_VALUE"""),"Form G4 Instagram Outros")</f>
        <v>Form G4 Instagram Outros</v>
      </c>
      <c r="I9" s="5">
        <f>IFERROR(__xludf.DUMMYFUNCTION("""COMPUTED_VALUE"""),-0.49078396790815076)</f>
        <v>-0.4907839679</v>
      </c>
      <c r="J9" s="4" t="str">
        <f>IFERROR(__xludf.DUMMYFUNCTION("""COMPUTED_VALUE"""),"[IM] Form G4 Facebook Ads - K")</f>
        <v>[IM] Form G4 Facebook Ads - K</v>
      </c>
      <c r="K9" s="6">
        <f>IFERROR(__xludf.DUMMYFUNCTION("""COMPUTED_VALUE"""),-4.1129983097662555)</f>
        <v>-4.11299831</v>
      </c>
      <c r="L9" s="4" t="str">
        <f>IFERROR(__xludf.DUMMYFUNCTION("""COMPUTED_VALUE"""),"Form G4 Google")</f>
        <v>Form G4 Google</v>
      </c>
      <c r="M9" s="6">
        <f>IFERROR(__xludf.DUMMYFUNCTION("""COMPUTED_VALUE"""),-12.24390243902439)</f>
        <v>-12.24390244</v>
      </c>
      <c r="N9" s="9" t="str">
        <f>IFERROR(__xludf.DUMMYFUNCTION("""COMPUTED_VALUE"""),"[SKL] Site")</f>
        <v>[SKL] Site</v>
      </c>
      <c r="O9" s="5">
        <f>IFERROR(__xludf.DUMMYFUNCTION("""COMPUTED_VALUE"""),-0.3590714896041014)</f>
        <v>-0.3590714896</v>
      </c>
      <c r="P9" s="3">
        <f>IFERROR(__xludf.DUMMYFUNCTION("""COMPUTED_VALUE"""),-6303.5)</f>
        <v>-6303.5</v>
      </c>
      <c r="S9" s="4"/>
      <c r="T9" s="4"/>
      <c r="AA9" s="4" t="str">
        <f>IFERROR(__xludf.DUMMYFUNCTION("""COMPUTED_VALUE"""),"Form G4 Outros - Não Orgânico")</f>
        <v>Form G4 Outros - Não Orgânico</v>
      </c>
      <c r="AB9" s="5">
        <f>IFERROR(__xludf.DUMMYFUNCTION("""COMPUTED_VALUE"""),-0.5985089163139865)</f>
        <v>-0.5985089163</v>
      </c>
      <c r="AC9" s="3">
        <f>IFERROR(__xludf.DUMMYFUNCTION("""COMPUTED_VALUE"""),-3484.9714285714285)</f>
        <v>-3484.971429</v>
      </c>
      <c r="AD9" s="4" t="str">
        <f>IFERROR(__xludf.DUMMYFUNCTION("""COMPUTED_VALUE"""),"[SKL] Outros")</f>
        <v>[SKL] Outros</v>
      </c>
      <c r="AE9" s="5">
        <f>IFERROR(__xludf.DUMMYFUNCTION("""COMPUTED_VALUE"""),0.11559447450269511)</f>
        <v>0.1155944745</v>
      </c>
      <c r="AF9" s="3">
        <f>IFERROR(__xludf.DUMMYFUNCTION("""COMPUTED_VALUE"""),-593.4938426740387)</f>
        <v>-593.4938427</v>
      </c>
    </row>
    <row r="10">
      <c r="F10" s="4" t="str">
        <f>IFERROR(__xludf.DUMMYFUNCTION("""COMPUTED_VALUE"""),"Form G4 - K Instagram")</f>
        <v>Form G4 - K Instagram</v>
      </c>
      <c r="G10" s="5">
        <f>IFERROR(__xludf.DUMMYFUNCTION("""COMPUTED_VALUE"""),-0.49271524225870944)</f>
        <v>-0.4927152423</v>
      </c>
      <c r="H10" s="4" t="str">
        <f>IFERROR(__xludf.DUMMYFUNCTION("""COMPUTED_VALUE"""),"Form G4 Instagram Tallis")</f>
        <v>Form G4 Instagram Tallis</v>
      </c>
      <c r="I10" s="5">
        <f>IFERROR(__xludf.DUMMYFUNCTION("""COMPUTED_VALUE"""),-0.48629842180774724)</f>
        <v>-0.4862984218</v>
      </c>
      <c r="J10" s="4" t="str">
        <f>IFERROR(__xludf.DUMMYFUNCTION("""COMPUTED_VALUE"""),"[CM] Form G4 - Outros")</f>
        <v>[CM] Form G4 - Outros</v>
      </c>
      <c r="K10" s="6">
        <f>IFERROR(__xludf.DUMMYFUNCTION("""COMPUTED_VALUE"""),-4.07058823529412)</f>
        <v>-4.070588235</v>
      </c>
      <c r="L10" s="4" t="str">
        <f>IFERROR(__xludf.DUMMYFUNCTION("""COMPUTED_VALUE"""),"Form G4 - K Instagram")</f>
        <v>Form G4 - K Instagram</v>
      </c>
      <c r="M10" s="6">
        <f>IFERROR(__xludf.DUMMYFUNCTION("""COMPUTED_VALUE"""),-11.654135338345863)</f>
        <v>-11.65413534</v>
      </c>
      <c r="N10" s="9" t="str">
        <f>IFERROR(__xludf.DUMMYFUNCTION("""COMPUTED_VALUE"""),"[ON] Abandono de carrinho")</f>
        <v>[ON] Abandono de carrinho</v>
      </c>
      <c r="O10" s="5">
        <f>IFERROR(__xludf.DUMMYFUNCTION("""COMPUTED_VALUE"""),-0.34860062176509665)</f>
        <v>-0.3486006218</v>
      </c>
      <c r="P10" s="3">
        <f>IFERROR(__xludf.DUMMYFUNCTION("""COMPUTED_VALUE"""),-1061.8374938964844)</f>
        <v>-1061.837494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IFERROR(__xludf.DUMMYFUNCTION("""COMPUTED_VALUE"""),-0.4376571501822497)</f>
        <v>-0.4376571502</v>
      </c>
      <c r="AC10" s="3">
        <f>IFERROR(__xludf.DUMMYFUNCTION("""COMPUTED_VALUE"""),-3905.923076923077)</f>
        <v>-3905.923077</v>
      </c>
      <c r="AD10" s="9" t="str">
        <f>IFERROR(__xludf.DUMMYFUNCTION("""COMPUTED_VALUE"""),"[SKL] Site")</f>
        <v>[SKL] Site</v>
      </c>
      <c r="AE10" s="10">
        <f>IFERROR(__xludf.DUMMYFUNCTION("""COMPUTED_VALUE"""),0.08230937586489295)</f>
        <v>0.08230937586</v>
      </c>
      <c r="AF10" s="11">
        <f>IFERROR(__xludf.DUMMYFUNCTION("""COMPUTED_VALUE"""),-605.7114164904865)</f>
        <v>-605.7114165</v>
      </c>
    </row>
    <row r="11">
      <c r="F11" s="4" t="str">
        <f>IFERROR(__xludf.DUMMYFUNCTION("""COMPUTED_VALUE"""),"Form G4 Outros - Não Orgânico")</f>
        <v>Form G4 Outros - Não Orgânico</v>
      </c>
      <c r="G11" s="5">
        <f>IFERROR(__xludf.DUMMYFUNCTION("""COMPUTED_VALUE"""),-0.4763370841620574)</f>
        <v>-0.4763370842</v>
      </c>
      <c r="H11" s="4" t="str">
        <f>IFERROR(__xludf.DUMMYFUNCTION("""COMPUTED_VALUE"""),"Form G4 Outros - Não Orgânico")</f>
        <v>Form G4 Outros - Não Orgânico</v>
      </c>
      <c r="I11" s="5">
        <f>IFERROR(__xludf.DUMMYFUNCTION("""COMPUTED_VALUE"""),-0.4577740598501841)</f>
        <v>-0.4577740599</v>
      </c>
      <c r="J11" s="4" t="str">
        <f>IFERROR(__xludf.DUMMYFUNCTION("""COMPUTED_VALUE"""),"[IM] Chat")</f>
        <v>[IM] Chat</v>
      </c>
      <c r="K11" s="6">
        <f>IFERROR(__xludf.DUMMYFUNCTION("""COMPUTED_VALUE"""),-2.278042560735299)</f>
        <v>-2.278042561</v>
      </c>
      <c r="L11" s="4" t="str">
        <f>IFERROR(__xludf.DUMMYFUNCTION("""COMPUTED_VALUE"""),"[SKL] CRM - WhatsApp")</f>
        <v>[SKL] CRM - WhatsApp</v>
      </c>
      <c r="M11" s="6">
        <f>IFERROR(__xludf.DUMMYFUNCTION("""COMPUTED_VALUE"""),-11.047463175122749)</f>
        <v>-11.04746318</v>
      </c>
      <c r="N11" s="9" t="str">
        <f>IFERROR(__xludf.DUMMYFUNCTION("""COMPUTED_VALUE"""),"Form G4 Instagram Tallis")</f>
        <v>Form G4 Instagram Tallis</v>
      </c>
      <c r="O11" s="5">
        <f>IFERROR(__xludf.DUMMYFUNCTION("""COMPUTED_VALUE"""),-0.32810522682823945)</f>
        <v>-0.3281052268</v>
      </c>
      <c r="P11" s="3">
        <f>IFERROR(__xludf.DUMMYFUNCTION("""COMPUTED_VALUE"""),-8556.0)</f>
        <v>-8556</v>
      </c>
      <c r="AA11" s="4" t="str">
        <f>IFERROR(__xludf.DUMMYFUNCTION("""COMPUTED_VALUE"""),"[IM] Form Facebook Ads")</f>
        <v>[IM] Form Facebook Ads</v>
      </c>
      <c r="AB11" s="5">
        <f>IFERROR(__xludf.DUMMYFUNCTION("""COMPUTED_VALUE"""),-0.41210241008323534)</f>
        <v>-0.4121024101</v>
      </c>
      <c r="AC11" s="3">
        <f>IFERROR(__xludf.DUMMYFUNCTION("""COMPUTED_VALUE"""),-2535.095744680851)</f>
        <v>-2535.095745</v>
      </c>
    </row>
    <row r="12">
      <c r="F12" s="4" t="str">
        <f>IFERROR(__xludf.DUMMYFUNCTION("""COMPUTED_VALUE"""),"[ON] Chat")</f>
        <v>[ON] Chat</v>
      </c>
      <c r="G12" s="5">
        <f>IFERROR(__xludf.DUMMYFUNCTION("""COMPUTED_VALUE"""),-0.44078431372548993)</f>
        <v>-0.4407843137</v>
      </c>
      <c r="H12" s="4" t="str">
        <f>IFERROR(__xludf.DUMMYFUNCTION("""COMPUTED_VALUE"""),"Form G4 - K Outros")</f>
        <v>Form G4 - K Outros</v>
      </c>
      <c r="I12" s="5">
        <f>IFERROR(__xludf.DUMMYFUNCTION("""COMPUTED_VALUE"""),-0.38192381329636205)</f>
        <v>-0.3819238133</v>
      </c>
      <c r="J12" s="4" t="str">
        <f>IFERROR(__xludf.DUMMYFUNCTION("""COMPUTED_VALUE"""),"Form G4 Instagram G4")</f>
        <v>Form G4 Instagram G4</v>
      </c>
      <c r="K12" s="6">
        <f>IFERROR(__xludf.DUMMYFUNCTION("""COMPUTED_VALUE"""),-1.8817621866608014)</f>
        <v>-1.881762187</v>
      </c>
      <c r="L12" s="4" t="str">
        <f>IFERROR(__xludf.DUMMYFUNCTION("""COMPUTED_VALUE"""),"Form G4 Instagram Outros")</f>
        <v>Form G4 Instagram Outros</v>
      </c>
      <c r="M12" s="6">
        <f>IFERROR(__xludf.DUMMYFUNCTION("""COMPUTED_VALUE"""),-10.179487179487182)</f>
        <v>-10.17948718</v>
      </c>
      <c r="N12" s="9" t="str">
        <f>IFERROR(__xludf.DUMMYFUNCTION("""COMPUTED_VALUE"""),"[IM] Social DM")</f>
        <v>[IM] Social DM</v>
      </c>
      <c r="O12" s="5">
        <f>IFERROR(__xludf.DUMMYFUNCTION("""COMPUTED_VALUE"""),-0.30934989114816264)</f>
        <v>-0.3093498911</v>
      </c>
      <c r="P12" s="3">
        <f>IFERROR(__xludf.DUMMYFUNCTION("""COMPUTED_VALUE"""),-12243.44999186198)</f>
        <v>-12243.44999</v>
      </c>
      <c r="AA12" s="4" t="str">
        <f>IFERROR(__xludf.DUMMYFUNCTION("""COMPUTED_VALUE"""),"[IM] Social DM")</f>
        <v>[IM] Social DM</v>
      </c>
      <c r="AB12" s="5">
        <f>IFERROR(__xludf.DUMMYFUNCTION("""COMPUTED_VALUE"""),-0.3583899008703655)</f>
        <v>-0.3583899009</v>
      </c>
      <c r="AC12" s="3">
        <f>IFERROR(__xludf.DUMMYFUNCTION("""COMPUTED_VALUE"""),-6194.835553747105)</f>
        <v>-6194.835554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IFERROR(__xludf.DUMMYFUNCTION("""COMPUTED_VALUE"""),-0.3696441539578792)</f>
        <v>-0.369644154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IFERROR(__xludf.DUMMYFUNCTION("""COMPUTED_VALUE"""),-0.37086933538847616)</f>
        <v>-0.3708693354</v>
      </c>
      <c r="J13" s="4" t="str">
        <f>IFERROR(__xludf.DUMMYFUNCTION("""COMPUTED_VALUE"""),"[SKL] Midia Paga - Quente")</f>
        <v>[SKL] Midia Paga - Quente</v>
      </c>
      <c r="K13" s="6">
        <f>IFERROR(__xludf.DUMMYFUNCTION("""COMPUTED_VALUE"""),-1.8507863444572337)</f>
        <v>-1.850786344</v>
      </c>
      <c r="L13" s="4" t="str">
        <f>IFERROR(__xludf.DUMMYFUNCTION("""COMPUTED_VALUE"""),"Form G4 Outros - Não Orgânico")</f>
        <v>Form G4 Outros - Não Orgânico</v>
      </c>
      <c r="M13" s="6">
        <f>IFERROR(__xludf.DUMMYFUNCTION("""COMPUTED_VALUE"""),-10.0)</f>
        <v>-10</v>
      </c>
      <c r="N13" s="9" t="str">
        <f>IFERROR(__xludf.DUMMYFUNCTION("""COMPUTED_VALUE"""),"Form G4 Outros - Não Orgânico")</f>
        <v>Form G4 Outros - Não Orgânico</v>
      </c>
      <c r="O13" s="5">
        <f>IFERROR(__xludf.DUMMYFUNCTION("""COMPUTED_VALUE"""),-0.2564677123650438)</f>
        <v>-0.2564677124</v>
      </c>
      <c r="P13" s="3">
        <f>IFERROR(__xludf.DUMMYFUNCTION("""COMPUTED_VALUE"""),-7554.0)</f>
        <v>-7554</v>
      </c>
      <c r="AA13" s="4" t="str">
        <f>IFERROR(__xludf.DUMMYFUNCTION("""COMPUTED_VALUE"""),"Form G4 Google")</f>
        <v>Form G4 Google</v>
      </c>
      <c r="AB13" s="5">
        <f>IFERROR(__xludf.DUMMYFUNCTION("""COMPUTED_VALUE"""),-0.2989145430607143)</f>
        <v>-0.2989145431</v>
      </c>
      <c r="AC13" s="3">
        <f>IFERROR(__xludf.DUMMYFUNCTION("""COMPUTED_VALUE"""),-2234.669023794779)</f>
        <v>-2234.669024</v>
      </c>
    </row>
    <row r="14">
      <c r="F14" s="4" t="str">
        <f>IFERROR(__xludf.DUMMYFUNCTION("""COMPUTED_VALUE"""),"Form G4 Incompleto Instagram")</f>
        <v>Form G4 Incompleto Instagram</v>
      </c>
      <c r="G14" s="5">
        <f>IFERROR(__xludf.DUMMYFUNCTION("""COMPUTED_VALUE"""),-0.3226890756302518)</f>
        <v>-0.3226890756</v>
      </c>
      <c r="H14" s="4" t="str">
        <f>IFERROR(__xludf.DUMMYFUNCTION("""COMPUTED_VALUE"""),"Form G4 Incompleto Instagram")</f>
        <v>Form G4 Incompleto Instagram</v>
      </c>
      <c r="I14" s="5">
        <f>IFERROR(__xludf.DUMMYFUNCTION("""COMPUTED_VALUE"""),-0.3301320528211281)</f>
        <v>-0.3301320528</v>
      </c>
      <c r="J14" s="4" t="str">
        <f>IFERROR(__xludf.DUMMYFUNCTION("""COMPUTED_VALUE"""),"[IM] Social DM")</f>
        <v>[IM] Social DM</v>
      </c>
      <c r="K14" s="6">
        <f>IFERROR(__xludf.DUMMYFUNCTION("""COMPUTED_VALUE"""),-1.5625)</f>
        <v>-1.5625</v>
      </c>
      <c r="L14" s="4" t="str">
        <f>IFERROR(__xludf.DUMMYFUNCTION("""COMPUTED_VALUE"""),"[SKL] CRM - Email")</f>
        <v>[SKL] CRM - Email</v>
      </c>
      <c r="M14" s="6">
        <f>IFERROR(__xludf.DUMMYFUNCTION("""COMPUTED_VALUE"""),-9.666666666666666)</f>
        <v>-9.666666667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IFERROR(__xludf.DUMMYFUNCTION("""COMPUTED_VALUE"""),-0.22307843137254907)</f>
        <v>-0.2230784314</v>
      </c>
      <c r="P14" s="3">
        <f>IFERROR(__xludf.DUMMYFUNCTION("""COMPUTED_VALUE"""),-3792.333333333334)</f>
        <v>-3792.333333</v>
      </c>
      <c r="AA14" s="4" t="str">
        <f>IFERROR(__xludf.DUMMYFUNCTION("""COMPUTED_VALUE"""),"Form G4 Facebook")</f>
        <v>Form G4 Facebook</v>
      </c>
      <c r="AB14" s="5">
        <f>IFERROR(__xludf.DUMMYFUNCTION("""COMPUTED_VALUE"""),-0.26208560831458827)</f>
        <v>-0.2620856083</v>
      </c>
      <c r="AC14" s="3">
        <f>IFERROR(__xludf.DUMMYFUNCTION("""COMPUTED_VALUE"""),-1528.2269230769225)</f>
        <v>-1528.226923</v>
      </c>
    </row>
    <row r="15">
      <c r="F15" s="4" t="str">
        <f>IFERROR(__xludf.DUMMYFUNCTION("""COMPUTED_VALUE"""),"Form G4 Incompleto Outros")</f>
        <v>Form G4 Incompleto Outros</v>
      </c>
      <c r="G15" s="5">
        <f>IFERROR(__xludf.DUMMYFUNCTION("""COMPUTED_VALUE"""),-0.32008403361344506)</f>
        <v>-0.3200840336</v>
      </c>
      <c r="H15" s="4" t="str">
        <f>IFERROR(__xludf.DUMMYFUNCTION("""COMPUTED_VALUE"""),"Form G4 Incompleto Outros")</f>
        <v>Form G4 Incompleto Outros</v>
      </c>
      <c r="I15" s="5">
        <f>IFERROR(__xludf.DUMMYFUNCTION("""COMPUTED_VALUE"""),-0.28462298740634434)</f>
        <v>-0.2846229874</v>
      </c>
      <c r="J15" s="4"/>
      <c r="K15" s="4"/>
      <c r="L15" s="9" t="str">
        <f>IFERROR(__xludf.DUMMYFUNCTION("""COMPUTED_VALUE"""),"[IM] Form Facebook Ads")</f>
        <v>[IM] Form Facebook Ads</v>
      </c>
      <c r="M15" s="6">
        <f>IFERROR(__xludf.DUMMYFUNCTION("""COMPUTED_VALUE"""),-9.617021276595745)</f>
        <v>-9.617021277</v>
      </c>
      <c r="N15" s="9" t="str">
        <f>IFERROR(__xludf.DUMMYFUNCTION("""COMPUTED_VALUE"""),"Form G4 Instagram Outros")</f>
        <v>Form G4 Instagram Outros</v>
      </c>
      <c r="O15" s="5">
        <f>IFERROR(__xludf.DUMMYFUNCTION("""COMPUTED_VALUE"""),-0.22154000000000001)</f>
        <v>-0.22154</v>
      </c>
      <c r="P15" s="3">
        <f>IFERROR(__xludf.DUMMYFUNCTION("""COMPUTED_VALUE"""),-6646.200000000001)</f>
        <v>-6646.2</v>
      </c>
      <c r="AA15" s="4" t="str">
        <f>IFERROR(__xludf.DUMMYFUNCTION("""COMPUTED_VALUE"""),"Form G4 Incompleto Instagram")</f>
        <v>Form G4 Incompleto Instagram</v>
      </c>
      <c r="AB15" s="5">
        <f>IFERROR(__xludf.DUMMYFUNCTION("""COMPUTED_VALUE"""),-0.25966959800497236)</f>
        <v>-0.259669598</v>
      </c>
      <c r="AC15" s="3">
        <f>IFERROR(__xludf.DUMMYFUNCTION("""COMPUTED_VALUE"""),-874.6176470588234)</f>
        <v>-874.6176471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IFERROR(__xludf.DUMMYFUNCTION("""COMPUTED_VALUE"""),-0.3189905591866373)</f>
        <v>-0.3189905592</v>
      </c>
      <c r="H16" s="4" t="str">
        <f>IFERROR(__xludf.DUMMYFUNCTION("""COMPUTED_VALUE"""),"[SKL] Site")</f>
        <v>[SKL] Site</v>
      </c>
      <c r="I16" s="5">
        <f>IFERROR(__xludf.DUMMYFUNCTION("""COMPUTED_VALUE"""),-0.2591111428503412)</f>
        <v>-0.2591111429</v>
      </c>
      <c r="J16" s="4"/>
      <c r="K16" s="4"/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N16" s="9" t="str">
        <f>IFERROR(__xludf.DUMMYFUNCTION("""COMPUTED_VALUE"""),"[SKL] CRM - WhatsApp")</f>
        <v>[SKL] CRM - WhatsApp</v>
      </c>
      <c r="O16" s="5">
        <f>IFERROR(__xludf.DUMMYFUNCTION("""COMPUTED_VALUE"""),-0.026180227224613647)</f>
        <v>-0.02618022722</v>
      </c>
      <c r="P16" s="3">
        <f>IFERROR(__xludf.DUMMYFUNCTION("""COMPUTED_VALUE"""),-371.0)</f>
        <v>-371</v>
      </c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IFERROR(__xludf.DUMMYFUNCTION("""COMPUTED_VALUE"""),"[SKL] Site")</f>
        <v>[SKL] Site</v>
      </c>
      <c r="G17" s="5">
        <f>IFERROR(__xludf.DUMMYFUNCTION("""COMPUTED_VALUE"""),-0.24092316352378232)</f>
        <v>-0.2409231635</v>
      </c>
      <c r="H17" s="4" t="str">
        <f>IFERROR(__xludf.DUMMYFUNCTION("""COMPUTED_VALUE"""),"Form G4 Google")</f>
        <v>Form G4 Google</v>
      </c>
      <c r="I17" s="5">
        <f>IFERROR(__xludf.DUMMYFUNCTION("""COMPUTED_VALUE"""),-0.2358846637738462)</f>
        <v>-0.2358846638</v>
      </c>
      <c r="J17" s="4"/>
      <c r="K17" s="4"/>
      <c r="L17" s="9" t="str">
        <f>IFERROR(__xludf.DUMMYFUNCTION("""COMPUTED_VALUE"""),"Form G4 Instagram G4")</f>
        <v>Form G4 Instagram G4</v>
      </c>
      <c r="M17" s="6">
        <f>IFERROR(__xludf.DUMMYFUNCTION("""COMPUTED_VALUE"""),-7.839572192513368)</f>
        <v>-7.839572193</v>
      </c>
      <c r="N17" s="9" t="str">
        <f>IFERROR(__xludf.DUMMYFUNCTION("""COMPUTED_VALUE"""),"[IM] Time de vendas")</f>
        <v>[IM] Time de vendas</v>
      </c>
      <c r="O17" s="5">
        <f>IFERROR(__xludf.DUMMYFUNCTION("""COMPUTED_VALUE"""),-0.011730087794674302)</f>
        <v>-0.01173008779</v>
      </c>
      <c r="P17" s="3">
        <f>IFERROR(__xludf.DUMMYFUNCTION("""COMPUTED_VALUE"""),-377.2712636611868)</f>
        <v>-377.2712637</v>
      </c>
      <c r="AA17" s="4" t="str">
        <f>IFERROR(__xludf.DUMMYFUNCTION("""COMPUTED_VALUE"""),"[SKL] CRM - Email")</f>
        <v>[SKL] CRM - Email</v>
      </c>
      <c r="AB17" s="5">
        <f>IFERROR(__xludf.DUMMYFUNCTION("""COMPUTED_VALUE"""),-0.12228023611015781)</f>
        <v>-0.1222802361</v>
      </c>
      <c r="AC17" s="3">
        <f>IFERROR(__xludf.DUMMYFUNCTION("""COMPUTED_VALUE"""),-869.5999999999995)</f>
        <v>-869.6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IFERROR(__xludf.DUMMYFUNCTION("""COMPUTED_VALUE"""),-0.21399594320486773)</f>
        <v>-0.2139959432</v>
      </c>
      <c r="H18" s="4" t="str">
        <f>IFERROR(__xludf.DUMMYFUNCTION("""COMPUTED_VALUE"""),"[SKL] CRM - WhatsApp")</f>
        <v>[SKL] CRM - WhatsApp</v>
      </c>
      <c r="I18" s="5">
        <f>IFERROR(__xludf.DUMMYFUNCTION("""COMPUTED_VALUE"""),-0.2141456582633049)</f>
        <v>-0.2141456583</v>
      </c>
      <c r="J18" s="4"/>
      <c r="K18" s="4"/>
      <c r="L18" s="9" t="str">
        <f>IFERROR(__xludf.DUMMYFUNCTION("""COMPUTED_VALUE"""),"Form G4 Incompleto Outros")</f>
        <v>Form G4 Incompleto Outros</v>
      </c>
      <c r="M18" s="6">
        <f>IFERROR(__xludf.DUMMYFUNCTION("""COMPUTED_VALUE"""),-7.55775577557756)</f>
        <v>-7.557755776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IFERROR(__xludf.DUMMYFUNCTION("""COMPUTED_VALUE"""),-0.09144678135156048)</f>
        <v>-0.09144678135</v>
      </c>
      <c r="AC18" s="3">
        <f>IFERROR(__xludf.DUMMYFUNCTION("""COMPUTED_VALUE"""),-1506.5935828877004)</f>
        <v>-1506.593583</v>
      </c>
    </row>
    <row r="19">
      <c r="F19" s="4" t="str">
        <f>IFERROR(__xludf.DUMMYFUNCTION("""COMPUTED_VALUE"""),"[SKL] CRM - WhatsApp")</f>
        <v>[SKL] CRM - WhatsApp</v>
      </c>
      <c r="G19" s="5">
        <f>IFERROR(__xludf.DUMMYFUNCTION("""COMPUTED_VALUE"""),-0.19627137447845014)</f>
        <v>-0.1962713745</v>
      </c>
      <c r="H19" s="4" t="str">
        <f>IFERROR(__xludf.DUMMYFUNCTION("""COMPUTED_VALUE"""),"[IM] Form Facebook Ads")</f>
        <v>[IM] Form Facebook Ads</v>
      </c>
      <c r="I19" s="5">
        <f>IFERROR(__xludf.DUMMYFUNCTION("""COMPUTED_VALUE"""),-0.1789344009855247)</f>
        <v>-0.178934401</v>
      </c>
      <c r="J19" s="4"/>
      <c r="K19" s="4"/>
      <c r="L19" s="9" t="str">
        <f>IFERROR(__xludf.DUMMYFUNCTION("""COMPUTED_VALUE"""),"Form G4 Outros - Orgânico")</f>
        <v>Form G4 Outros - Orgânico</v>
      </c>
      <c r="M19" s="6">
        <f>IFERROR(__xludf.DUMMYFUNCTION("""COMPUTED_VALUE"""),-7.085416213866552)</f>
        <v>-7.085416214</v>
      </c>
      <c r="O19" s="4"/>
      <c r="P19" s="4"/>
      <c r="AA19" s="4"/>
      <c r="AB19" s="4"/>
      <c r="AC19" s="4"/>
    </row>
    <row r="20">
      <c r="F20" s="4" t="str">
        <f>IFERROR(__xludf.DUMMYFUNCTION("""COMPUTED_VALUE"""),"Form G4 Outros - Orgânico")</f>
        <v>Form G4 Outros - Orgânico</v>
      </c>
      <c r="G20" s="5">
        <f>IFERROR(__xludf.DUMMYFUNCTION("""COMPUTED_VALUE"""),-0.176531189398836)</f>
        <v>-0.1765311894</v>
      </c>
      <c r="H20" s="4" t="str">
        <f>IFERROR(__xludf.DUMMYFUNCTION("""COMPUTED_VALUE"""),"[ON] Chat")</f>
        <v>[ON] Chat</v>
      </c>
      <c r="I20" s="5">
        <f>IFERROR(__xludf.DUMMYFUNCTION("""COMPUTED_VALUE"""),-0.173823969049503)</f>
        <v>-0.173823969</v>
      </c>
      <c r="J20" s="4"/>
      <c r="K20" s="4"/>
      <c r="L20" s="9" t="str">
        <f>IFERROR(__xludf.DUMMYFUNCTION("""COMPUTED_VALUE"""),"Form G4 Facebook")</f>
        <v>Form G4 Facebook</v>
      </c>
      <c r="M20" s="6">
        <f>IFERROR(__xludf.DUMMYFUNCTION("""COMPUTED_VALUE"""),-7.05128205128205)</f>
        <v>-7.051282051</v>
      </c>
      <c r="O20" s="4"/>
      <c r="P20" s="4"/>
      <c r="AA20" s="4"/>
      <c r="AB20" s="4"/>
      <c r="AC20" s="4"/>
    </row>
    <row r="21">
      <c r="F21" s="4" t="str">
        <f>IFERROR(__xludf.DUMMYFUNCTION("""COMPUTED_VALUE"""),"[SKL] Midia Paga - Quente")</f>
        <v>[SKL] Midia Paga - Quente</v>
      </c>
      <c r="G21" s="5">
        <f>IFERROR(__xludf.DUMMYFUNCTION("""COMPUTED_VALUE"""),-0.16244870041039633)</f>
        <v>-0.1624487004</v>
      </c>
      <c r="H21" s="4" t="str">
        <f>IFERROR(__xludf.DUMMYFUNCTION("""COMPUTED_VALUE"""),"[SKL] Midia Paga - Quente")</f>
        <v>[SKL] Midia Paga - Quente</v>
      </c>
      <c r="I21" s="5">
        <f>IFERROR(__xludf.DUMMYFUNCTION("""COMPUTED_VALUE"""),-0.16244870041039625)</f>
        <v>-0.1624487004</v>
      </c>
      <c r="J21" s="4"/>
      <c r="K21" s="4"/>
      <c r="L21" s="9" t="str">
        <f>IFERROR(__xludf.DUMMYFUNCTION("""COMPUTED_VALUE"""),"[IM] Form G4 Facebook Ads - K")</f>
        <v>[IM] Form G4 Facebook Ads - K</v>
      </c>
      <c r="M21" s="6">
        <f>IFERROR(__xludf.DUMMYFUNCTION("""COMPUTED_VALUE"""),-5.444646098003629)</f>
        <v>-5.444646098</v>
      </c>
      <c r="O21" s="4"/>
      <c r="P21" s="4"/>
      <c r="AA21" s="4"/>
      <c r="AB21" s="4"/>
      <c r="AC21" s="4"/>
    </row>
    <row r="22">
      <c r="F22" s="4" t="str">
        <f>IFERROR(__xludf.DUMMYFUNCTION("""COMPUTED_VALUE"""),"[IM] Form Facebook Ads")</f>
        <v>[IM] Form Facebook Ads</v>
      </c>
      <c r="G22" s="5">
        <f>IFERROR(__xludf.DUMMYFUNCTION("""COMPUTED_VALUE"""),-0.08155220203264499)</f>
        <v>-0.08155220203</v>
      </c>
      <c r="H22" s="4" t="str">
        <f>IFERROR(__xludf.DUMMYFUNCTION("""COMPUTED_VALUE"""),"Form G4 Instagram G4")</f>
        <v>Form G4 Instagram G4</v>
      </c>
      <c r="I22" s="5">
        <f>IFERROR(__xludf.DUMMYFUNCTION("""COMPUTED_VALUE"""),-0.11265756302520967)</f>
        <v>-0.112657563</v>
      </c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 t="str">
        <f>IFERROR(__xludf.DUMMYFUNCTION("""COMPUTED_VALUE"""),"Form G4 Instagram G4")</f>
        <v>Form G4 Instagram G4</v>
      </c>
      <c r="G23" s="5">
        <f>IFERROR(__xludf.DUMMYFUNCTION("""COMPUTED_VALUE"""),-0.0765126050420164)</f>
        <v>-0.07651260504</v>
      </c>
      <c r="H23" s="4" t="str">
        <f>IFERROR(__xludf.DUMMYFUNCTION("""COMPUTED_VALUE"""),"Form G4 Outros - Orgânico")</f>
        <v>Form G4 Outros - Orgânico</v>
      </c>
      <c r="I23" s="5">
        <f>IFERROR(__xludf.DUMMYFUNCTION("""COMPUTED_VALUE"""),-0.11191749427043485)</f>
        <v>-0.1119174943</v>
      </c>
      <c r="J23" s="4"/>
      <c r="K23" s="4"/>
      <c r="L23" s="9" t="str">
        <f>IFERROR(__xludf.DUMMYFUNCTION("""COMPUTED_VALUE"""),"Aplicativo G4 - Indicação")</f>
        <v>Aplicativo G4 - Indicação</v>
      </c>
      <c r="M23" s="6">
        <f>IFERROR(__xludf.DUMMYFUNCTION("""COMPUTED_VALUE"""),-4.2735042735042725)</f>
        <v>-4.273504274</v>
      </c>
      <c r="O23" s="4"/>
      <c r="P23" s="4"/>
      <c r="AA23" s="4"/>
      <c r="AB23" s="4"/>
    </row>
    <row r="24">
      <c r="F24" s="4"/>
      <c r="G24" s="4"/>
      <c r="H24" s="4" t="str">
        <f>IFERROR(__xludf.DUMMYFUNCTION("""COMPUTED_VALUE"""),"[IM] Chat")</f>
        <v>[IM] Chat</v>
      </c>
      <c r="I24" s="5">
        <f>IFERROR(__xludf.DUMMYFUNCTION("""COMPUTED_VALUE"""),-0.07261375519644718)</f>
        <v>-0.0726137552</v>
      </c>
      <c r="J24" s="4"/>
      <c r="K24" s="4"/>
      <c r="L24" s="9" t="str">
        <f>IFERROR(__xludf.DUMMYFUNCTION("""COMPUTED_VALUE"""),"[SKL] Outros")</f>
        <v>[SKL] Outros</v>
      </c>
      <c r="M24" s="6">
        <f>IFERROR(__xludf.DUMMYFUNCTION("""COMPUTED_VALUE"""),-3.995978889168134)</f>
        <v>-3.995978889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IFERROR(__xludf.DUMMYFUNCTION("""COMPUTED_VALUE"""),"[IM] Chat")</f>
        <v>[IM] Chat</v>
      </c>
      <c r="M25" s="6">
        <f>IFERROR(__xludf.DUMMYFUNCTION("""COMPUTED_VALUE"""),-3.5913806863527546)</f>
        <v>-3.591380686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G4 - K Outros")</f>
        <v>Form G4 - K Outros</v>
      </c>
      <c r="M26" s="6">
        <f>IFERROR(__xludf.DUMMYFUNCTION("""COMPUTED_VALUE"""),-3.371428571428571)</f>
        <v>-3.371428571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Incompleto Instagram")</f>
        <v>Form G4 Incompleto Instagram</v>
      </c>
      <c r="M27" s="6">
        <f>IFERROR(__xludf.DUMMYFUNCTION("""COMPUTED_VALUE"""),-3.176470588235293)</f>
        <v>-3.176470588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Comercial!AE1"")"),3270381.3191561666)</f>
        <v>3270381.319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Comercial!AF4"")"),738759.5)</f>
        <v>738759.5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Comercial!AE4"")"),1387949.831849877)</f>
        <v>1387949.832</v>
      </c>
    </row>
    <row r="5">
      <c r="A5" s="1" t="s">
        <v>36</v>
      </c>
      <c r="B5" s="1" t="s">
        <v>2</v>
      </c>
      <c r="C5" s="3">
        <f>C3-C4</f>
        <v>-649190.3318</v>
      </c>
    </row>
    <row r="6">
      <c r="A6" s="1" t="s">
        <v>36</v>
      </c>
      <c r="B6" s="1" t="s">
        <v>39</v>
      </c>
      <c r="C6" s="5">
        <f>C3/C2</f>
        <v>0.2258939946</v>
      </c>
    </row>
    <row r="7">
      <c r="A7" s="1" t="s">
        <v>36</v>
      </c>
      <c r="B7" s="1" t="s">
        <v>40</v>
      </c>
      <c r="C7" s="5">
        <f>C3/C4</f>
        <v>0.5322667167</v>
      </c>
    </row>
    <row r="8">
      <c r="A8" s="1" t="s">
        <v>36</v>
      </c>
      <c r="B8" s="1" t="s">
        <v>41</v>
      </c>
      <c r="C8" s="5">
        <f>C9-C6</f>
        <v>0.1985060054</v>
      </c>
    </row>
    <row r="9">
      <c r="A9" s="1" t="s">
        <v>36</v>
      </c>
      <c r="B9" s="1" t="s">
        <v>42</v>
      </c>
      <c r="C9" s="7">
        <f>C4/C2</f>
        <v>0.4244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5738759.5</v>
      </c>
    </row>
    <row r="12">
      <c r="A12" s="1" t="s">
        <v>36</v>
      </c>
      <c r="B12" s="1" t="s">
        <v>45</v>
      </c>
      <c r="C12" s="12">
        <f>C2-C11</f>
        <v>-2468378.181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0.2631578947368421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Tai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)"),"[SKL] Outros")</f>
        <v>[SKL] Outros</v>
      </c>
      <c r="B2" s="12">
        <f>IFERROR(__xludf.DUMMYFUNCTION("""COMPUTED_VALUE"""),-156432.0036957266)</f>
        <v>-156432.0037</v>
      </c>
      <c r="C2" s="7">
        <f t="shared" ref="C2:C1000" si="1">IF(B2="","",B2/SUM($B$2:$B$1000))</f>
        <v>0.7243164561</v>
      </c>
      <c r="D2" s="7">
        <f>IF(B2="","",C2)</f>
        <v>0.7243164561</v>
      </c>
      <c r="E2" s="3">
        <f t="array" ref="E2">XLOOKUP(A2,'Dados Funil'!$A:$A,'Dados Funil'!$K:$K,"")</f>
        <v>-139.7282258</v>
      </c>
      <c r="F2" s="5">
        <f t="array" ref="F2">XLOOKUP(A2,'Dados Funil'!$A:$A,'Dados Funil'!$L:$L,"")</f>
        <v>-0.7364651475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2">
        <f>IFERROR(__xludf.DUMMYFUNCTION("""COMPUTED_VALUE"""),-110803.20000000003)</f>
        <v>-110803.2</v>
      </c>
      <c r="I2" s="7">
        <f t="shared" ref="I2:I1000" si="2">IF(H2="","",H2/SUM($H$2:$H$1000))</f>
        <v>0.6727386501</v>
      </c>
      <c r="J2" s="7">
        <f>IF(H2="","",I2)</f>
        <v>0.6727386501</v>
      </c>
      <c r="K2" s="6">
        <f t="array" ref="K2">XLOOKUP(G2,'Dados Funil'!A:A,'Dados Funil'!O:O,"")</f>
        <v>-10.29310345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)"),"[SKL] Midia Paga - Quente")</f>
        <v>[SKL] Midia Paga - Quente</v>
      </c>
      <c r="M2" s="12">
        <f>IFERROR(__xludf.DUMMYFUNCTION("""COMPUTED_VALUE"""),-135881.80000000002)</f>
        <v>-135881.8</v>
      </c>
      <c r="N2" s="7">
        <f t="shared" ref="N2:N1000" si="3">IF(M2="","",M2/SUM($M$2:$M$1000))</f>
        <v>0.3749866676</v>
      </c>
      <c r="O2" s="7">
        <f>IF(M2="","",N2)</f>
        <v>0.3749866676</v>
      </c>
      <c r="P2" s="12">
        <f t="array" ref="P2">XLOOKUP(L2,'Dados Funil'!A:A,'Dados Funil'!AM:AM,"")</f>
        <v>-2516.32963</v>
      </c>
      <c r="Q2" s="5">
        <f t="array" ref="Q2">XLOOKUP(L2,'Dados Funil'!A:A,'Dados Funil'!AN:AN,"")</f>
        <v>-0.7657262582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Form Facebook Ads")</f>
        <v>[IM] Form Facebook Ads</v>
      </c>
      <c r="S2" s="12">
        <f>IFERROR(__xludf.DUMMYFUNCTION("""COMPUTED_VALUE"""),35521.445161290474)</f>
        <v>35521.44516</v>
      </c>
      <c r="T2" s="7">
        <f t="shared" ref="T2:T1000" si="4">IF(S2="","",S2/SUM($S$2:$S$1000))</f>
        <v>1</v>
      </c>
      <c r="U2" s="7">
        <f>IF(S2="","",T2)</f>
        <v>1</v>
      </c>
      <c r="V2" s="3">
        <f t="array" ref="V2">XLOOKUP(R2,'Dados Funil'!$A:$A,'Dados Funil'!$K:$K,"")</f>
        <v>22.51612903</v>
      </c>
      <c r="W2" s="5">
        <f t="array" ref="W2">XLOOKUP(R2,'Dados Funil'!$A:$A,'Dados Funil'!$L:$L,"")</f>
        <v>0.1074838312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)"),"[SKL] Outros")</f>
        <v>[SKL] Outros</v>
      </c>
      <c r="Y2" s="12">
        <f>IFERROR(__xludf.DUMMYFUNCTION("""COMPUTED_VALUE"""),42109.12014174569)</f>
        <v>42109.12014</v>
      </c>
      <c r="Z2" s="7">
        <f t="shared" ref="Z2:Z1000" si="5">IF(Y2="","",Y2/SUM($Y$2:$Y$1000))</f>
        <v>0.6246166103</v>
      </c>
      <c r="AA2" s="7">
        <f>IF(Y2="","",Z2)</f>
        <v>0.6246166103</v>
      </c>
      <c r="AB2" s="6">
        <f t="array" ref="AB2">XLOOKUP(X2,'Dados Funil'!A:A,'Dados Funil'!O:O,"")</f>
        <v>19.74810319</v>
      </c>
      <c r="AC2" s="4" t="s">
        <v>96</v>
      </c>
      <c r="AD2" s="12">
        <v>42109.12014174569</v>
      </c>
      <c r="AE2" s="7">
        <v>0.6246166102990222</v>
      </c>
      <c r="AF2" s="7">
        <v>0.6246166102990222</v>
      </c>
      <c r="AG2" s="12">
        <f t="array" ref="AG2">XLOOKUP(AC2,'Dados Funil'!A:A,'Dados Funil'!AM:AM,"")</f>
        <v>-593.4938427</v>
      </c>
      <c r="AH2" s="5">
        <f t="array" ref="AH2">XLOOKUP(AC2,'Dados Funil'!A:A,'Dados Funil'!AN:AN,"")</f>
        <v>-0.1391667364</v>
      </c>
      <c r="AI2" s="9" t="str">
        <f>IFERROR(__xludf.DUMMYFUNCTION("QUERY('Dados Funil'!A2:AP100,""SELECT Col1, Col9, Col13, Col37 WHERE Col9 &gt; 0"")"),"[IM] Form Facebook Ads")</f>
        <v>[IM] Form Facebook Ads</v>
      </c>
      <c r="AJ2" s="11">
        <f>IFERROR(__xludf.DUMMYFUNCTION("""COMPUTED_VALUE"""),209.48387096774184)</f>
        <v>209.483871</v>
      </c>
      <c r="AK2" s="10">
        <f>IFERROR(__xludf.DUMMYFUNCTION("""COMPUTED_VALUE"""),0.34)</f>
        <v>0.34</v>
      </c>
      <c r="AL2" s="9">
        <f>IFERROR(__xludf.DUMMYFUNCTION("""COMPUTED_VALUE"""),4640.0)</f>
        <v>4640</v>
      </c>
      <c r="AM2" s="9">
        <f t="shared" ref="AM2:AM9" si="6">AJ2*AK2*AL2</f>
        <v>330481.7548</v>
      </c>
      <c r="AN2" s="9" t="str">
        <f>IFERROR(__xludf.DUMMYFUNCTION("QUERY('Dados Funil'!A2:AZ100,""SELECT Col1, Col10, Col14, Col38 WHERE Col9 &gt; 0"")"),"[IM] Form Facebook Ads")</f>
        <v>[IM] Form Facebook Ads</v>
      </c>
      <c r="AO2" s="11">
        <f>IFERROR(__xludf.DUMMYFUNCTION("""COMPUTED_VALUE"""),232.0)</f>
        <v>232</v>
      </c>
      <c r="AP2" s="10">
        <f>IFERROR(__xludf.DUMMYFUNCTION("""COMPUTED_VALUE"""),0.23706896551724138)</f>
        <v>0.2370689655</v>
      </c>
      <c r="AQ2" s="14">
        <f>IFERROR(__xludf.DUMMYFUNCTION("""COMPUTED_VALUE"""),2381.3818181818183)</f>
        <v>2381.381818</v>
      </c>
      <c r="AR2" s="9">
        <f t="shared" ref="AR2:AR9" si="7">AO2*AP2*AQ2</f>
        <v>130976</v>
      </c>
    </row>
    <row r="3">
      <c r="A3" s="4" t="str">
        <f>IFERROR(__xludf.DUMMYFUNCTION("""COMPUTED_VALUE"""),"[SKL] Midia Paga - Quente")</f>
        <v>[SKL] Midia Paga - Quente</v>
      </c>
      <c r="B3" s="12">
        <f>IFERROR(__xludf.DUMMYFUNCTION("""COMPUTED_VALUE"""),-38146.26099706733)</f>
        <v>-38146.261</v>
      </c>
      <c r="C3" s="7">
        <f t="shared" si="1"/>
        <v>0.1766260351</v>
      </c>
      <c r="D3" s="7">
        <f t="shared" ref="D3:D1000" si="8">IF(B3="","",C3+D2)</f>
        <v>0.9009424913</v>
      </c>
      <c r="E3" s="3">
        <f t="array" ref="E3">XLOOKUP(A3,'Dados Funil'!$A:$A,'Dados Funil'!$K:$K,"")</f>
        <v>-61.29032258</v>
      </c>
      <c r="F3" s="5">
        <f t="array" ref="F3">XLOOKUP(A3,'Dados Funil'!$A:$A,'Dados Funil'!$L:$L,"")</f>
        <v>-0.1624487004</v>
      </c>
      <c r="G3" s="4" t="str">
        <f>IFERROR(__xludf.DUMMYFUNCTION("""COMPUTED_VALUE"""),"[SKL] CRM - WhatsApp")</f>
        <v>[SKL] CRM - WhatsApp</v>
      </c>
      <c r="H3" s="12">
        <f>IFERROR(__xludf.DUMMYFUNCTION("""COMPUTED_VALUE"""),-21648.463829787226)</f>
        <v>-21648.46383</v>
      </c>
      <c r="I3" s="7">
        <f t="shared" si="2"/>
        <v>0.1314380662</v>
      </c>
      <c r="J3" s="7">
        <f t="shared" ref="J3:J1000" si="9">IF(H3="","",I3+J2)</f>
        <v>0.8041767162</v>
      </c>
      <c r="K3" s="6">
        <f t="array" ref="K3">XLOOKUP(G3,'Dados Funil'!A:A,'Dados Funil'!O:O,"")</f>
        <v>-5.698412698</v>
      </c>
      <c r="L3" s="4" t="str">
        <f>IFERROR(__xludf.DUMMYFUNCTION("""COMPUTED_VALUE"""),"[IM] Form Facebook Ads")</f>
        <v>[IM] Form Facebook Ads</v>
      </c>
      <c r="M3" s="12">
        <f>IFERROR(__xludf.DUMMYFUNCTION("""COMPUTED_VALUE"""),-124224.0)</f>
        <v>-124224</v>
      </c>
      <c r="N3" s="7">
        <f t="shared" si="3"/>
        <v>0.3428151805</v>
      </c>
      <c r="O3" s="7">
        <f t="shared" ref="O3:O1000" si="10">IF(N3="","",N3+O2)</f>
        <v>0.7178018481</v>
      </c>
      <c r="P3" s="12">
        <f t="array" ref="P3">XLOOKUP(L3,'Dados Funil'!A:A,'Dados Funil'!AM:AM,"")</f>
        <v>-2258.618182</v>
      </c>
      <c r="Q3" s="5">
        <f t="array" ref="Q3">XLOOKUP(L3,'Dados Funil'!A:A,'Dados Funil'!AN:AN,"")</f>
        <v>-0.4867711599</v>
      </c>
      <c r="R3" s="4"/>
      <c r="S3" s="4"/>
      <c r="T3" s="7" t="str">
        <f t="shared" si="4"/>
        <v/>
      </c>
      <c r="U3" s="4" t="str">
        <f t="shared" ref="U3:U1000" si="11">IF(S3="","",T3+U2)</f>
        <v/>
      </c>
      <c r="V3" s="4" t="str">
        <f t="array" ref="V3">XLOOKUP(R3,'Dados Funil'!$A:$A,'Dados Funil'!$K:$K,"")</f>
        <v/>
      </c>
      <c r="W3" s="4" t="str">
        <f t="array" ref="W3">XLOOKUP(R3,'Dados Funil'!$A:$A,'Dados Funil'!$L:$L,"")</f>
        <v/>
      </c>
      <c r="X3" s="4" t="str">
        <f>IFERROR(__xludf.DUMMYFUNCTION("""COMPUTED_VALUE"""),"[SKL] Social")</f>
        <v>[SKL] Social</v>
      </c>
      <c r="Y3" s="12">
        <f>IFERROR(__xludf.DUMMYFUNCTION("""COMPUTED_VALUE"""),12047.828425015025)</f>
        <v>12047.82843</v>
      </c>
      <c r="Z3" s="7">
        <f t="shared" si="5"/>
        <v>0.1787088813</v>
      </c>
      <c r="AA3" s="7">
        <f t="shared" ref="AA3:AA1000" si="12">IF(Y3="","",Z3+AA2)</f>
        <v>0.8033254916</v>
      </c>
      <c r="AB3" s="6">
        <f t="array" ref="AB3">XLOOKUP(X3,'Dados Funil'!A:A,'Dados Funil'!O:O,"")</f>
        <v>10.65152898</v>
      </c>
      <c r="AC3" s="4" t="s">
        <v>97</v>
      </c>
      <c r="AD3" s="12">
        <v>12047.828425015025</v>
      </c>
      <c r="AE3" s="7">
        <v>0.17870888128191417</v>
      </c>
      <c r="AF3" s="7">
        <v>0.8033254915809364</v>
      </c>
      <c r="AG3" s="12">
        <f t="array" ref="AG3">XLOOKUP(AC3,'Dados Funil'!A:A,'Dados Funil'!AM:AM,"")</f>
        <v>-1413.335314</v>
      </c>
      <c r="AH3" s="5">
        <f t="array" ref="AH3">XLOOKUP(AC3,'Dados Funil'!A:A,'Dados Funil'!AN:AN,"")</f>
        <v>-0.6997395425</v>
      </c>
      <c r="AI3" s="9" t="str">
        <f>IFERROR(__xludf.DUMMYFUNCTION("""COMPUTED_VALUE"""),"[SKL] Midia Paga - Quente")</f>
        <v>[SKL] Midia Paga - Quente</v>
      </c>
      <c r="AJ3" s="11">
        <f>IFERROR(__xludf.DUMMYFUNCTION("""COMPUTED_VALUE"""),377.29032258064495)</f>
        <v>377.2903226</v>
      </c>
      <c r="AK3" s="10">
        <f>IFERROR(__xludf.DUMMYFUNCTION("""COMPUTED_VALUE"""),0.18939393939393942)</f>
        <v>0.1893939394</v>
      </c>
      <c r="AL3" s="9">
        <f>IFERROR(__xludf.DUMMYFUNCTION("""COMPUTED_VALUE"""),3286.2000000000003)</f>
        <v>3286.2</v>
      </c>
      <c r="AM3" s="9">
        <f t="shared" si="6"/>
        <v>234820.3519</v>
      </c>
      <c r="AN3" s="9" t="str">
        <f>IFERROR(__xludf.DUMMYFUNCTION("""COMPUTED_VALUE"""),"[SKL] Midia Paga - Quente")</f>
        <v>[SKL] Midia Paga - Quente</v>
      </c>
      <c r="AO3" s="11">
        <f>IFERROR(__xludf.DUMMYFUNCTION("""COMPUTED_VALUE"""),316.0)</f>
        <v>316</v>
      </c>
      <c r="AP3" s="10">
        <f>IFERROR(__xludf.DUMMYFUNCTION("""COMPUTED_VALUE"""),0.17088607594936708)</f>
        <v>0.1708860759</v>
      </c>
      <c r="AQ3" s="14">
        <f>IFERROR(__xludf.DUMMYFUNCTION("""COMPUTED_VALUE"""),769.8703703703703)</f>
        <v>769.8703704</v>
      </c>
      <c r="AR3" s="9">
        <f t="shared" si="7"/>
        <v>41573</v>
      </c>
    </row>
    <row r="4">
      <c r="A4" s="4" t="str">
        <f>IFERROR(__xludf.DUMMYFUNCTION("""COMPUTED_VALUE"""),"[SKL] CRM - WhatsApp")</f>
        <v>[SKL] CRM - WhatsApp</v>
      </c>
      <c r="B4" s="12">
        <f>IFERROR(__xludf.DUMMYFUNCTION("""COMPUTED_VALUE"""),-21393.638709677365)</f>
        <v>-21393.63871</v>
      </c>
      <c r="C4" s="7">
        <f t="shared" si="1"/>
        <v>0.09905750874</v>
      </c>
      <c r="D4" s="7">
        <f t="shared" si="8"/>
        <v>1</v>
      </c>
      <c r="E4" s="3">
        <f t="array" ref="E4">XLOOKUP(A4,'Dados Funil'!$A:$A,'Dados Funil'!$K:$K,"")</f>
        <v>-50.32258065</v>
      </c>
      <c r="F4" s="5">
        <f t="array" ref="F4">XLOOKUP(A4,'Dados Funil'!$A:$A,'Dados Funil'!$L:$L,"")</f>
        <v>-0.218487395</v>
      </c>
      <c r="G4" s="4" t="str">
        <f>IFERROR(__xludf.DUMMYFUNCTION("""COMPUTED_VALUE"""),"[SKL] Midia Paga - Quente")</f>
        <v>[SKL] Midia Paga - Quente</v>
      </c>
      <c r="H4" s="12">
        <f>IFERROR(__xludf.DUMMYFUNCTION("""COMPUTED_VALUE"""),-19219.29090909094)</f>
        <v>-19219.29091</v>
      </c>
      <c r="I4" s="7">
        <f t="shared" si="2"/>
        <v>0.1166894081</v>
      </c>
      <c r="J4" s="7">
        <f t="shared" si="9"/>
        <v>0.9208661243</v>
      </c>
      <c r="K4" s="6">
        <f t="array" ref="K4">XLOOKUP(G4,'Dados Funil'!A:A,'Dados Funil'!O:O,"")</f>
        <v>-1.850786344</v>
      </c>
      <c r="L4" s="4" t="str">
        <f>IFERROR(__xludf.DUMMYFUNCTION("""COMPUTED_VALUE"""),"[SKL] CRM - WhatsApp")</f>
        <v>[SKL] CRM - WhatsApp</v>
      </c>
      <c r="M4" s="12">
        <f>IFERROR(__xludf.DUMMYFUNCTION("""COMPUTED_VALUE"""),-41074.93617021276)</f>
        <v>-41074.93617</v>
      </c>
      <c r="N4" s="7">
        <f t="shared" si="3"/>
        <v>0.1133525861</v>
      </c>
      <c r="O4" s="7">
        <f t="shared" si="10"/>
        <v>0.8311544342</v>
      </c>
      <c r="P4" s="12">
        <f t="array" ref="P4">XLOOKUP(L4,'Dados Funil'!A:A,'Dados Funil'!AM:AM,"")</f>
        <v>-1579.805237</v>
      </c>
      <c r="Q4" s="5">
        <f t="array" ref="Q4">XLOOKUP(L4,'Dados Funil'!A:A,'Dados Funil'!AN:AN,"")</f>
        <v>-0.7485190697</v>
      </c>
      <c r="R4" s="4"/>
      <c r="S4" s="4"/>
      <c r="T4" s="7" t="str">
        <f t="shared" si="4"/>
        <v/>
      </c>
      <c r="U4" s="4" t="str">
        <f t="shared" si="11"/>
        <v/>
      </c>
      <c r="V4" s="4" t="str">
        <f t="array" ref="V4">XLOOKUP(R4,'Dados Funil'!$A:$A,'Dados Funil'!$K:$K,"")</f>
        <v/>
      </c>
      <c r="W4" s="4" t="str">
        <f t="array" ref="W4">XLOOKUP(R4,'Dados Funil'!$A:$A,'Dados Funil'!$L:$L,"")</f>
        <v/>
      </c>
      <c r="X4" s="4" t="str">
        <f>IFERROR(__xludf.DUMMYFUNCTION("""COMPUTED_VALUE"""),"[SKL] CRM - Email")</f>
        <v>[SKL] CRM - Email</v>
      </c>
      <c r="Y4" s="12">
        <f>IFERROR(__xludf.DUMMYFUNCTION("""COMPUTED_VALUE"""),10673.142187499996)</f>
        <v>10673.14219</v>
      </c>
      <c r="Z4" s="7">
        <f t="shared" si="5"/>
        <v>0.1583177676</v>
      </c>
      <c r="AA4" s="7">
        <f t="shared" si="12"/>
        <v>0.9616432591</v>
      </c>
      <c r="AB4" s="6">
        <f t="array" ref="AB4">XLOOKUP(X4,'Dados Funil'!A:A,'Dados Funil'!O:O,"")</f>
        <v>9.430803571</v>
      </c>
      <c r="AC4" s="4" t="s">
        <v>98</v>
      </c>
      <c r="AD4" s="12">
        <v>10673.142187499996</v>
      </c>
      <c r="AE4" s="7">
        <v>0.1583177675514206</v>
      </c>
      <c r="AF4" s="7">
        <v>0.9616432591323569</v>
      </c>
      <c r="AG4" s="12">
        <f t="array" ref="AG4">XLOOKUP(AC4,'Dados Funil'!A:A,'Dados Funil'!AM:AM,"")</f>
        <v>-869.6</v>
      </c>
      <c r="AH4" s="5">
        <f t="array" ref="AH4">XLOOKUP(AC4,'Dados Funil'!A:A,'Dados Funil'!AN:AN,"")</f>
        <v>-0.3227195131</v>
      </c>
      <c r="AI4" s="9" t="str">
        <f>IFERROR(__xludf.DUMMYFUNCTION("""COMPUTED_VALUE"""),"[SKL] Outros")</f>
        <v>[SKL] Outros</v>
      </c>
      <c r="AJ4" s="11">
        <f>IFERROR(__xludf.DUMMYFUNCTION("""COMPUTED_VALUE"""),189.72822580645155)</f>
        <v>189.7282258</v>
      </c>
      <c r="AK4" s="10">
        <f>IFERROR(__xludf.DUMMYFUNCTION("""COMPUTED_VALUE"""),0.26251896813353565)</f>
        <v>0.2625189681</v>
      </c>
      <c r="AL4" s="9">
        <f>IFERROR(__xludf.DUMMYFUNCTION("""COMPUTED_VALUE"""),4264.624277456647)</f>
        <v>4264.624277</v>
      </c>
      <c r="AM4" s="9">
        <f t="shared" si="6"/>
        <v>212409.2419</v>
      </c>
      <c r="AN4" s="9" t="str">
        <f>IFERROR(__xludf.DUMMYFUNCTION("""COMPUTED_VALUE"""),"[SKL] Outros")</f>
        <v>[SKL] Outros</v>
      </c>
      <c r="AO4" s="11">
        <f>IFERROR(__xludf.DUMMYFUNCTION("""COMPUTED_VALUE"""),50.0)</f>
        <v>50</v>
      </c>
      <c r="AP4" s="10">
        <f>IFERROR(__xludf.DUMMYFUNCTION("""COMPUTED_VALUE"""),0.46)</f>
        <v>0.46</v>
      </c>
      <c r="AQ4" s="14">
        <f>IFERROR(__xludf.DUMMYFUNCTION("""COMPUTED_VALUE"""),3671.1304347826085)</f>
        <v>3671.130435</v>
      </c>
      <c r="AR4" s="9">
        <f t="shared" si="7"/>
        <v>84436</v>
      </c>
    </row>
    <row r="5">
      <c r="A5" s="4"/>
      <c r="B5" s="4"/>
      <c r="C5" s="7" t="str">
        <f t="shared" si="1"/>
        <v/>
      </c>
      <c r="D5" s="4" t="str">
        <f t="shared" si="8"/>
        <v/>
      </c>
      <c r="E5" s="4" t="str">
        <f t="array" ref="E5">XLOOKUP(A5,'Dados Funil'!$A:$A,'Dados Funil'!$K:$K,"")</f>
        <v/>
      </c>
      <c r="F5" s="4" t="str">
        <f t="array" ref="F5">XLOOKUP(A5,'Dados Funil'!$A:$A,'Dados Funil'!$L:$L,"")</f>
        <v/>
      </c>
      <c r="G5" s="4" t="str">
        <f>IFERROR(__xludf.DUMMYFUNCTION("""COMPUTED_VALUE"""),"[SKL] Site")</f>
        <v>[SKL] Site</v>
      </c>
      <c r="H5" s="12">
        <f>IFERROR(__xludf.DUMMYFUNCTION("""COMPUTED_VALUE"""),-13033.719194724052)</f>
        <v>-13033.71919</v>
      </c>
      <c r="I5" s="7">
        <f t="shared" si="2"/>
        <v>0.0791338757</v>
      </c>
      <c r="J5" s="7">
        <f t="shared" si="9"/>
        <v>1</v>
      </c>
      <c r="K5" s="6">
        <f t="array" ref="K5">XLOOKUP(G5,'Dados Funil'!A:A,'Dados Funil'!O:O,"")</f>
        <v>-5.216564238</v>
      </c>
      <c r="L5" s="4" t="str">
        <f>IFERROR(__xludf.DUMMYFUNCTION("""COMPUTED_VALUE"""),"[SKL] Social")</f>
        <v>[SKL] Social</v>
      </c>
      <c r="M5" s="12">
        <f>IFERROR(__xludf.DUMMYFUNCTION("""COMPUTED_VALUE"""),-21200.029702970296)</f>
        <v>-21200.0297</v>
      </c>
      <c r="N5" s="7">
        <f t="shared" si="3"/>
        <v>0.05850473346</v>
      </c>
      <c r="O5" s="7">
        <f t="shared" si="10"/>
        <v>0.8896591677</v>
      </c>
      <c r="P5" s="12">
        <f t="array" ref="P5">XLOOKUP(L5,'Dados Funil'!A:A,'Dados Funil'!AM:AM,"")</f>
        <v>-1413.335314</v>
      </c>
      <c r="Q5" s="5">
        <f t="array" ref="Q5">XLOOKUP(L5,'Dados Funil'!A:A,'Dados Funil'!AN:AN,"")</f>
        <v>-0.6997395425</v>
      </c>
      <c r="R5" s="4"/>
      <c r="S5" s="4"/>
      <c r="T5" s="7" t="str">
        <f t="shared" si="4"/>
        <v/>
      </c>
      <c r="U5" s="4" t="str">
        <f t="shared" si="11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 t="str">
        <f>IFERROR(__xludf.DUMMYFUNCTION("""COMPUTED_VALUE"""),"[SKL] Chat")</f>
        <v>[SKL] Chat</v>
      </c>
      <c r="Y5" s="12">
        <f>IFERROR(__xludf.DUMMYFUNCTION("""COMPUTED_VALUE"""),2585.8559999999998)</f>
        <v>2585.856</v>
      </c>
      <c r="Z5" s="7">
        <f t="shared" si="5"/>
        <v>0.03835674087</v>
      </c>
      <c r="AA5" s="7">
        <f t="shared" si="12"/>
        <v>1</v>
      </c>
      <c r="AB5" s="6">
        <f t="array" ref="AB5">XLOOKUP(X5,'Dados Funil'!A:A,'Dados Funil'!O:O,"")</f>
        <v>14</v>
      </c>
      <c r="AC5" s="4" t="s">
        <v>99</v>
      </c>
      <c r="AD5" s="12">
        <v>2585.8559999999998</v>
      </c>
      <c r="AE5" s="7">
        <v>0.03835674086764305</v>
      </c>
      <c r="AF5" s="7">
        <v>1.0</v>
      </c>
      <c r="AG5" s="12">
        <f t="array" ref="AG5">XLOOKUP(AC5,'Dados Funil'!A:A,'Dados Funil'!AM:AM,"")</f>
        <v>-4617.6</v>
      </c>
      <c r="AH5" s="5">
        <f t="array" ref="AH5">XLOOKUP(AC5,'Dados Funil'!A:A,'Dados Funil'!AN:AN,"")</f>
        <v>-1</v>
      </c>
      <c r="AI5" s="9" t="str">
        <f>IFERROR(__xludf.DUMMYFUNCTION("""COMPUTED_VALUE"""),"[SKL] CRM - WhatsApp")</f>
        <v>[SKL] CRM - WhatsApp</v>
      </c>
      <c r="AJ5" s="11">
        <f>IFERROR(__xludf.DUMMYFUNCTION("""COMPUTED_VALUE"""),230.32258064516117)</f>
        <v>230.3225806</v>
      </c>
      <c r="AK5" s="10">
        <f>IFERROR(__xludf.DUMMYFUNCTION("""COMPUTED_VALUE"""),0.2014285714285714)</f>
        <v>0.2014285714</v>
      </c>
      <c r="AL5" s="9">
        <f>IFERROR(__xludf.DUMMYFUNCTION("""COMPUTED_VALUE"""),2110.574468085106)</f>
        <v>2110.574468</v>
      </c>
      <c r="AM5" s="9">
        <f t="shared" si="6"/>
        <v>97917.03871</v>
      </c>
      <c r="AN5" s="9" t="str">
        <f>IFERROR(__xludf.DUMMYFUNCTION("""COMPUTED_VALUE"""),"[SKL] CRM - WhatsApp")</f>
        <v>[SKL] CRM - WhatsApp</v>
      </c>
      <c r="AO5" s="11">
        <f>IFERROR(__xludf.DUMMYFUNCTION("""COMPUTED_VALUE"""),180.0)</f>
        <v>180</v>
      </c>
      <c r="AP5" s="10">
        <f>IFERROR(__xludf.DUMMYFUNCTION("""COMPUTED_VALUE"""),0.14444444444444443)</f>
        <v>0.1444444444</v>
      </c>
      <c r="AQ5" s="14">
        <f>IFERROR(__xludf.DUMMYFUNCTION("""COMPUTED_VALUE"""),530.7692307692307)</f>
        <v>530.7692308</v>
      </c>
      <c r="AR5" s="9">
        <f t="shared" si="7"/>
        <v>13800</v>
      </c>
    </row>
    <row r="6">
      <c r="A6" s="4"/>
      <c r="B6" s="4"/>
      <c r="C6" s="7" t="str">
        <f t="shared" si="1"/>
        <v/>
      </c>
      <c r="D6" s="4" t="str">
        <f t="shared" si="8"/>
        <v/>
      </c>
      <c r="E6" s="4" t="str">
        <f t="array" ref="E6">XLOOKUP(A6,'Dados Funil'!$A:$A,'Dados Funil'!$K:$K,"")</f>
        <v/>
      </c>
      <c r="F6" s="4" t="str">
        <f t="array" ref="F6">XLOOKUP(A6,'Dados Funil'!$A:$A,'Dados Funil'!$L:$L,"")</f>
        <v/>
      </c>
      <c r="G6" s="4"/>
      <c r="H6" s="4"/>
      <c r="I6" s="7" t="str">
        <f t="shared" si="2"/>
        <v/>
      </c>
      <c r="J6" s="4" t="str">
        <f t="shared" si="9"/>
        <v/>
      </c>
      <c r="K6" s="4" t="str">
        <f t="array" ref="K6">XLOOKUP(G6,'Dados Funil'!A:A,'Dados Funil'!O:O,"")</f>
        <v/>
      </c>
      <c r="L6" s="4" t="str">
        <f>IFERROR(__xludf.DUMMYFUNCTION("""COMPUTED_VALUE"""),"[SKL] Outros")</f>
        <v>[SKL] Outros</v>
      </c>
      <c r="M6" s="12">
        <f>IFERROR(__xludf.DUMMYFUNCTION("""COMPUTED_VALUE"""),-13650.358381502889)</f>
        <v>-13650.35838</v>
      </c>
      <c r="N6" s="7">
        <f t="shared" si="3"/>
        <v>0.03767025754</v>
      </c>
      <c r="O6" s="7">
        <f t="shared" si="10"/>
        <v>0.9273294252</v>
      </c>
      <c r="P6" s="12">
        <f t="array" ref="P6">XLOOKUP(L6,'Dados Funil'!A:A,'Dados Funil'!AM:AM,"")</f>
        <v>-593.4938427</v>
      </c>
      <c r="Q6" s="5">
        <f t="array" ref="Q6">XLOOKUP(L6,'Dados Funil'!A:A,'Dados Funil'!AN:AN,"")</f>
        <v>-0.1391667364</v>
      </c>
      <c r="R6" s="4"/>
      <c r="S6" s="4"/>
      <c r="T6" s="7" t="str">
        <f t="shared" si="4"/>
        <v/>
      </c>
      <c r="U6" s="4" t="str">
        <f t="shared" si="11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2"/>
        <v/>
      </c>
      <c r="AB6" s="4" t="str">
        <f t="array" ref="AB6">XLOOKUP(X6,'Dados Funil'!A:A,'Dados Funil'!O:O,"")</f>
        <v/>
      </c>
      <c r="AC6" s="4"/>
      <c r="AD6" s="4"/>
      <c r="AE6" s="7" t="str">
        <f t="shared" ref="AE6:AE1000" si="13">IF(AD6="","",AD6/SUM($AD$2:$AD$1000))</f>
        <v/>
      </c>
      <c r="AF6" s="4" t="str">
        <f t="shared" ref="AF6:AF11" si="14">IF(AE6="","",AE6+AF5)</f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CRM - Email")</f>
        <v>[SKL] CRM - Email</v>
      </c>
      <c r="AJ6" s="11">
        <f>IFERROR(__xludf.DUMMYFUNCTION("""COMPUTED_VALUE"""),143.19483870967736)</f>
        <v>143.1948387</v>
      </c>
      <c r="AK6" s="10">
        <f>IFERROR(__xludf.DUMMYFUNCTION("""COMPUTED_VALUE"""),0.19140625)</f>
        <v>0.19140625</v>
      </c>
      <c r="AL6" s="9">
        <f>IFERROR(__xludf.DUMMYFUNCTION("""COMPUTED_VALUE"""),2694.5999999999995)</f>
        <v>2694.6</v>
      </c>
      <c r="AM6" s="9">
        <f t="shared" si="6"/>
        <v>73854.63987</v>
      </c>
      <c r="AN6" s="9" t="str">
        <f>IFERROR(__xludf.DUMMYFUNCTION("""COMPUTED_VALUE"""),"[SKL] CRM - Email")</f>
        <v>[SKL] CRM - Email</v>
      </c>
      <c r="AO6" s="11">
        <f>IFERROR(__xludf.DUMMYFUNCTION("""COMPUTED_VALUE"""),42.0)</f>
        <v>42</v>
      </c>
      <c r="AP6" s="10">
        <f>IFERROR(__xludf.DUMMYFUNCTION("""COMPUTED_VALUE"""),0.2857142857142857)</f>
        <v>0.2857142857</v>
      </c>
      <c r="AQ6" s="14">
        <f>IFERROR(__xludf.DUMMYFUNCTION("""COMPUTED_VALUE"""),1825.0)</f>
        <v>1825</v>
      </c>
      <c r="AR6" s="9">
        <f t="shared" si="7"/>
        <v>21900</v>
      </c>
    </row>
    <row r="7">
      <c r="A7" s="4"/>
      <c r="B7" s="4"/>
      <c r="C7" s="7" t="str">
        <f t="shared" si="1"/>
        <v/>
      </c>
      <c r="D7" s="4" t="str">
        <f t="shared" si="8"/>
        <v/>
      </c>
      <c r="E7" s="4" t="str">
        <f t="array" ref="E7">XLOOKUP(A7,'Dados Funil'!$A:$A,'Dados Funil'!$K:$K,"")</f>
        <v/>
      </c>
      <c r="F7" s="4" t="str">
        <f t="array" ref="F7">XLOOKUP(A7,'Dados Funil'!$A:$A,'Dados Funil'!$L:$L,"")</f>
        <v/>
      </c>
      <c r="G7" s="4"/>
      <c r="H7" s="4"/>
      <c r="I7" s="7" t="str">
        <f t="shared" si="2"/>
        <v/>
      </c>
      <c r="J7" s="4" t="str">
        <f t="shared" si="9"/>
        <v/>
      </c>
      <c r="K7" s="4" t="str">
        <f t="array" ref="K7">XLOOKUP(G7,'Dados Funil'!A:A,'Dados Funil'!O:O,"")</f>
        <v/>
      </c>
      <c r="L7" s="4" t="str">
        <f>IFERROR(__xludf.DUMMYFUNCTION("""COMPUTED_VALUE"""),"[SKL] CRM - Email")</f>
        <v>[SKL] CRM - Email</v>
      </c>
      <c r="M7" s="12">
        <f>IFERROR(__xludf.DUMMYFUNCTION("""COMPUTED_VALUE"""),-10435.199999999993)</f>
        <v>-10435.2</v>
      </c>
      <c r="N7" s="7">
        <f t="shared" si="3"/>
        <v>0.02879753487</v>
      </c>
      <c r="O7" s="7">
        <f t="shared" si="10"/>
        <v>0.9561269601</v>
      </c>
      <c r="P7" s="12">
        <f t="array" ref="P7">XLOOKUP(L7,'Dados Funil'!A:A,'Dados Funil'!AM:AM,"")</f>
        <v>-869.6</v>
      </c>
      <c r="Q7" s="5">
        <f t="array" ref="Q7">XLOOKUP(L7,'Dados Funil'!A:A,'Dados Funil'!AN:AN,"")</f>
        <v>-0.3227195131</v>
      </c>
      <c r="R7" s="4"/>
      <c r="S7" s="4"/>
      <c r="T7" s="7" t="str">
        <f t="shared" si="4"/>
        <v/>
      </c>
      <c r="U7" s="4" t="str">
        <f t="shared" si="11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2"/>
        <v/>
      </c>
      <c r="AB7" s="4" t="str">
        <f t="array" ref="AB7">XLOOKUP(X7,'Dados Funil'!A:A,'Dados Funil'!O:O,"")</f>
        <v/>
      </c>
      <c r="AC7" s="4"/>
      <c r="AD7" s="4"/>
      <c r="AE7" s="7" t="str">
        <f t="shared" si="13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IFERROR(__xludf.DUMMYFUNCTION("""COMPUTED_VALUE"""),"[SKL] Site")</f>
        <v>[SKL] Site</v>
      </c>
      <c r="AJ7" s="11">
        <f>IFERROR(__xludf.DUMMYFUNCTION("""COMPUTED_VALUE"""),91.7816476031358)</f>
        <v>91.7816476</v>
      </c>
      <c r="AK7" s="10">
        <f>IFERROR(__xludf.DUMMYFUNCTION("""COMPUTED_VALUE"""),0.21393034825870647)</f>
        <v>0.2139303483</v>
      </c>
      <c r="AL7" s="9">
        <f>IFERROR(__xludf.DUMMYFUNCTION("""COMPUTED_VALUE"""),3674.3023255813955)</f>
        <v>3674.302326</v>
      </c>
      <c r="AM7" s="9">
        <f t="shared" si="6"/>
        <v>72144.48464</v>
      </c>
      <c r="AN7" s="9" t="str">
        <f>IFERROR(__xludf.DUMMYFUNCTION("""COMPUTED_VALUE"""),"[SKL] Site")</f>
        <v>[SKL] Site</v>
      </c>
      <c r="AO7" s="11">
        <f>IFERROR(__xludf.DUMMYFUNCTION("""COMPUTED_VALUE"""),68.0)</f>
        <v>68</v>
      </c>
      <c r="AP7" s="10">
        <f>IFERROR(__xludf.DUMMYFUNCTION("""COMPUTED_VALUE"""),0.16176470588235295)</f>
        <v>0.1617647059</v>
      </c>
      <c r="AQ7" s="14">
        <f>IFERROR(__xludf.DUMMYFUNCTION("""COMPUTED_VALUE"""),3068.590909090909)</f>
        <v>3068.590909</v>
      </c>
      <c r="AR7" s="9">
        <f t="shared" si="7"/>
        <v>33754.5</v>
      </c>
    </row>
    <row r="8">
      <c r="A8" s="4"/>
      <c r="B8" s="4"/>
      <c r="C8" s="7" t="str">
        <f t="shared" si="1"/>
        <v/>
      </c>
      <c r="D8" s="4" t="str">
        <f t="shared" si="8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9"/>
        <v/>
      </c>
      <c r="K8" s="4" t="str">
        <f t="array" ref="K8">XLOOKUP(G8,'Dados Funil'!A:A,'Dados Funil'!O:O,"")</f>
        <v/>
      </c>
      <c r="L8" s="4" t="str">
        <f>IFERROR(__xludf.DUMMYFUNCTION("""COMPUTED_VALUE"""),"[SKL] Chat")</f>
        <v>[SKL] Chat</v>
      </c>
      <c r="M8" s="12">
        <f>IFERROR(__xludf.DUMMYFUNCTION("""COMPUTED_VALUE"""),-9235.199999999999)</f>
        <v>-9235.2</v>
      </c>
      <c r="N8" s="7">
        <f t="shared" si="3"/>
        <v>0.02548595082</v>
      </c>
      <c r="O8" s="7">
        <f t="shared" si="10"/>
        <v>0.9816129109</v>
      </c>
      <c r="P8" s="12">
        <f t="array" ref="P8">XLOOKUP(L8,'Dados Funil'!A:A,'Dados Funil'!AM:AM,"")</f>
        <v>-4617.6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1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2"/>
        <v/>
      </c>
      <c r="AB8" s="4" t="str">
        <f t="array" ref="AB8">XLOOKUP(X8,'Dados Funil'!A:A,'Dados Funil'!O:O,"")</f>
        <v/>
      </c>
      <c r="AC8" s="4"/>
      <c r="AD8" s="4"/>
      <c r="AE8" s="7" t="str">
        <f t="shared" si="13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IFERROR(__xludf.DUMMYFUNCTION("""COMPUTED_VALUE"""),"[SKL] Social")</f>
        <v>[SKL] Social</v>
      </c>
      <c r="AJ8" s="11">
        <f>IFERROR(__xludf.DUMMYFUNCTION("""COMPUTED_VALUE"""),166.04126847915114)</f>
        <v>166.0412685</v>
      </c>
      <c r="AK8" s="10">
        <f>IFERROR(__xludf.DUMMYFUNCTION("""COMPUTED_VALUE"""),0.16134185303514376)</f>
        <v>0.161341853</v>
      </c>
      <c r="AL8" s="9">
        <f>IFERROR(__xludf.DUMMYFUNCTION("""COMPUTED_VALUE"""),2019.8019801980197)</f>
        <v>2019.80198</v>
      </c>
      <c r="AM8" s="9">
        <f t="shared" si="6"/>
        <v>54109.29516</v>
      </c>
      <c r="AN8" s="9" t="str">
        <f>IFERROR(__xludf.DUMMYFUNCTION("""COMPUTED_VALUE"""),"[SKL] Social")</f>
        <v>[SKL] Social</v>
      </c>
      <c r="AO8" s="11">
        <f>IFERROR(__xludf.DUMMYFUNCTION("""COMPUTED_VALUE"""),56.0)</f>
        <v>56</v>
      </c>
      <c r="AP8" s="10">
        <f>IFERROR(__xludf.DUMMYFUNCTION("""COMPUTED_VALUE"""),0.26785714285714285)</f>
        <v>0.2678571429</v>
      </c>
      <c r="AQ8" s="14">
        <f>IFERROR(__xludf.DUMMYFUNCTION("""COMPUTED_VALUE"""),606.4666666666667)</f>
        <v>606.4666667</v>
      </c>
      <c r="AR8" s="9">
        <f t="shared" si="7"/>
        <v>9097</v>
      </c>
    </row>
    <row r="9">
      <c r="A9" s="4"/>
      <c r="B9" s="4"/>
      <c r="C9" s="7" t="str">
        <f t="shared" si="1"/>
        <v/>
      </c>
      <c r="D9" s="4" t="str">
        <f t="shared" si="8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9"/>
        <v/>
      </c>
      <c r="K9" s="4" t="str">
        <f t="array" ref="K9">XLOOKUP(G9,'Dados Funil'!A:A,'Dados Funil'!O:O,"")</f>
        <v/>
      </c>
      <c r="L9" s="4" t="str">
        <f>IFERROR(__xludf.DUMMYFUNCTION("""COMPUTED_VALUE"""),"[SKL] Site")</f>
        <v>[SKL] Site</v>
      </c>
      <c r="M9" s="12">
        <f>IFERROR(__xludf.DUMMYFUNCTION("""COMPUTED_VALUE"""),-6662.825581395351)</f>
        <v>-6662.825581</v>
      </c>
      <c r="N9" s="7">
        <f t="shared" si="3"/>
        <v>0.01838708908</v>
      </c>
      <c r="O9" s="7">
        <f t="shared" si="10"/>
        <v>1</v>
      </c>
      <c r="P9" s="12">
        <f t="array" ref="P9">XLOOKUP(L9,'Dados Funil'!A:A,'Dados Funil'!AM:AM,"")</f>
        <v>-605.7114165</v>
      </c>
      <c r="Q9" s="5">
        <f t="array" ref="Q9">XLOOKUP(L9,'Dados Funil'!A:A,'Dados Funil'!AN:AN,"")</f>
        <v>-0.1648507289</v>
      </c>
      <c r="R9" s="4"/>
      <c r="S9" s="4"/>
      <c r="T9" s="7" t="str">
        <f t="shared" si="4"/>
        <v/>
      </c>
      <c r="U9" s="4" t="str">
        <f t="shared" si="11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2"/>
        <v/>
      </c>
      <c r="AB9" s="4" t="str">
        <f t="array" ref="AB9">XLOOKUP(X9,'Dados Funil'!A:A,'Dados Funil'!O:O,"")</f>
        <v/>
      </c>
      <c r="AC9" s="4"/>
      <c r="AD9" s="4"/>
      <c r="AE9" s="7" t="str">
        <f t="shared" si="13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Chat")</f>
        <v>[SKL] Chat</v>
      </c>
      <c r="AJ9" s="11">
        <f>IFERROR(__xludf.DUMMYFUNCTION("""COMPUTED_VALUE"""),7.9845161290322535)</f>
        <v>7.984516129</v>
      </c>
      <c r="AK9" s="10">
        <f>IFERROR(__xludf.DUMMYFUNCTION("""COMPUTED_VALUE"""),0.36)</f>
        <v>0.36</v>
      </c>
      <c r="AL9" s="9">
        <f>IFERROR(__xludf.DUMMYFUNCTION("""COMPUTED_VALUE"""),4617.599999999999)</f>
        <v>4617.6</v>
      </c>
      <c r="AM9" s="9">
        <f t="shared" si="6"/>
        <v>13272.9486</v>
      </c>
      <c r="AN9" s="9" t="str">
        <f>IFERROR(__xludf.DUMMYFUNCTION("""COMPUTED_VALUE"""),"[SKL] Chat")</f>
        <v>[SKL] Chat</v>
      </c>
      <c r="AO9" s="11">
        <f>IFERROR(__xludf.DUMMYFUNCTION("""COMPUTED_VALUE"""),4.0)</f>
        <v>4</v>
      </c>
      <c r="AP9" s="10">
        <f>IFERROR(__xludf.DUMMYFUNCTION("""COMPUTED_VALUE"""),0.5)</f>
        <v>0.5</v>
      </c>
      <c r="AQ9" s="14">
        <f>IFERROR(__xludf.DUMMYFUNCTION("""COMPUTED_VALUE"""),0.0)</f>
        <v>0</v>
      </c>
      <c r="AR9" s="9">
        <f t="shared" si="7"/>
        <v>0</v>
      </c>
    </row>
    <row r="10">
      <c r="A10" s="4"/>
      <c r="B10" s="4"/>
      <c r="C10" s="7" t="str">
        <f t="shared" si="1"/>
        <v/>
      </c>
      <c r="D10" s="4" t="str">
        <f t="shared" si="8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9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0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1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2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13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</row>
    <row r="11">
      <c r="A11" s="4"/>
      <c r="B11" s="4"/>
      <c r="C11" s="7" t="str">
        <f t="shared" si="1"/>
        <v/>
      </c>
      <c r="D11" s="4" t="str">
        <f t="shared" si="8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9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0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1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2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13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</row>
    <row r="12">
      <c r="A12" s="4"/>
      <c r="B12" s="4"/>
      <c r="C12" s="7" t="str">
        <f t="shared" si="1"/>
        <v/>
      </c>
      <c r="D12" s="4" t="str">
        <f t="shared" si="8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9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0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1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2"/>
        <v/>
      </c>
      <c r="AB12" s="4" t="str">
        <f t="array" ref="AB12">XLOOKUP(X12,'Dados Funil'!A:A,'Dados Funil'!O:O,"")</f>
        <v/>
      </c>
      <c r="AE12" s="7" t="str">
        <f t="shared" si="13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</row>
    <row r="13">
      <c r="A13" s="4"/>
      <c r="B13" s="4"/>
      <c r="C13" s="7" t="str">
        <f t="shared" si="1"/>
        <v/>
      </c>
      <c r="D13" s="4" t="str">
        <f t="shared" si="8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9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0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1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2"/>
        <v/>
      </c>
      <c r="AB13" s="4" t="str">
        <f t="array" ref="AB13">XLOOKUP(X13,'Dados Funil'!A:A,'Dados Funil'!O:O,"")</f>
        <v/>
      </c>
      <c r="AE13" s="7" t="str">
        <f t="shared" si="13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</row>
    <row r="14">
      <c r="A14" s="4"/>
      <c r="B14" s="4"/>
      <c r="C14" s="7" t="str">
        <f t="shared" si="1"/>
        <v/>
      </c>
      <c r="D14" s="4" t="str">
        <f t="shared" si="8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9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0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1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2"/>
        <v/>
      </c>
      <c r="AB14" s="4" t="str">
        <f t="array" ref="AB14">XLOOKUP(X14,'Dados Funil'!A:A,'Dados Funil'!O:O,"")</f>
        <v/>
      </c>
      <c r="AE14" s="7" t="str">
        <f t="shared" si="13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</row>
    <row r="15">
      <c r="A15" s="4"/>
      <c r="B15" s="4"/>
      <c r="C15" s="7" t="str">
        <f t="shared" si="1"/>
        <v/>
      </c>
      <c r="D15" s="4" t="str">
        <f t="shared" si="8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9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0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1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2"/>
        <v/>
      </c>
      <c r="AB15" s="4" t="str">
        <f t="array" ref="AB15">XLOOKUP(X15,'Dados Funil'!A:A,'Dados Funil'!O:O,"")</f>
        <v/>
      </c>
      <c r="AE15" s="7" t="str">
        <f t="shared" si="13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</row>
    <row r="16">
      <c r="A16" s="4"/>
      <c r="B16" s="4"/>
      <c r="C16" s="7" t="str">
        <f t="shared" si="1"/>
        <v/>
      </c>
      <c r="D16" s="4" t="str">
        <f t="shared" si="8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9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0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1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2"/>
        <v/>
      </c>
      <c r="AB16" s="4" t="str">
        <f t="array" ref="AB16">XLOOKUP(X16,'Dados Funil'!A:A,'Dados Funil'!O:O,"")</f>
        <v/>
      </c>
      <c r="AE16" s="7" t="str">
        <f t="shared" si="13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8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9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0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1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2"/>
        <v/>
      </c>
      <c r="AB17" s="4" t="str">
        <f t="array" ref="AB17">XLOOKUP(X17,'Dados Funil'!A:A,'Dados Funil'!O:O,"")</f>
        <v/>
      </c>
      <c r="AE17" s="7" t="str">
        <f t="shared" si="13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8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9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0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1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2"/>
        <v/>
      </c>
      <c r="AB18" s="4" t="str">
        <f t="array" ref="AB18">XLOOKUP(X18,'Dados Funil'!A:A,'Dados Funil'!O:O,"")</f>
        <v/>
      </c>
      <c r="AE18" s="7" t="str">
        <f t="shared" si="13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8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9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0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1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2"/>
        <v/>
      </c>
      <c r="AB19" s="4" t="str">
        <f t="array" ref="AB19">XLOOKUP(X19,'Dados Funil'!A:A,'Dados Funil'!O:O,"")</f>
        <v/>
      </c>
      <c r="AE19" s="7" t="str">
        <f t="shared" si="13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8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9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0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1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2"/>
        <v/>
      </c>
      <c r="AB20" s="4" t="str">
        <f t="array" ref="AB20">XLOOKUP(X20,'Dados Funil'!A:A,'Dados Funil'!O:O,"")</f>
        <v/>
      </c>
      <c r="AE20" s="7" t="str">
        <f t="shared" si="13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8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9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0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1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2"/>
        <v/>
      </c>
      <c r="AB21" s="4" t="str">
        <f t="array" ref="AB21">XLOOKUP(X21,'Dados Funil'!A:A,'Dados Funil'!O:O,"")</f>
        <v/>
      </c>
      <c r="AE21" s="7" t="str">
        <f t="shared" si="13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8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9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0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1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2"/>
        <v/>
      </c>
      <c r="AB22" s="4" t="str">
        <f t="array" ref="AB22">XLOOKUP(X22,'Dados Funil'!A:A,'Dados Funil'!O:O,"")</f>
        <v/>
      </c>
      <c r="AE22" s="7" t="str">
        <f t="shared" si="13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8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9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0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1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2"/>
        <v/>
      </c>
      <c r="AB23" s="4" t="str">
        <f t="array" ref="AB23">XLOOKUP(X23,'Dados Funil'!A:A,'Dados Funil'!O:O,"")</f>
        <v/>
      </c>
      <c r="AE23" s="7" t="str">
        <f t="shared" si="13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8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9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0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1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2"/>
        <v/>
      </c>
      <c r="AB24" s="4" t="str">
        <f t="array" ref="AB24">XLOOKUP(X24,'Dados Funil'!A:A,'Dados Funil'!O:O,"")</f>
        <v/>
      </c>
      <c r="AE24" s="7" t="str">
        <f t="shared" si="13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8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9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0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1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2"/>
        <v/>
      </c>
      <c r="AB25" s="4" t="str">
        <f t="array" ref="AB25">XLOOKUP(X25,'Dados Funil'!A:A,'Dados Funil'!O:O,"")</f>
        <v/>
      </c>
      <c r="AE25" s="7" t="str">
        <f t="shared" si="13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8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9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0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1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2"/>
        <v/>
      </c>
      <c r="AB26" s="4" t="str">
        <f t="array" ref="AB26">XLOOKUP(X26,'Dados Funil'!A:A,'Dados Funil'!O:O,"")</f>
        <v/>
      </c>
      <c r="AE26" s="7" t="str">
        <f t="shared" si="13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8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9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0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1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2"/>
        <v/>
      </c>
      <c r="AB27" s="4" t="str">
        <f t="array" ref="AB27">XLOOKUP(X27,'Dados Funil'!A:A,'Dados Funil'!O:O,"")</f>
        <v/>
      </c>
      <c r="AE27" s="7" t="str">
        <f t="shared" si="13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8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9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0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1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2"/>
        <v/>
      </c>
      <c r="AB28" s="4" t="str">
        <f t="array" ref="AB28">XLOOKUP(X28,'Dados Funil'!A:A,'Dados Funil'!O:O,"")</f>
        <v/>
      </c>
      <c r="AE28" s="7" t="str">
        <f t="shared" si="13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8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9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0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1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2"/>
        <v/>
      </c>
      <c r="AB29" s="4" t="str">
        <f t="array" ref="AB29">XLOOKUP(X29,'Dados Funil'!A:A,'Dados Funil'!O:O,"")</f>
        <v/>
      </c>
      <c r="AE29" s="7" t="str">
        <f t="shared" si="13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8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9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0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1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2"/>
        <v/>
      </c>
      <c r="AB30" s="4" t="str">
        <f t="array" ref="AB30">XLOOKUP(X30,'Dados Funil'!A:A,'Dados Funil'!O:O,"")</f>
        <v/>
      </c>
      <c r="AE30" s="7" t="str">
        <f t="shared" si="13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8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9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0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1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2"/>
        <v/>
      </c>
      <c r="AB31" s="4" t="str">
        <f t="array" ref="AB31">XLOOKUP(X31,'Dados Funil'!A:A,'Dados Funil'!O:O,"")</f>
        <v/>
      </c>
      <c r="AE31" s="7" t="str">
        <f t="shared" si="13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8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9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0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1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2"/>
        <v/>
      </c>
      <c r="AB32" s="4" t="str">
        <f t="array" ref="AB32">XLOOKUP(X32,'Dados Funil'!A:A,'Dados Funil'!O:O,"")</f>
        <v/>
      </c>
      <c r="AE32" s="7" t="str">
        <f t="shared" si="13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8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9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0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1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2"/>
        <v/>
      </c>
      <c r="AB33" s="4" t="str">
        <f t="array" ref="AB33">XLOOKUP(X33,'Dados Funil'!A:A,'Dados Funil'!O:O,"")</f>
        <v/>
      </c>
      <c r="AE33" s="7" t="str">
        <f t="shared" si="13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8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9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0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1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2"/>
        <v/>
      </c>
      <c r="AB34" s="4" t="str">
        <f t="array" ref="AB34">XLOOKUP(X34,'Dados Funil'!A:A,'Dados Funil'!O:O,"")</f>
        <v/>
      </c>
      <c r="AE34" s="7" t="str">
        <f t="shared" si="13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8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9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0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1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2"/>
        <v/>
      </c>
      <c r="AB35" s="4" t="str">
        <f t="array" ref="AB35">XLOOKUP(X35,'Dados Funil'!A:A,'Dados Funil'!O:O,"")</f>
        <v/>
      </c>
      <c r="AE35" s="7" t="str">
        <f t="shared" si="13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8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9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0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1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2"/>
        <v/>
      </c>
      <c r="AB36" s="4" t="str">
        <f t="array" ref="AB36">XLOOKUP(X36,'Dados Funil'!A:A,'Dados Funil'!O:O,"")</f>
        <v/>
      </c>
      <c r="AE36" s="7" t="str">
        <f t="shared" si="13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8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9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0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1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2"/>
        <v/>
      </c>
      <c r="AB37" s="4" t="str">
        <f t="array" ref="AB37">XLOOKUP(X37,'Dados Funil'!A:A,'Dados Funil'!O:O,"")</f>
        <v/>
      </c>
      <c r="AE37" s="7" t="str">
        <f t="shared" si="13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8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9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0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1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2"/>
        <v/>
      </c>
      <c r="AB38" s="4" t="str">
        <f t="array" ref="AB38">XLOOKUP(X38,'Dados Funil'!A:A,'Dados Funil'!O:O,"")</f>
        <v/>
      </c>
      <c r="AE38" s="7" t="str">
        <f t="shared" si="13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8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9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0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1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2"/>
        <v/>
      </c>
      <c r="AB39" s="4" t="str">
        <f t="array" ref="AB39">XLOOKUP(X39,'Dados Funil'!A:A,'Dados Funil'!O:O,"")</f>
        <v/>
      </c>
      <c r="AE39" s="7" t="str">
        <f t="shared" si="13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8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9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0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1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2"/>
        <v/>
      </c>
      <c r="AB40" s="4" t="str">
        <f t="array" ref="AB40">XLOOKUP(X40,'Dados Funil'!A:A,'Dados Funil'!O:O,"")</f>
        <v/>
      </c>
      <c r="AE40" s="7" t="str">
        <f t="shared" si="13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8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9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0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1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2"/>
        <v/>
      </c>
      <c r="AB41" s="4" t="str">
        <f t="array" ref="AB41">XLOOKUP(X41,'Dados Funil'!A:A,'Dados Funil'!O:O,"")</f>
        <v/>
      </c>
      <c r="AE41" s="7" t="str">
        <f t="shared" si="13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8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9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0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1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2"/>
        <v/>
      </c>
      <c r="AB42" s="4" t="str">
        <f t="array" ref="AB42">XLOOKUP(X42,'Dados Funil'!A:A,'Dados Funil'!O:O,"")</f>
        <v/>
      </c>
      <c r="AE42" s="7" t="str">
        <f t="shared" si="13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8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9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0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1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2"/>
        <v/>
      </c>
      <c r="AB43" s="4" t="str">
        <f t="array" ref="AB43">XLOOKUP(X43,'Dados Funil'!A:A,'Dados Funil'!O:O,"")</f>
        <v/>
      </c>
      <c r="AE43" s="7" t="str">
        <f t="shared" si="13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8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9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0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1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2"/>
        <v/>
      </c>
      <c r="AB44" s="4" t="str">
        <f t="array" ref="AB44">XLOOKUP(X44,'Dados Funil'!A:A,'Dados Funil'!O:O,"")</f>
        <v/>
      </c>
      <c r="AE44" s="7" t="str">
        <f t="shared" si="13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8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9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0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1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2"/>
        <v/>
      </c>
      <c r="AB45" s="4" t="str">
        <f t="array" ref="AB45">XLOOKUP(X45,'Dados Funil'!A:A,'Dados Funil'!O:O,"")</f>
        <v/>
      </c>
      <c r="AE45" s="7" t="str">
        <f t="shared" si="13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8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9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0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1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2"/>
        <v/>
      </c>
      <c r="AB46" s="4" t="str">
        <f t="array" ref="AB46">XLOOKUP(X46,'Dados Funil'!A:A,'Dados Funil'!O:O,"")</f>
        <v/>
      </c>
      <c r="AE46" s="7" t="str">
        <f t="shared" si="13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8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9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0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1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2"/>
        <v/>
      </c>
      <c r="AB47" s="4" t="str">
        <f t="array" ref="AB47">XLOOKUP(X47,'Dados Funil'!A:A,'Dados Funil'!O:O,"")</f>
        <v/>
      </c>
      <c r="AE47" s="7" t="str">
        <f t="shared" si="13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8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9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0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1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2"/>
        <v/>
      </c>
      <c r="AB48" s="4" t="str">
        <f t="array" ref="AB48">XLOOKUP(X48,'Dados Funil'!A:A,'Dados Funil'!O:O,"")</f>
        <v/>
      </c>
      <c r="AE48" s="7" t="str">
        <f t="shared" si="13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8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9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0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1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2"/>
        <v/>
      </c>
      <c r="AB49" s="4" t="str">
        <f t="array" ref="AB49">XLOOKUP(X49,'Dados Funil'!A:A,'Dados Funil'!O:O,"")</f>
        <v/>
      </c>
      <c r="AE49" s="7" t="str">
        <f t="shared" si="13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8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9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0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1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2"/>
        <v/>
      </c>
      <c r="AB50" s="4" t="str">
        <f t="array" ref="AB50">XLOOKUP(X50,'Dados Funil'!A:A,'Dados Funil'!O:O,"")</f>
        <v/>
      </c>
      <c r="AE50" s="7" t="str">
        <f t="shared" si="13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8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9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0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1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2"/>
        <v/>
      </c>
      <c r="AB51" s="4" t="str">
        <f t="array" ref="AB51">XLOOKUP(X51,'Dados Funil'!A:A,'Dados Funil'!O:O,"")</f>
        <v/>
      </c>
      <c r="AE51" s="7" t="str">
        <f t="shared" si="13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8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9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0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1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2"/>
        <v/>
      </c>
      <c r="AB52" s="4" t="str">
        <f t="array" ref="AB52">XLOOKUP(X52,'Dados Funil'!A:A,'Dados Funil'!O:O,"")</f>
        <v/>
      </c>
      <c r="AE52" s="7" t="str">
        <f t="shared" si="13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8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9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0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1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2"/>
        <v/>
      </c>
      <c r="AB53" s="4" t="str">
        <f t="array" ref="AB53">XLOOKUP(X53,'Dados Funil'!A:A,'Dados Funil'!O:O,"")</f>
        <v/>
      </c>
      <c r="AE53" s="7" t="str">
        <f t="shared" si="13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8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9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0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1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2"/>
        <v/>
      </c>
      <c r="AB54" s="4" t="str">
        <f t="array" ref="AB54">XLOOKUP(X54,'Dados Funil'!A:A,'Dados Funil'!O:O,"")</f>
        <v/>
      </c>
      <c r="AE54" s="7" t="str">
        <f t="shared" si="13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8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9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0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1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2"/>
        <v/>
      </c>
      <c r="AB55" s="4" t="str">
        <f t="array" ref="AB55">XLOOKUP(X55,'Dados Funil'!A:A,'Dados Funil'!O:O,"")</f>
        <v/>
      </c>
      <c r="AE55" s="7" t="str">
        <f t="shared" si="13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8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9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0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1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2"/>
        <v/>
      </c>
      <c r="AB56" s="4" t="str">
        <f t="array" ref="AB56">XLOOKUP(X56,'Dados Funil'!A:A,'Dados Funil'!O:O,"")</f>
        <v/>
      </c>
      <c r="AE56" s="7" t="str">
        <f t="shared" si="13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8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9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0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1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2"/>
        <v/>
      </c>
      <c r="AB57" s="4" t="str">
        <f t="array" ref="AB57">XLOOKUP(X57,'Dados Funil'!A:A,'Dados Funil'!O:O,"")</f>
        <v/>
      </c>
      <c r="AE57" s="7" t="str">
        <f t="shared" si="13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8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9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0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1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2"/>
        <v/>
      </c>
      <c r="AB58" s="4" t="str">
        <f t="array" ref="AB58">XLOOKUP(X58,'Dados Funil'!A:A,'Dados Funil'!O:O,"")</f>
        <v/>
      </c>
      <c r="AE58" s="7" t="str">
        <f t="shared" si="13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8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9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0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1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2"/>
        <v/>
      </c>
      <c r="AB59" s="4" t="str">
        <f t="array" ref="AB59">XLOOKUP(X59,'Dados Funil'!A:A,'Dados Funil'!O:O,"")</f>
        <v/>
      </c>
      <c r="AE59" s="7" t="str">
        <f t="shared" si="13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8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9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0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1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2"/>
        <v/>
      </c>
      <c r="AB60" s="4" t="str">
        <f t="array" ref="AB60">XLOOKUP(X60,'Dados Funil'!A:A,'Dados Funil'!O:O,"")</f>
        <v/>
      </c>
      <c r="AE60" s="7" t="str">
        <f t="shared" si="13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8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9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0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1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2"/>
        <v/>
      </c>
      <c r="AB61" s="4" t="str">
        <f t="array" ref="AB61">XLOOKUP(X61,'Dados Funil'!A:A,'Dados Funil'!O:O,"")</f>
        <v/>
      </c>
      <c r="AE61" s="7" t="str">
        <f t="shared" si="13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8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9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0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1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2"/>
        <v/>
      </c>
      <c r="AB62" s="4" t="str">
        <f t="array" ref="AB62">XLOOKUP(X62,'Dados Funil'!A:A,'Dados Funil'!O:O,"")</f>
        <v/>
      </c>
      <c r="AE62" s="7" t="str">
        <f t="shared" si="13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8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9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0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1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2"/>
        <v/>
      </c>
      <c r="AB63" s="4" t="str">
        <f t="array" ref="AB63">XLOOKUP(X63,'Dados Funil'!A:A,'Dados Funil'!O:O,"")</f>
        <v/>
      </c>
      <c r="AE63" s="7" t="str">
        <f t="shared" si="13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8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9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0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1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2"/>
        <v/>
      </c>
      <c r="AB64" s="4" t="str">
        <f t="array" ref="AB64">XLOOKUP(X64,'Dados Funil'!A:A,'Dados Funil'!O:O,"")</f>
        <v/>
      </c>
      <c r="AE64" s="7" t="str">
        <f t="shared" si="13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8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9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0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1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2"/>
        <v/>
      </c>
      <c r="AB65" s="4" t="str">
        <f t="array" ref="AB65">XLOOKUP(X65,'Dados Funil'!A:A,'Dados Funil'!O:O,"")</f>
        <v/>
      </c>
      <c r="AE65" s="7" t="str">
        <f t="shared" si="13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8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9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0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1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2"/>
        <v/>
      </c>
      <c r="AB66" s="4" t="str">
        <f t="array" ref="AB66">XLOOKUP(X66,'Dados Funil'!A:A,'Dados Funil'!O:O,"")</f>
        <v/>
      </c>
      <c r="AE66" s="7" t="str">
        <f t="shared" si="13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8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9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0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1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2"/>
        <v/>
      </c>
      <c r="AB67" s="4" t="str">
        <f t="array" ref="AB67">XLOOKUP(X67,'Dados Funil'!A:A,'Dados Funil'!O:O,"")</f>
        <v/>
      </c>
      <c r="AE67" s="7" t="str">
        <f t="shared" si="13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8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9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0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1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2"/>
        <v/>
      </c>
      <c r="AB68" s="4" t="str">
        <f t="array" ref="AB68">XLOOKUP(X68,'Dados Funil'!A:A,'Dados Funil'!O:O,"")</f>
        <v/>
      </c>
      <c r="AE68" s="7" t="str">
        <f t="shared" si="13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8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9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0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1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2"/>
        <v/>
      </c>
      <c r="AB69" s="4" t="str">
        <f t="array" ref="AB69">XLOOKUP(X69,'Dados Funil'!A:A,'Dados Funil'!O:O,"")</f>
        <v/>
      </c>
      <c r="AE69" s="7" t="str">
        <f t="shared" si="13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8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9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0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1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2"/>
        <v/>
      </c>
      <c r="AB70" s="4" t="str">
        <f t="array" ref="AB70">XLOOKUP(X70,'Dados Funil'!A:A,'Dados Funil'!O:O,"")</f>
        <v/>
      </c>
      <c r="AE70" s="7" t="str">
        <f t="shared" si="13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8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9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0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1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2"/>
        <v/>
      </c>
      <c r="AB71" s="4" t="str">
        <f t="array" ref="AB71">XLOOKUP(X71,'Dados Funil'!A:A,'Dados Funil'!O:O,"")</f>
        <v/>
      </c>
      <c r="AE71" s="7" t="str">
        <f t="shared" si="13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8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9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0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1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2"/>
        <v/>
      </c>
      <c r="AB72" s="4" t="str">
        <f t="array" ref="AB72">XLOOKUP(X72,'Dados Funil'!A:A,'Dados Funil'!O:O,"")</f>
        <v/>
      </c>
      <c r="AE72" s="7" t="str">
        <f t="shared" si="13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8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9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0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1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2"/>
        <v/>
      </c>
      <c r="AB73" s="4" t="str">
        <f t="array" ref="AB73">XLOOKUP(X73,'Dados Funil'!A:A,'Dados Funil'!O:O,"")</f>
        <v/>
      </c>
      <c r="AE73" s="7" t="str">
        <f t="shared" si="13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8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9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0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1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2"/>
        <v/>
      </c>
      <c r="AB74" s="4" t="str">
        <f t="array" ref="AB74">XLOOKUP(X74,'Dados Funil'!A:A,'Dados Funil'!O:O,"")</f>
        <v/>
      </c>
      <c r="AE74" s="7" t="str">
        <f t="shared" si="13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8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9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0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1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2"/>
        <v/>
      </c>
      <c r="AB75" s="4" t="str">
        <f t="array" ref="AB75">XLOOKUP(X75,'Dados Funil'!A:A,'Dados Funil'!O:O,"")</f>
        <v/>
      </c>
      <c r="AE75" s="7" t="str">
        <f t="shared" si="13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8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9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0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1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2"/>
        <v/>
      </c>
      <c r="AB76" s="4" t="str">
        <f t="array" ref="AB76">XLOOKUP(X76,'Dados Funil'!A:A,'Dados Funil'!O:O,"")</f>
        <v/>
      </c>
      <c r="AE76" s="7" t="str">
        <f t="shared" si="13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8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9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0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1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2"/>
        <v/>
      </c>
      <c r="AB77" s="4" t="str">
        <f t="array" ref="AB77">XLOOKUP(X77,'Dados Funil'!A:A,'Dados Funil'!O:O,"")</f>
        <v/>
      </c>
      <c r="AE77" s="7" t="str">
        <f t="shared" si="13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8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9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0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1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2"/>
        <v/>
      </c>
      <c r="AB78" s="4" t="str">
        <f t="array" ref="AB78">XLOOKUP(X78,'Dados Funil'!A:A,'Dados Funil'!O:O,"")</f>
        <v/>
      </c>
      <c r="AE78" s="7" t="str">
        <f t="shared" si="13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8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9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0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1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2"/>
        <v/>
      </c>
      <c r="AB79" s="4" t="str">
        <f t="array" ref="AB79">XLOOKUP(X79,'Dados Funil'!A:A,'Dados Funil'!O:O,"")</f>
        <v/>
      </c>
      <c r="AE79" s="7" t="str">
        <f t="shared" si="13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8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9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0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1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2"/>
        <v/>
      </c>
      <c r="AB80" s="4" t="str">
        <f t="array" ref="AB80">XLOOKUP(X80,'Dados Funil'!A:A,'Dados Funil'!O:O,"")</f>
        <v/>
      </c>
      <c r="AE80" s="7" t="str">
        <f t="shared" si="13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8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9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0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1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2"/>
        <v/>
      </c>
      <c r="AB81" s="4" t="str">
        <f t="array" ref="AB81">XLOOKUP(X81,'Dados Funil'!A:A,'Dados Funil'!O:O,"")</f>
        <v/>
      </c>
      <c r="AE81" s="7" t="str">
        <f t="shared" si="13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8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9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0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1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2"/>
        <v/>
      </c>
      <c r="AB82" s="4" t="str">
        <f t="array" ref="AB82">XLOOKUP(X82,'Dados Funil'!A:A,'Dados Funil'!O:O,"")</f>
        <v/>
      </c>
      <c r="AE82" s="7" t="str">
        <f t="shared" si="13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8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9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0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1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2"/>
        <v/>
      </c>
      <c r="AB83" s="4" t="str">
        <f t="array" ref="AB83">XLOOKUP(X83,'Dados Funil'!A:A,'Dados Funil'!O:O,"")</f>
        <v/>
      </c>
      <c r="AE83" s="7" t="str">
        <f t="shared" si="13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8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9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0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1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2"/>
        <v/>
      </c>
      <c r="AB84" s="4" t="str">
        <f t="array" ref="AB84">XLOOKUP(X84,'Dados Funil'!A:A,'Dados Funil'!O:O,"")</f>
        <v/>
      </c>
      <c r="AE84" s="7" t="str">
        <f t="shared" si="13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8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9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0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1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2"/>
        <v/>
      </c>
      <c r="AB85" s="4" t="str">
        <f t="array" ref="AB85">XLOOKUP(X85,'Dados Funil'!A:A,'Dados Funil'!O:O,"")</f>
        <v/>
      </c>
      <c r="AE85" s="7" t="str">
        <f t="shared" si="13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8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9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0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1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2"/>
        <v/>
      </c>
      <c r="AB86" s="4" t="str">
        <f t="array" ref="AB86">XLOOKUP(X86,'Dados Funil'!A:A,'Dados Funil'!O:O,"")</f>
        <v/>
      </c>
      <c r="AE86" s="7" t="str">
        <f t="shared" si="13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8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9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0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1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2"/>
        <v/>
      </c>
      <c r="AB87" s="4" t="str">
        <f t="array" ref="AB87">XLOOKUP(X87,'Dados Funil'!A:A,'Dados Funil'!O:O,"")</f>
        <v/>
      </c>
      <c r="AE87" s="7" t="str">
        <f t="shared" si="13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8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9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0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1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2"/>
        <v/>
      </c>
      <c r="AB88" s="4" t="str">
        <f t="array" ref="AB88">XLOOKUP(X88,'Dados Funil'!A:A,'Dados Funil'!O:O,"")</f>
        <v/>
      </c>
      <c r="AE88" s="7" t="str">
        <f t="shared" si="13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8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9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0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1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2"/>
        <v/>
      </c>
      <c r="AB89" s="4" t="str">
        <f t="array" ref="AB89">XLOOKUP(X89,'Dados Funil'!A:A,'Dados Funil'!O:O,"")</f>
        <v/>
      </c>
      <c r="AE89" s="7" t="str">
        <f t="shared" si="13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8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9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0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1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2"/>
        <v/>
      </c>
      <c r="AB90" s="4" t="str">
        <f t="array" ref="AB90">XLOOKUP(X90,'Dados Funil'!A:A,'Dados Funil'!O:O,"")</f>
        <v/>
      </c>
      <c r="AE90" s="7" t="str">
        <f t="shared" si="13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8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9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0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1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2"/>
        <v/>
      </c>
      <c r="AB91" s="4" t="str">
        <f t="array" ref="AB91">XLOOKUP(X91,'Dados Funil'!A:A,'Dados Funil'!O:O,"")</f>
        <v/>
      </c>
      <c r="AE91" s="7" t="str">
        <f t="shared" si="13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8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9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0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1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2"/>
        <v/>
      </c>
      <c r="AB92" s="4" t="str">
        <f t="array" ref="AB92">XLOOKUP(X92,'Dados Funil'!A:A,'Dados Funil'!O:O,"")</f>
        <v/>
      </c>
      <c r="AE92" s="7" t="str">
        <f t="shared" si="13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8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9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0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1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2"/>
        <v/>
      </c>
      <c r="AB93" s="4" t="str">
        <f t="array" ref="AB93">XLOOKUP(X93,'Dados Funil'!A:A,'Dados Funil'!O:O,"")</f>
        <v/>
      </c>
      <c r="AE93" s="7" t="str">
        <f t="shared" si="13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8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9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0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1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2"/>
        <v/>
      </c>
      <c r="AB94" s="4" t="str">
        <f t="array" ref="AB94">XLOOKUP(X94,'Dados Funil'!A:A,'Dados Funil'!O:O,"")</f>
        <v/>
      </c>
      <c r="AE94" s="7" t="str">
        <f t="shared" si="13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8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9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0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1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2"/>
        <v/>
      </c>
      <c r="AB95" s="4" t="str">
        <f t="array" ref="AB95">XLOOKUP(X95,'Dados Funil'!A:A,'Dados Funil'!O:O,"")</f>
        <v/>
      </c>
      <c r="AE95" s="7" t="str">
        <f t="shared" si="13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8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9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0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1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2"/>
        <v/>
      </c>
      <c r="AB96" s="4" t="str">
        <f t="array" ref="AB96">XLOOKUP(X96,'Dados Funil'!A:A,'Dados Funil'!O:O,"")</f>
        <v/>
      </c>
      <c r="AE96" s="7" t="str">
        <f t="shared" si="13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8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9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0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1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2"/>
        <v/>
      </c>
      <c r="AB97" s="4" t="str">
        <f t="array" ref="AB97">XLOOKUP(X97,'Dados Funil'!A:A,'Dados Funil'!O:O,"")</f>
        <v/>
      </c>
      <c r="AE97" s="7" t="str">
        <f t="shared" si="13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8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9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0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1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2"/>
        <v/>
      </c>
      <c r="AB98" s="4" t="str">
        <f t="array" ref="AB98">XLOOKUP(X98,'Dados Funil'!A:A,'Dados Funil'!O:O,"")</f>
        <v/>
      </c>
      <c r="AE98" s="7" t="str">
        <f t="shared" si="13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8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9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0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1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2"/>
        <v/>
      </c>
      <c r="AB99" s="4" t="str">
        <f t="array" ref="AB99">XLOOKUP(X99,'Dados Funil'!A:A,'Dados Funil'!O:O,"")</f>
        <v/>
      </c>
      <c r="AE99" s="7" t="str">
        <f t="shared" si="13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8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9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0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1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2"/>
        <v/>
      </c>
      <c r="AB100" s="4" t="str">
        <f t="array" ref="AB100">XLOOKUP(X100,'Dados Funil'!A:A,'Dados Funil'!O:O,"")</f>
        <v/>
      </c>
      <c r="AE100" s="7" t="str">
        <f t="shared" si="13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8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9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0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1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2"/>
        <v/>
      </c>
      <c r="AB101" s="4" t="str">
        <f t="array" ref="AB101">XLOOKUP(X101,'Dados Funil'!A:A,'Dados Funil'!O:O,"")</f>
        <v/>
      </c>
      <c r="AE101" s="7" t="str">
        <f t="shared" si="13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8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9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0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1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2"/>
        <v/>
      </c>
      <c r="AB102" s="4" t="str">
        <f t="array" ref="AB102">XLOOKUP(X102,'Dados Funil'!A:A,'Dados Funil'!O:O,"")</f>
        <v/>
      </c>
      <c r="AE102" s="7" t="str">
        <f t="shared" si="13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8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9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0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1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2"/>
        <v/>
      </c>
      <c r="AB103" s="4" t="str">
        <f t="array" ref="AB103">XLOOKUP(X103,'Dados Funil'!A:A,'Dados Funil'!O:O,"")</f>
        <v/>
      </c>
      <c r="AE103" s="7" t="str">
        <f t="shared" si="13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8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9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0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1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2"/>
        <v/>
      </c>
      <c r="AB104" s="4" t="str">
        <f t="array" ref="AB104">XLOOKUP(X104,'Dados Funil'!A:A,'Dados Funil'!O:O,"")</f>
        <v/>
      </c>
      <c r="AE104" s="7" t="str">
        <f t="shared" si="13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8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9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0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1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2"/>
        <v/>
      </c>
      <c r="AB105" s="4" t="str">
        <f t="array" ref="AB105">XLOOKUP(X105,'Dados Funil'!A:A,'Dados Funil'!O:O,"")</f>
        <v/>
      </c>
      <c r="AE105" s="7" t="str">
        <f t="shared" si="13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8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9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0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1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2"/>
        <v/>
      </c>
      <c r="AB106" s="4" t="str">
        <f t="array" ref="AB106">XLOOKUP(X106,'Dados Funil'!A:A,'Dados Funil'!O:O,"")</f>
        <v/>
      </c>
      <c r="AE106" s="7" t="str">
        <f t="shared" si="13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8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9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0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1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2"/>
        <v/>
      </c>
      <c r="AB107" s="4" t="str">
        <f t="array" ref="AB107">XLOOKUP(X107,'Dados Funil'!A:A,'Dados Funil'!O:O,"")</f>
        <v/>
      </c>
      <c r="AE107" s="7" t="str">
        <f t="shared" si="13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8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9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0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1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2"/>
        <v/>
      </c>
      <c r="AB108" s="4" t="str">
        <f t="array" ref="AB108">XLOOKUP(X108,'Dados Funil'!A:A,'Dados Funil'!O:O,"")</f>
        <v/>
      </c>
      <c r="AE108" s="7" t="str">
        <f t="shared" si="13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8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9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0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1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2"/>
        <v/>
      </c>
      <c r="AB109" s="4" t="str">
        <f t="array" ref="AB109">XLOOKUP(X109,'Dados Funil'!A:A,'Dados Funil'!O:O,"")</f>
        <v/>
      </c>
      <c r="AE109" s="7" t="str">
        <f t="shared" si="13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8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9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0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1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2"/>
        <v/>
      </c>
      <c r="AB110" s="4" t="str">
        <f t="array" ref="AB110">XLOOKUP(X110,'Dados Funil'!A:A,'Dados Funil'!O:O,"")</f>
        <v/>
      </c>
      <c r="AE110" s="7" t="str">
        <f t="shared" si="13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8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9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0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1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2"/>
        <v/>
      </c>
      <c r="AB111" s="4" t="str">
        <f t="array" ref="AB111">XLOOKUP(X111,'Dados Funil'!A:A,'Dados Funil'!O:O,"")</f>
        <v/>
      </c>
      <c r="AE111" s="7" t="str">
        <f t="shared" si="13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8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9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0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1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2"/>
        <v/>
      </c>
      <c r="AB112" s="4" t="str">
        <f t="array" ref="AB112">XLOOKUP(X112,'Dados Funil'!A:A,'Dados Funil'!O:O,"")</f>
        <v/>
      </c>
      <c r="AE112" s="7" t="str">
        <f t="shared" si="13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8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9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0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1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2"/>
        <v/>
      </c>
      <c r="AB113" s="4" t="str">
        <f t="array" ref="AB113">XLOOKUP(X113,'Dados Funil'!A:A,'Dados Funil'!O:O,"")</f>
        <v/>
      </c>
      <c r="AE113" s="7" t="str">
        <f t="shared" si="13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8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9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0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1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2"/>
        <v/>
      </c>
      <c r="AB114" s="4" t="str">
        <f t="array" ref="AB114">XLOOKUP(X114,'Dados Funil'!A:A,'Dados Funil'!O:O,"")</f>
        <v/>
      </c>
      <c r="AE114" s="7" t="str">
        <f t="shared" si="13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8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9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0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1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2"/>
        <v/>
      </c>
      <c r="AB115" s="4" t="str">
        <f t="array" ref="AB115">XLOOKUP(X115,'Dados Funil'!A:A,'Dados Funil'!O:O,"")</f>
        <v/>
      </c>
      <c r="AE115" s="7" t="str">
        <f t="shared" si="13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8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9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0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1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2"/>
        <v/>
      </c>
      <c r="AB116" s="4" t="str">
        <f t="array" ref="AB116">XLOOKUP(X116,'Dados Funil'!A:A,'Dados Funil'!O:O,"")</f>
        <v/>
      </c>
      <c r="AE116" s="7" t="str">
        <f t="shared" si="13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8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9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0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1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2"/>
        <v/>
      </c>
      <c r="AB117" s="4" t="str">
        <f t="array" ref="AB117">XLOOKUP(X117,'Dados Funil'!A:A,'Dados Funil'!O:O,"")</f>
        <v/>
      </c>
      <c r="AE117" s="7" t="str">
        <f t="shared" si="13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8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9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0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1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2"/>
        <v/>
      </c>
      <c r="AB118" s="4" t="str">
        <f t="array" ref="AB118">XLOOKUP(X118,'Dados Funil'!A:A,'Dados Funil'!O:O,"")</f>
        <v/>
      </c>
      <c r="AE118" s="7" t="str">
        <f t="shared" si="13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8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9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0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1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2"/>
        <v/>
      </c>
      <c r="AB119" s="4" t="str">
        <f t="array" ref="AB119">XLOOKUP(X119,'Dados Funil'!A:A,'Dados Funil'!O:O,"")</f>
        <v/>
      </c>
      <c r="AE119" s="7" t="str">
        <f t="shared" si="13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8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9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0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1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2"/>
        <v/>
      </c>
      <c r="AB120" s="4" t="str">
        <f t="array" ref="AB120">XLOOKUP(X120,'Dados Funil'!A:A,'Dados Funil'!O:O,"")</f>
        <v/>
      </c>
      <c r="AE120" s="7" t="str">
        <f t="shared" si="13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8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9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0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1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2"/>
        <v/>
      </c>
      <c r="AB121" s="4" t="str">
        <f t="array" ref="AB121">XLOOKUP(X121,'Dados Funil'!A:A,'Dados Funil'!O:O,"")</f>
        <v/>
      </c>
      <c r="AE121" s="7" t="str">
        <f t="shared" si="13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8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9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0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1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2"/>
        <v/>
      </c>
      <c r="AB122" s="4" t="str">
        <f t="array" ref="AB122">XLOOKUP(X122,'Dados Funil'!A:A,'Dados Funil'!O:O,"")</f>
        <v/>
      </c>
      <c r="AE122" s="7" t="str">
        <f t="shared" si="13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8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9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0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1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2"/>
        <v/>
      </c>
      <c r="AB123" s="4" t="str">
        <f t="array" ref="AB123">XLOOKUP(X123,'Dados Funil'!A:A,'Dados Funil'!O:O,"")</f>
        <v/>
      </c>
      <c r="AE123" s="7" t="str">
        <f t="shared" si="13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8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9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0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1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2"/>
        <v/>
      </c>
      <c r="AB124" s="4" t="str">
        <f t="array" ref="AB124">XLOOKUP(X124,'Dados Funil'!A:A,'Dados Funil'!O:O,"")</f>
        <v/>
      </c>
      <c r="AE124" s="7" t="str">
        <f t="shared" si="13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8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9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0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1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2"/>
        <v/>
      </c>
      <c r="AB125" s="4" t="str">
        <f t="array" ref="AB125">XLOOKUP(X125,'Dados Funil'!A:A,'Dados Funil'!O:O,"")</f>
        <v/>
      </c>
      <c r="AE125" s="7" t="str">
        <f t="shared" si="13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8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9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0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1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2"/>
        <v/>
      </c>
      <c r="AB126" s="4" t="str">
        <f t="array" ref="AB126">XLOOKUP(X126,'Dados Funil'!A:A,'Dados Funil'!O:O,"")</f>
        <v/>
      </c>
      <c r="AE126" s="7" t="str">
        <f t="shared" si="13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8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9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0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1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2"/>
        <v/>
      </c>
      <c r="AB127" s="4" t="str">
        <f t="array" ref="AB127">XLOOKUP(X127,'Dados Funil'!A:A,'Dados Funil'!O:O,"")</f>
        <v/>
      </c>
      <c r="AE127" s="7" t="str">
        <f t="shared" si="13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8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9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0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1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2"/>
        <v/>
      </c>
      <c r="AB128" s="4" t="str">
        <f t="array" ref="AB128">XLOOKUP(X128,'Dados Funil'!A:A,'Dados Funil'!O:O,"")</f>
        <v/>
      </c>
      <c r="AE128" s="7" t="str">
        <f t="shared" si="13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8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9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0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1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2"/>
        <v/>
      </c>
      <c r="AB129" s="4" t="str">
        <f t="array" ref="AB129">XLOOKUP(X129,'Dados Funil'!A:A,'Dados Funil'!O:O,"")</f>
        <v/>
      </c>
      <c r="AE129" s="7" t="str">
        <f t="shared" si="13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8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9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0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1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2"/>
        <v/>
      </c>
      <c r="AB130" s="4" t="str">
        <f t="array" ref="AB130">XLOOKUP(X130,'Dados Funil'!A:A,'Dados Funil'!O:O,"")</f>
        <v/>
      </c>
      <c r="AE130" s="7" t="str">
        <f t="shared" si="13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8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9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0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1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2"/>
        <v/>
      </c>
      <c r="AB131" s="4" t="str">
        <f t="array" ref="AB131">XLOOKUP(X131,'Dados Funil'!A:A,'Dados Funil'!O:O,"")</f>
        <v/>
      </c>
      <c r="AE131" s="7" t="str">
        <f t="shared" si="13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8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9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0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1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2"/>
        <v/>
      </c>
      <c r="AB132" s="4" t="str">
        <f t="array" ref="AB132">XLOOKUP(X132,'Dados Funil'!A:A,'Dados Funil'!O:O,"")</f>
        <v/>
      </c>
      <c r="AE132" s="7" t="str">
        <f t="shared" si="13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8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9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0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1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2"/>
        <v/>
      </c>
      <c r="AB133" s="4" t="str">
        <f t="array" ref="AB133">XLOOKUP(X133,'Dados Funil'!A:A,'Dados Funil'!O:O,"")</f>
        <v/>
      </c>
      <c r="AE133" s="7" t="str">
        <f t="shared" si="13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8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9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0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1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2"/>
        <v/>
      </c>
      <c r="AB134" s="4" t="str">
        <f t="array" ref="AB134">XLOOKUP(X134,'Dados Funil'!A:A,'Dados Funil'!O:O,"")</f>
        <v/>
      </c>
      <c r="AE134" s="7" t="str">
        <f t="shared" si="13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8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9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0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1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2"/>
        <v/>
      </c>
      <c r="AB135" s="4" t="str">
        <f t="array" ref="AB135">XLOOKUP(X135,'Dados Funil'!A:A,'Dados Funil'!O:O,"")</f>
        <v/>
      </c>
      <c r="AE135" s="7" t="str">
        <f t="shared" si="13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8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9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0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1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2"/>
        <v/>
      </c>
      <c r="AB136" s="4" t="str">
        <f t="array" ref="AB136">XLOOKUP(X136,'Dados Funil'!A:A,'Dados Funil'!O:O,"")</f>
        <v/>
      </c>
      <c r="AE136" s="7" t="str">
        <f t="shared" si="13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8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9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0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1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2"/>
        <v/>
      </c>
      <c r="AB137" s="4" t="str">
        <f t="array" ref="AB137">XLOOKUP(X137,'Dados Funil'!A:A,'Dados Funil'!O:O,"")</f>
        <v/>
      </c>
      <c r="AE137" s="7" t="str">
        <f t="shared" si="13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8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9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0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1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2"/>
        <v/>
      </c>
      <c r="AB138" s="4" t="str">
        <f t="array" ref="AB138">XLOOKUP(X138,'Dados Funil'!A:A,'Dados Funil'!O:O,"")</f>
        <v/>
      </c>
      <c r="AE138" s="7" t="str">
        <f t="shared" si="13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8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9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0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1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2"/>
        <v/>
      </c>
      <c r="AB139" s="4" t="str">
        <f t="array" ref="AB139">XLOOKUP(X139,'Dados Funil'!A:A,'Dados Funil'!O:O,"")</f>
        <v/>
      </c>
      <c r="AE139" s="7" t="str">
        <f t="shared" si="13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8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9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0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1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2"/>
        <v/>
      </c>
      <c r="AB140" s="4" t="str">
        <f t="array" ref="AB140">XLOOKUP(X140,'Dados Funil'!A:A,'Dados Funil'!O:O,"")</f>
        <v/>
      </c>
      <c r="AE140" s="7" t="str">
        <f t="shared" si="13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8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9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0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1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2"/>
        <v/>
      </c>
      <c r="AB141" s="4" t="str">
        <f t="array" ref="AB141">XLOOKUP(X141,'Dados Funil'!A:A,'Dados Funil'!O:O,"")</f>
        <v/>
      </c>
      <c r="AE141" s="7" t="str">
        <f t="shared" si="13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8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9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0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1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2"/>
        <v/>
      </c>
      <c r="AB142" s="4" t="str">
        <f t="array" ref="AB142">XLOOKUP(X142,'Dados Funil'!A:A,'Dados Funil'!O:O,"")</f>
        <v/>
      </c>
      <c r="AE142" s="7" t="str">
        <f t="shared" si="13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8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9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0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1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2"/>
        <v/>
      </c>
      <c r="AB143" s="4" t="str">
        <f t="array" ref="AB143">XLOOKUP(X143,'Dados Funil'!A:A,'Dados Funil'!O:O,"")</f>
        <v/>
      </c>
      <c r="AE143" s="7" t="str">
        <f t="shared" si="13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8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9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0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1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2"/>
        <v/>
      </c>
      <c r="AB144" s="4" t="str">
        <f t="array" ref="AB144">XLOOKUP(X144,'Dados Funil'!A:A,'Dados Funil'!O:O,"")</f>
        <v/>
      </c>
      <c r="AE144" s="7" t="str">
        <f t="shared" si="13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8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9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0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1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2"/>
        <v/>
      </c>
      <c r="AB145" s="4" t="str">
        <f t="array" ref="AB145">XLOOKUP(X145,'Dados Funil'!A:A,'Dados Funil'!O:O,"")</f>
        <v/>
      </c>
      <c r="AE145" s="7" t="str">
        <f t="shared" si="13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8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9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0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1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2"/>
        <v/>
      </c>
      <c r="AB146" s="4" t="str">
        <f t="array" ref="AB146">XLOOKUP(X146,'Dados Funil'!A:A,'Dados Funil'!O:O,"")</f>
        <v/>
      </c>
      <c r="AE146" s="7" t="str">
        <f t="shared" si="13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8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9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0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1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2"/>
        <v/>
      </c>
      <c r="AB147" s="4" t="str">
        <f t="array" ref="AB147">XLOOKUP(X147,'Dados Funil'!A:A,'Dados Funil'!O:O,"")</f>
        <v/>
      </c>
      <c r="AE147" s="7" t="str">
        <f t="shared" si="13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8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9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0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1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2"/>
        <v/>
      </c>
      <c r="AB148" s="4" t="str">
        <f t="array" ref="AB148">XLOOKUP(X148,'Dados Funil'!A:A,'Dados Funil'!O:O,"")</f>
        <v/>
      </c>
      <c r="AE148" s="7" t="str">
        <f t="shared" si="13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8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9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0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1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2"/>
        <v/>
      </c>
      <c r="AB149" s="4" t="str">
        <f t="array" ref="AB149">XLOOKUP(X149,'Dados Funil'!A:A,'Dados Funil'!O:O,"")</f>
        <v/>
      </c>
      <c r="AE149" s="7" t="str">
        <f t="shared" si="13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8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9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0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1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2"/>
        <v/>
      </c>
      <c r="AB150" s="4" t="str">
        <f t="array" ref="AB150">XLOOKUP(X150,'Dados Funil'!A:A,'Dados Funil'!O:O,"")</f>
        <v/>
      </c>
      <c r="AE150" s="7" t="str">
        <f t="shared" si="13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8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9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0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1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2"/>
        <v/>
      </c>
      <c r="AB151" s="4" t="str">
        <f t="array" ref="AB151">XLOOKUP(X151,'Dados Funil'!A:A,'Dados Funil'!O:O,"")</f>
        <v/>
      </c>
      <c r="AE151" s="7" t="str">
        <f t="shared" si="13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8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9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0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1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2"/>
        <v/>
      </c>
      <c r="AB152" s="4" t="str">
        <f t="array" ref="AB152">XLOOKUP(X152,'Dados Funil'!A:A,'Dados Funil'!O:O,"")</f>
        <v/>
      </c>
      <c r="AE152" s="7" t="str">
        <f t="shared" si="13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8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9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0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1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2"/>
        <v/>
      </c>
      <c r="AB153" s="4" t="str">
        <f t="array" ref="AB153">XLOOKUP(X153,'Dados Funil'!A:A,'Dados Funil'!O:O,"")</f>
        <v/>
      </c>
      <c r="AE153" s="7" t="str">
        <f t="shared" si="13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8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9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0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1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2"/>
        <v/>
      </c>
      <c r="AB154" s="4" t="str">
        <f t="array" ref="AB154">XLOOKUP(X154,'Dados Funil'!A:A,'Dados Funil'!O:O,"")</f>
        <v/>
      </c>
      <c r="AE154" s="7" t="str">
        <f t="shared" si="13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8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9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0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1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2"/>
        <v/>
      </c>
      <c r="AB155" s="4" t="str">
        <f t="array" ref="AB155">XLOOKUP(X155,'Dados Funil'!A:A,'Dados Funil'!O:O,"")</f>
        <v/>
      </c>
      <c r="AE155" s="7" t="str">
        <f t="shared" si="13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8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9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0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1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2"/>
        <v/>
      </c>
      <c r="AB156" s="4" t="str">
        <f t="array" ref="AB156">XLOOKUP(X156,'Dados Funil'!A:A,'Dados Funil'!O:O,"")</f>
        <v/>
      </c>
      <c r="AE156" s="7" t="str">
        <f t="shared" si="13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8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9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0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1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2"/>
        <v/>
      </c>
      <c r="AB157" s="4" t="str">
        <f t="array" ref="AB157">XLOOKUP(X157,'Dados Funil'!A:A,'Dados Funil'!O:O,"")</f>
        <v/>
      </c>
      <c r="AE157" s="7" t="str">
        <f t="shared" si="13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8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9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0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1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2"/>
        <v/>
      </c>
      <c r="AB158" s="4" t="str">
        <f t="array" ref="AB158">XLOOKUP(X158,'Dados Funil'!A:A,'Dados Funil'!O:O,"")</f>
        <v/>
      </c>
      <c r="AE158" s="7" t="str">
        <f t="shared" si="13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8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9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0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1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2"/>
        <v/>
      </c>
      <c r="AB159" s="4" t="str">
        <f t="array" ref="AB159">XLOOKUP(X159,'Dados Funil'!A:A,'Dados Funil'!O:O,"")</f>
        <v/>
      </c>
      <c r="AE159" s="7" t="str">
        <f t="shared" si="13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8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9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0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1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2"/>
        <v/>
      </c>
      <c r="AB160" s="4" t="str">
        <f t="array" ref="AB160">XLOOKUP(X160,'Dados Funil'!A:A,'Dados Funil'!O:O,"")</f>
        <v/>
      </c>
      <c r="AE160" s="7" t="str">
        <f t="shared" si="13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8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9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0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1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2"/>
        <v/>
      </c>
      <c r="AB161" s="4" t="str">
        <f t="array" ref="AB161">XLOOKUP(X161,'Dados Funil'!A:A,'Dados Funil'!O:O,"")</f>
        <v/>
      </c>
      <c r="AE161" s="7" t="str">
        <f t="shared" si="13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8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9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0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1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2"/>
        <v/>
      </c>
      <c r="AB162" s="4" t="str">
        <f t="array" ref="AB162">XLOOKUP(X162,'Dados Funil'!A:A,'Dados Funil'!O:O,"")</f>
        <v/>
      </c>
      <c r="AE162" s="7" t="str">
        <f t="shared" si="13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8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9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0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1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2"/>
        <v/>
      </c>
      <c r="AB163" s="4" t="str">
        <f t="array" ref="AB163">XLOOKUP(X163,'Dados Funil'!A:A,'Dados Funil'!O:O,"")</f>
        <v/>
      </c>
      <c r="AE163" s="7" t="str">
        <f t="shared" si="13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8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9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0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1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2"/>
        <v/>
      </c>
      <c r="AB164" s="4" t="str">
        <f t="array" ref="AB164">XLOOKUP(X164,'Dados Funil'!A:A,'Dados Funil'!O:O,"")</f>
        <v/>
      </c>
      <c r="AE164" s="7" t="str">
        <f t="shared" si="13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8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9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0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1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2"/>
        <v/>
      </c>
      <c r="AB165" s="4" t="str">
        <f t="array" ref="AB165">XLOOKUP(X165,'Dados Funil'!A:A,'Dados Funil'!O:O,"")</f>
        <v/>
      </c>
      <c r="AE165" s="7" t="str">
        <f t="shared" si="13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8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9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0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1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2"/>
        <v/>
      </c>
      <c r="AB166" s="4" t="str">
        <f t="array" ref="AB166">XLOOKUP(X166,'Dados Funil'!A:A,'Dados Funil'!O:O,"")</f>
        <v/>
      </c>
      <c r="AE166" s="7" t="str">
        <f t="shared" si="13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8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9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0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1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2"/>
        <v/>
      </c>
      <c r="AB167" s="4" t="str">
        <f t="array" ref="AB167">XLOOKUP(X167,'Dados Funil'!A:A,'Dados Funil'!O:O,"")</f>
        <v/>
      </c>
      <c r="AE167" s="7" t="str">
        <f t="shared" si="13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8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9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0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1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2"/>
        <v/>
      </c>
      <c r="AB168" s="4" t="str">
        <f t="array" ref="AB168">XLOOKUP(X168,'Dados Funil'!A:A,'Dados Funil'!O:O,"")</f>
        <v/>
      </c>
      <c r="AE168" s="7" t="str">
        <f t="shared" si="13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8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9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0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1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2"/>
        <v/>
      </c>
      <c r="AB169" s="4" t="str">
        <f t="array" ref="AB169">XLOOKUP(X169,'Dados Funil'!A:A,'Dados Funil'!O:O,"")</f>
        <v/>
      </c>
      <c r="AE169" s="7" t="str">
        <f t="shared" si="13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8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9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0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1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2"/>
        <v/>
      </c>
      <c r="AB170" s="4" t="str">
        <f t="array" ref="AB170">XLOOKUP(X170,'Dados Funil'!A:A,'Dados Funil'!O:O,"")</f>
        <v/>
      </c>
      <c r="AE170" s="7" t="str">
        <f t="shared" si="13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8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9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0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1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2"/>
        <v/>
      </c>
      <c r="AB171" s="4" t="str">
        <f t="array" ref="AB171">XLOOKUP(X171,'Dados Funil'!A:A,'Dados Funil'!O:O,"")</f>
        <v/>
      </c>
      <c r="AE171" s="7" t="str">
        <f t="shared" si="13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8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9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0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1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2"/>
        <v/>
      </c>
      <c r="AB172" s="4" t="str">
        <f t="array" ref="AB172">XLOOKUP(X172,'Dados Funil'!A:A,'Dados Funil'!O:O,"")</f>
        <v/>
      </c>
      <c r="AE172" s="7" t="str">
        <f t="shared" si="13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8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9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0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1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2"/>
        <v/>
      </c>
      <c r="AB173" s="4" t="str">
        <f t="array" ref="AB173">XLOOKUP(X173,'Dados Funil'!A:A,'Dados Funil'!O:O,"")</f>
        <v/>
      </c>
      <c r="AE173" s="7" t="str">
        <f t="shared" si="13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8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9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0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1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2"/>
        <v/>
      </c>
      <c r="AB174" s="4" t="str">
        <f t="array" ref="AB174">XLOOKUP(X174,'Dados Funil'!A:A,'Dados Funil'!O:O,"")</f>
        <v/>
      </c>
      <c r="AE174" s="7" t="str">
        <f t="shared" si="13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8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9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0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1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2"/>
        <v/>
      </c>
      <c r="AB175" s="4" t="str">
        <f t="array" ref="AB175">XLOOKUP(X175,'Dados Funil'!A:A,'Dados Funil'!O:O,"")</f>
        <v/>
      </c>
      <c r="AE175" s="7" t="str">
        <f t="shared" si="13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8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9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0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1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2"/>
        <v/>
      </c>
      <c r="AB176" s="4" t="str">
        <f t="array" ref="AB176">XLOOKUP(X176,'Dados Funil'!A:A,'Dados Funil'!O:O,"")</f>
        <v/>
      </c>
      <c r="AE176" s="7" t="str">
        <f t="shared" si="13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8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9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0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1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2"/>
        <v/>
      </c>
      <c r="AB177" s="4" t="str">
        <f t="array" ref="AB177">XLOOKUP(X177,'Dados Funil'!A:A,'Dados Funil'!O:O,"")</f>
        <v/>
      </c>
      <c r="AE177" s="7" t="str">
        <f t="shared" si="13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8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9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0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1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2"/>
        <v/>
      </c>
      <c r="AB178" s="4" t="str">
        <f t="array" ref="AB178">XLOOKUP(X178,'Dados Funil'!A:A,'Dados Funil'!O:O,"")</f>
        <v/>
      </c>
      <c r="AE178" s="7" t="str">
        <f t="shared" si="13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8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9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0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1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2"/>
        <v/>
      </c>
      <c r="AB179" s="4" t="str">
        <f t="array" ref="AB179">XLOOKUP(X179,'Dados Funil'!A:A,'Dados Funil'!O:O,"")</f>
        <v/>
      </c>
      <c r="AE179" s="7" t="str">
        <f t="shared" si="13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8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9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0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1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2"/>
        <v/>
      </c>
      <c r="AB180" s="4" t="str">
        <f t="array" ref="AB180">XLOOKUP(X180,'Dados Funil'!A:A,'Dados Funil'!O:O,"")</f>
        <v/>
      </c>
      <c r="AE180" s="7" t="str">
        <f t="shared" si="13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8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9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0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1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2"/>
        <v/>
      </c>
      <c r="AB181" s="4" t="str">
        <f t="array" ref="AB181">XLOOKUP(X181,'Dados Funil'!A:A,'Dados Funil'!O:O,"")</f>
        <v/>
      </c>
      <c r="AE181" s="7" t="str">
        <f t="shared" si="13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8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9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0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1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2"/>
        <v/>
      </c>
      <c r="AB182" s="4" t="str">
        <f t="array" ref="AB182">XLOOKUP(X182,'Dados Funil'!A:A,'Dados Funil'!O:O,"")</f>
        <v/>
      </c>
      <c r="AE182" s="7" t="str">
        <f t="shared" si="13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8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9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0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1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2"/>
        <v/>
      </c>
      <c r="AB183" s="4" t="str">
        <f t="array" ref="AB183">XLOOKUP(X183,'Dados Funil'!A:A,'Dados Funil'!O:O,"")</f>
        <v/>
      </c>
      <c r="AE183" s="7" t="str">
        <f t="shared" si="13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8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9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0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1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2"/>
        <v/>
      </c>
      <c r="AB184" s="4" t="str">
        <f t="array" ref="AB184">XLOOKUP(X184,'Dados Funil'!A:A,'Dados Funil'!O:O,"")</f>
        <v/>
      </c>
      <c r="AE184" s="7" t="str">
        <f t="shared" si="13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8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9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0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1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2"/>
        <v/>
      </c>
      <c r="AB185" s="4" t="str">
        <f t="array" ref="AB185">XLOOKUP(X185,'Dados Funil'!A:A,'Dados Funil'!O:O,"")</f>
        <v/>
      </c>
      <c r="AE185" s="7" t="str">
        <f t="shared" si="13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8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9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0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1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2"/>
        <v/>
      </c>
      <c r="AB186" s="4" t="str">
        <f t="array" ref="AB186">XLOOKUP(X186,'Dados Funil'!A:A,'Dados Funil'!O:O,"")</f>
        <v/>
      </c>
      <c r="AE186" s="7" t="str">
        <f t="shared" si="13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8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9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0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1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2"/>
        <v/>
      </c>
      <c r="AB187" s="4" t="str">
        <f t="array" ref="AB187">XLOOKUP(X187,'Dados Funil'!A:A,'Dados Funil'!O:O,"")</f>
        <v/>
      </c>
      <c r="AE187" s="7" t="str">
        <f t="shared" si="13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8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9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0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1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2"/>
        <v/>
      </c>
      <c r="AB188" s="4" t="str">
        <f t="array" ref="AB188">XLOOKUP(X188,'Dados Funil'!A:A,'Dados Funil'!O:O,"")</f>
        <v/>
      </c>
      <c r="AE188" s="7" t="str">
        <f t="shared" si="13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8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9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0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1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2"/>
        <v/>
      </c>
      <c r="AB189" s="4" t="str">
        <f t="array" ref="AB189">XLOOKUP(X189,'Dados Funil'!A:A,'Dados Funil'!O:O,"")</f>
        <v/>
      </c>
      <c r="AE189" s="7" t="str">
        <f t="shared" si="13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8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9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0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1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2"/>
        <v/>
      </c>
      <c r="AB190" s="4" t="str">
        <f t="array" ref="AB190">XLOOKUP(X190,'Dados Funil'!A:A,'Dados Funil'!O:O,"")</f>
        <v/>
      </c>
      <c r="AE190" s="7" t="str">
        <f t="shared" si="13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8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9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0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1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2"/>
        <v/>
      </c>
      <c r="AB191" s="4" t="str">
        <f t="array" ref="AB191">XLOOKUP(X191,'Dados Funil'!A:A,'Dados Funil'!O:O,"")</f>
        <v/>
      </c>
      <c r="AE191" s="7" t="str">
        <f t="shared" si="13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8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9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0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1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2"/>
        <v/>
      </c>
      <c r="AB192" s="4" t="str">
        <f t="array" ref="AB192">XLOOKUP(X192,'Dados Funil'!A:A,'Dados Funil'!O:O,"")</f>
        <v/>
      </c>
      <c r="AE192" s="7" t="str">
        <f t="shared" si="13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8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9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0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1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2"/>
        <v/>
      </c>
      <c r="AB193" s="4" t="str">
        <f t="array" ref="AB193">XLOOKUP(X193,'Dados Funil'!A:A,'Dados Funil'!O:O,"")</f>
        <v/>
      </c>
      <c r="AE193" s="7" t="str">
        <f t="shared" si="13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8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9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0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1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2"/>
        <v/>
      </c>
      <c r="AB194" s="4" t="str">
        <f t="array" ref="AB194">XLOOKUP(X194,'Dados Funil'!A:A,'Dados Funil'!O:O,"")</f>
        <v/>
      </c>
      <c r="AE194" s="7" t="str">
        <f t="shared" si="13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8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9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0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1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2"/>
        <v/>
      </c>
      <c r="AB195" s="4" t="str">
        <f t="array" ref="AB195">XLOOKUP(X195,'Dados Funil'!A:A,'Dados Funil'!O:O,"")</f>
        <v/>
      </c>
      <c r="AE195" s="7" t="str">
        <f t="shared" si="13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8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9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0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1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2"/>
        <v/>
      </c>
      <c r="AB196" s="4" t="str">
        <f t="array" ref="AB196">XLOOKUP(X196,'Dados Funil'!A:A,'Dados Funil'!O:O,"")</f>
        <v/>
      </c>
      <c r="AE196" s="7" t="str">
        <f t="shared" si="13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8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9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0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1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2"/>
        <v/>
      </c>
      <c r="AB197" s="4" t="str">
        <f t="array" ref="AB197">XLOOKUP(X197,'Dados Funil'!A:A,'Dados Funil'!O:O,"")</f>
        <v/>
      </c>
      <c r="AE197" s="7" t="str">
        <f t="shared" si="13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8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9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0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1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2"/>
        <v/>
      </c>
      <c r="AB198" s="4" t="str">
        <f t="array" ref="AB198">XLOOKUP(X198,'Dados Funil'!A:A,'Dados Funil'!O:O,"")</f>
        <v/>
      </c>
      <c r="AE198" s="7" t="str">
        <f t="shared" si="13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8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9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0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1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2"/>
        <v/>
      </c>
      <c r="AB199" s="4" t="str">
        <f t="array" ref="AB199">XLOOKUP(X199,'Dados Funil'!A:A,'Dados Funil'!O:O,"")</f>
        <v/>
      </c>
      <c r="AE199" s="7" t="str">
        <f t="shared" si="13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8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9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0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1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2"/>
        <v/>
      </c>
      <c r="AB200" s="4" t="str">
        <f t="array" ref="AB200">XLOOKUP(X200,'Dados Funil'!A:A,'Dados Funil'!O:O,"")</f>
        <v/>
      </c>
      <c r="AE200" s="7" t="str">
        <f t="shared" si="13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8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9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0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1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2"/>
        <v/>
      </c>
      <c r="AB201" s="4" t="str">
        <f t="array" ref="AB201">XLOOKUP(X201,'Dados Funil'!A:A,'Dados Funil'!O:O,"")</f>
        <v/>
      </c>
      <c r="AE201" s="7" t="str">
        <f t="shared" si="13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8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9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0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1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2"/>
        <v/>
      </c>
      <c r="AB202" s="4" t="str">
        <f t="array" ref="AB202">XLOOKUP(X202,'Dados Funil'!A:A,'Dados Funil'!O:O,"")</f>
        <v/>
      </c>
      <c r="AE202" s="7" t="str">
        <f t="shared" si="13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8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9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0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1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2"/>
        <v/>
      </c>
      <c r="AB203" s="4" t="str">
        <f t="array" ref="AB203">XLOOKUP(X203,'Dados Funil'!A:A,'Dados Funil'!O:O,"")</f>
        <v/>
      </c>
      <c r="AE203" s="7" t="str">
        <f t="shared" si="13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8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9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0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1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2"/>
        <v/>
      </c>
      <c r="AB204" s="4" t="str">
        <f t="array" ref="AB204">XLOOKUP(X204,'Dados Funil'!A:A,'Dados Funil'!O:O,"")</f>
        <v/>
      </c>
      <c r="AE204" s="7" t="str">
        <f t="shared" si="13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8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9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0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1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2"/>
        <v/>
      </c>
      <c r="AB205" s="4" t="str">
        <f t="array" ref="AB205">XLOOKUP(X205,'Dados Funil'!A:A,'Dados Funil'!O:O,"")</f>
        <v/>
      </c>
      <c r="AE205" s="7" t="str">
        <f t="shared" si="13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8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9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0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1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2"/>
        <v/>
      </c>
      <c r="AB206" s="4" t="str">
        <f t="array" ref="AB206">XLOOKUP(X206,'Dados Funil'!A:A,'Dados Funil'!O:O,"")</f>
        <v/>
      </c>
      <c r="AE206" s="7" t="str">
        <f t="shared" si="13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8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9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0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1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2"/>
        <v/>
      </c>
      <c r="AB207" s="4" t="str">
        <f t="array" ref="AB207">XLOOKUP(X207,'Dados Funil'!A:A,'Dados Funil'!O:O,"")</f>
        <v/>
      </c>
      <c r="AE207" s="7" t="str">
        <f t="shared" si="13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8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9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0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1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2"/>
        <v/>
      </c>
      <c r="AB208" s="4" t="str">
        <f t="array" ref="AB208">XLOOKUP(X208,'Dados Funil'!A:A,'Dados Funil'!O:O,"")</f>
        <v/>
      </c>
      <c r="AE208" s="7" t="str">
        <f t="shared" si="13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8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9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0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1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2"/>
        <v/>
      </c>
      <c r="AB209" s="4" t="str">
        <f t="array" ref="AB209">XLOOKUP(X209,'Dados Funil'!A:A,'Dados Funil'!O:O,"")</f>
        <v/>
      </c>
      <c r="AE209" s="7" t="str">
        <f t="shared" si="13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8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9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0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1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2"/>
        <v/>
      </c>
      <c r="AB210" s="4" t="str">
        <f t="array" ref="AB210">XLOOKUP(X210,'Dados Funil'!A:A,'Dados Funil'!O:O,"")</f>
        <v/>
      </c>
      <c r="AE210" s="7" t="str">
        <f t="shared" si="13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8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9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0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1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2"/>
        <v/>
      </c>
      <c r="AB211" s="4" t="str">
        <f t="array" ref="AB211">XLOOKUP(X211,'Dados Funil'!A:A,'Dados Funil'!O:O,"")</f>
        <v/>
      </c>
      <c r="AE211" s="7" t="str">
        <f t="shared" si="13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8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9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0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1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2"/>
        <v/>
      </c>
      <c r="AB212" s="4" t="str">
        <f t="array" ref="AB212">XLOOKUP(X212,'Dados Funil'!A:A,'Dados Funil'!O:O,"")</f>
        <v/>
      </c>
      <c r="AE212" s="7" t="str">
        <f t="shared" si="13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8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9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0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1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2"/>
        <v/>
      </c>
      <c r="AB213" s="4" t="str">
        <f t="array" ref="AB213">XLOOKUP(X213,'Dados Funil'!A:A,'Dados Funil'!O:O,"")</f>
        <v/>
      </c>
      <c r="AE213" s="7" t="str">
        <f t="shared" si="13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8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9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0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1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2"/>
        <v/>
      </c>
      <c r="AB214" s="4" t="str">
        <f t="array" ref="AB214">XLOOKUP(X214,'Dados Funil'!A:A,'Dados Funil'!O:O,"")</f>
        <v/>
      </c>
      <c r="AE214" s="7" t="str">
        <f t="shared" si="13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8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9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0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1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2"/>
        <v/>
      </c>
      <c r="AB215" s="4" t="str">
        <f t="array" ref="AB215">XLOOKUP(X215,'Dados Funil'!A:A,'Dados Funil'!O:O,"")</f>
        <v/>
      </c>
      <c r="AE215" s="7" t="str">
        <f t="shared" si="13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8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9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0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1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2"/>
        <v/>
      </c>
      <c r="AB216" s="4" t="str">
        <f t="array" ref="AB216">XLOOKUP(X216,'Dados Funil'!A:A,'Dados Funil'!O:O,"")</f>
        <v/>
      </c>
      <c r="AE216" s="7" t="str">
        <f t="shared" si="13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8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9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0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1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2"/>
        <v/>
      </c>
      <c r="AB217" s="4" t="str">
        <f t="array" ref="AB217">XLOOKUP(X217,'Dados Funil'!A:A,'Dados Funil'!O:O,"")</f>
        <v/>
      </c>
      <c r="AE217" s="7" t="str">
        <f t="shared" si="13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8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9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0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1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2"/>
        <v/>
      </c>
      <c r="AB218" s="4" t="str">
        <f t="array" ref="AB218">XLOOKUP(X218,'Dados Funil'!A:A,'Dados Funil'!O:O,"")</f>
        <v/>
      </c>
      <c r="AE218" s="7" t="str">
        <f t="shared" si="13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8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9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0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1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2"/>
        <v/>
      </c>
      <c r="AB219" s="4" t="str">
        <f t="array" ref="AB219">XLOOKUP(X219,'Dados Funil'!A:A,'Dados Funil'!O:O,"")</f>
        <v/>
      </c>
      <c r="AE219" s="7" t="str">
        <f t="shared" si="13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8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9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0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1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2"/>
        <v/>
      </c>
      <c r="AB220" s="4" t="str">
        <f t="array" ref="AB220">XLOOKUP(X220,'Dados Funil'!A:A,'Dados Funil'!O:O,"")</f>
        <v/>
      </c>
      <c r="AE220" s="7" t="str">
        <f t="shared" si="13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8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9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0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1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2"/>
        <v/>
      </c>
      <c r="AB221" s="4" t="str">
        <f t="array" ref="AB221">XLOOKUP(X221,'Dados Funil'!A:A,'Dados Funil'!O:O,"")</f>
        <v/>
      </c>
      <c r="AE221" s="7" t="str">
        <f t="shared" si="13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8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9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0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1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2"/>
        <v/>
      </c>
      <c r="AB222" s="4" t="str">
        <f t="array" ref="AB222">XLOOKUP(X222,'Dados Funil'!A:A,'Dados Funil'!O:O,"")</f>
        <v/>
      </c>
      <c r="AE222" s="7" t="str">
        <f t="shared" si="13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8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9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0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1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2"/>
        <v/>
      </c>
      <c r="AB223" s="4" t="str">
        <f t="array" ref="AB223">XLOOKUP(X223,'Dados Funil'!A:A,'Dados Funil'!O:O,"")</f>
        <v/>
      </c>
      <c r="AE223" s="7" t="str">
        <f t="shared" si="13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8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9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0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1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2"/>
        <v/>
      </c>
      <c r="AB224" s="4" t="str">
        <f t="array" ref="AB224">XLOOKUP(X224,'Dados Funil'!A:A,'Dados Funil'!O:O,"")</f>
        <v/>
      </c>
      <c r="AE224" s="7" t="str">
        <f t="shared" si="13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8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9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0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1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2"/>
        <v/>
      </c>
      <c r="AB225" s="4" t="str">
        <f t="array" ref="AB225">XLOOKUP(X225,'Dados Funil'!A:A,'Dados Funil'!O:O,"")</f>
        <v/>
      </c>
      <c r="AE225" s="7" t="str">
        <f t="shared" si="13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8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9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0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1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2"/>
        <v/>
      </c>
      <c r="AB226" s="4" t="str">
        <f t="array" ref="AB226">XLOOKUP(X226,'Dados Funil'!A:A,'Dados Funil'!O:O,"")</f>
        <v/>
      </c>
      <c r="AE226" s="7" t="str">
        <f t="shared" si="13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8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9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0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1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2"/>
        <v/>
      </c>
      <c r="AB227" s="4" t="str">
        <f t="array" ref="AB227">XLOOKUP(X227,'Dados Funil'!A:A,'Dados Funil'!O:O,"")</f>
        <v/>
      </c>
      <c r="AE227" s="7" t="str">
        <f t="shared" si="13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8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9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0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1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2"/>
        <v/>
      </c>
      <c r="AB228" s="4" t="str">
        <f t="array" ref="AB228">XLOOKUP(X228,'Dados Funil'!A:A,'Dados Funil'!O:O,"")</f>
        <v/>
      </c>
      <c r="AE228" s="7" t="str">
        <f t="shared" si="13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8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9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0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1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2"/>
        <v/>
      </c>
      <c r="AB229" s="4" t="str">
        <f t="array" ref="AB229">XLOOKUP(X229,'Dados Funil'!A:A,'Dados Funil'!O:O,"")</f>
        <v/>
      </c>
      <c r="AE229" s="7" t="str">
        <f t="shared" si="13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8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9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0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1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2"/>
        <v/>
      </c>
      <c r="AB230" s="4" t="str">
        <f t="array" ref="AB230">XLOOKUP(X230,'Dados Funil'!A:A,'Dados Funil'!O:O,"")</f>
        <v/>
      </c>
      <c r="AE230" s="7" t="str">
        <f t="shared" si="13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8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9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0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1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2"/>
        <v/>
      </c>
      <c r="AB231" s="4" t="str">
        <f t="array" ref="AB231">XLOOKUP(X231,'Dados Funil'!A:A,'Dados Funil'!O:O,"")</f>
        <v/>
      </c>
      <c r="AE231" s="7" t="str">
        <f t="shared" si="13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8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9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0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1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2"/>
        <v/>
      </c>
      <c r="AB232" s="4" t="str">
        <f t="array" ref="AB232">XLOOKUP(X232,'Dados Funil'!A:A,'Dados Funil'!O:O,"")</f>
        <v/>
      </c>
      <c r="AE232" s="7" t="str">
        <f t="shared" si="13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8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9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0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1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2"/>
        <v/>
      </c>
      <c r="AB233" s="4" t="str">
        <f t="array" ref="AB233">XLOOKUP(X233,'Dados Funil'!A:A,'Dados Funil'!O:O,"")</f>
        <v/>
      </c>
      <c r="AE233" s="7" t="str">
        <f t="shared" si="13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8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9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0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1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2"/>
        <v/>
      </c>
      <c r="AB234" s="4" t="str">
        <f t="array" ref="AB234">XLOOKUP(X234,'Dados Funil'!A:A,'Dados Funil'!O:O,"")</f>
        <v/>
      </c>
      <c r="AE234" s="7" t="str">
        <f t="shared" si="13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8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9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0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1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2"/>
        <v/>
      </c>
      <c r="AB235" s="4" t="str">
        <f t="array" ref="AB235">XLOOKUP(X235,'Dados Funil'!A:A,'Dados Funil'!O:O,"")</f>
        <v/>
      </c>
      <c r="AE235" s="7" t="str">
        <f t="shared" si="13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8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9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0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1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2"/>
        <v/>
      </c>
      <c r="AB236" s="4" t="str">
        <f t="array" ref="AB236">XLOOKUP(X236,'Dados Funil'!A:A,'Dados Funil'!O:O,"")</f>
        <v/>
      </c>
      <c r="AE236" s="7" t="str">
        <f t="shared" si="13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8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9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0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1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2"/>
        <v/>
      </c>
      <c r="AB237" s="4" t="str">
        <f t="array" ref="AB237">XLOOKUP(X237,'Dados Funil'!A:A,'Dados Funil'!O:O,"")</f>
        <v/>
      </c>
      <c r="AE237" s="7" t="str">
        <f t="shared" si="13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8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9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0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1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2"/>
        <v/>
      </c>
      <c r="AB238" s="4" t="str">
        <f t="array" ref="AB238">XLOOKUP(X238,'Dados Funil'!A:A,'Dados Funil'!O:O,"")</f>
        <v/>
      </c>
      <c r="AE238" s="7" t="str">
        <f t="shared" si="13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8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9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0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1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2"/>
        <v/>
      </c>
      <c r="AB239" s="4" t="str">
        <f t="array" ref="AB239">XLOOKUP(X239,'Dados Funil'!A:A,'Dados Funil'!O:O,"")</f>
        <v/>
      </c>
      <c r="AE239" s="7" t="str">
        <f t="shared" si="13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8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9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0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1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2"/>
        <v/>
      </c>
      <c r="AB240" s="4" t="str">
        <f t="array" ref="AB240">XLOOKUP(X240,'Dados Funil'!A:A,'Dados Funil'!O:O,"")</f>
        <v/>
      </c>
      <c r="AE240" s="7" t="str">
        <f t="shared" si="13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8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9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0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1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2"/>
        <v/>
      </c>
      <c r="AB241" s="4" t="str">
        <f t="array" ref="AB241">XLOOKUP(X241,'Dados Funil'!A:A,'Dados Funil'!O:O,"")</f>
        <v/>
      </c>
      <c r="AE241" s="7" t="str">
        <f t="shared" si="13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8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9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0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1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2"/>
        <v/>
      </c>
      <c r="AB242" s="4" t="str">
        <f t="array" ref="AB242">XLOOKUP(X242,'Dados Funil'!A:A,'Dados Funil'!O:O,"")</f>
        <v/>
      </c>
      <c r="AE242" s="7" t="str">
        <f t="shared" si="13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8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9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0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1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2"/>
        <v/>
      </c>
      <c r="AB243" s="4" t="str">
        <f t="array" ref="AB243">XLOOKUP(X243,'Dados Funil'!A:A,'Dados Funil'!O:O,"")</f>
        <v/>
      </c>
      <c r="AE243" s="7" t="str">
        <f t="shared" si="13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8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9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0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1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2"/>
        <v/>
      </c>
      <c r="AB244" s="4" t="str">
        <f t="array" ref="AB244">XLOOKUP(X244,'Dados Funil'!A:A,'Dados Funil'!O:O,"")</f>
        <v/>
      </c>
      <c r="AE244" s="7" t="str">
        <f t="shared" si="13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8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9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0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1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2"/>
        <v/>
      </c>
      <c r="AB245" s="4" t="str">
        <f t="array" ref="AB245">XLOOKUP(X245,'Dados Funil'!A:A,'Dados Funil'!O:O,"")</f>
        <v/>
      </c>
      <c r="AE245" s="7" t="str">
        <f t="shared" si="13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8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9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0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1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2"/>
        <v/>
      </c>
      <c r="AB246" s="4" t="str">
        <f t="array" ref="AB246">XLOOKUP(X246,'Dados Funil'!A:A,'Dados Funil'!O:O,"")</f>
        <v/>
      </c>
      <c r="AE246" s="7" t="str">
        <f t="shared" si="13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8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9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0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1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2"/>
        <v/>
      </c>
      <c r="AB247" s="4" t="str">
        <f t="array" ref="AB247">XLOOKUP(X247,'Dados Funil'!A:A,'Dados Funil'!O:O,"")</f>
        <v/>
      </c>
      <c r="AE247" s="7" t="str">
        <f t="shared" si="13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8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9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0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1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2"/>
        <v/>
      </c>
      <c r="AB248" s="4" t="str">
        <f t="array" ref="AB248">XLOOKUP(X248,'Dados Funil'!A:A,'Dados Funil'!O:O,"")</f>
        <v/>
      </c>
      <c r="AE248" s="7" t="str">
        <f t="shared" si="13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8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9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0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1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2"/>
        <v/>
      </c>
      <c r="AB249" s="4" t="str">
        <f t="array" ref="AB249">XLOOKUP(X249,'Dados Funil'!A:A,'Dados Funil'!O:O,"")</f>
        <v/>
      </c>
      <c r="AE249" s="7" t="str">
        <f t="shared" si="13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8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9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0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1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2"/>
        <v/>
      </c>
      <c r="AB250" s="4" t="str">
        <f t="array" ref="AB250">XLOOKUP(X250,'Dados Funil'!A:A,'Dados Funil'!O:O,"")</f>
        <v/>
      </c>
      <c r="AE250" s="7" t="str">
        <f t="shared" si="13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8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9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0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1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2"/>
        <v/>
      </c>
      <c r="AB251" s="4" t="str">
        <f t="array" ref="AB251">XLOOKUP(X251,'Dados Funil'!A:A,'Dados Funil'!O:O,"")</f>
        <v/>
      </c>
      <c r="AE251" s="7" t="str">
        <f t="shared" si="13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8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9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0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1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2"/>
        <v/>
      </c>
      <c r="AB252" s="4" t="str">
        <f t="array" ref="AB252">XLOOKUP(X252,'Dados Funil'!A:A,'Dados Funil'!O:O,"")</f>
        <v/>
      </c>
      <c r="AE252" s="7" t="str">
        <f t="shared" si="13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8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9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0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1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2"/>
        <v/>
      </c>
      <c r="AB253" s="4" t="str">
        <f t="array" ref="AB253">XLOOKUP(X253,'Dados Funil'!A:A,'Dados Funil'!O:O,"")</f>
        <v/>
      </c>
      <c r="AE253" s="7" t="str">
        <f t="shared" si="13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8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9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0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1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2"/>
        <v/>
      </c>
      <c r="AB254" s="4" t="str">
        <f t="array" ref="AB254">XLOOKUP(X254,'Dados Funil'!A:A,'Dados Funil'!O:O,"")</f>
        <v/>
      </c>
      <c r="AE254" s="7" t="str">
        <f t="shared" si="13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8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9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0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1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2"/>
        <v/>
      </c>
      <c r="AB255" s="4" t="str">
        <f t="array" ref="AB255">XLOOKUP(X255,'Dados Funil'!A:A,'Dados Funil'!O:O,"")</f>
        <v/>
      </c>
      <c r="AE255" s="7" t="str">
        <f t="shared" si="13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8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9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0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1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2"/>
        <v/>
      </c>
      <c r="AB256" s="4" t="str">
        <f t="array" ref="AB256">XLOOKUP(X256,'Dados Funil'!A:A,'Dados Funil'!O:O,"")</f>
        <v/>
      </c>
      <c r="AE256" s="7" t="str">
        <f t="shared" si="13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8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9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0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1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2"/>
        <v/>
      </c>
      <c r="AB257" s="4" t="str">
        <f t="array" ref="AB257">XLOOKUP(X257,'Dados Funil'!A:A,'Dados Funil'!O:O,"")</f>
        <v/>
      </c>
      <c r="AE257" s="7" t="str">
        <f t="shared" si="13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8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9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0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1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2"/>
        <v/>
      </c>
      <c r="AB258" s="4" t="str">
        <f t="array" ref="AB258">XLOOKUP(X258,'Dados Funil'!A:A,'Dados Funil'!O:O,"")</f>
        <v/>
      </c>
      <c r="AE258" s="7" t="str">
        <f t="shared" si="13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8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9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0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1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2"/>
        <v/>
      </c>
      <c r="AB259" s="4" t="str">
        <f t="array" ref="AB259">XLOOKUP(X259,'Dados Funil'!A:A,'Dados Funil'!O:O,"")</f>
        <v/>
      </c>
      <c r="AE259" s="7" t="str">
        <f t="shared" si="13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8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9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0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1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2"/>
        <v/>
      </c>
      <c r="AB260" s="4" t="str">
        <f t="array" ref="AB260">XLOOKUP(X260,'Dados Funil'!A:A,'Dados Funil'!O:O,"")</f>
        <v/>
      </c>
      <c r="AE260" s="7" t="str">
        <f t="shared" si="13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8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9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0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1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2"/>
        <v/>
      </c>
      <c r="AB261" s="4" t="str">
        <f t="array" ref="AB261">XLOOKUP(X261,'Dados Funil'!A:A,'Dados Funil'!O:O,"")</f>
        <v/>
      </c>
      <c r="AE261" s="7" t="str">
        <f t="shared" si="13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8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9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0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1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2"/>
        <v/>
      </c>
      <c r="AB262" s="4" t="str">
        <f t="array" ref="AB262">XLOOKUP(X262,'Dados Funil'!A:A,'Dados Funil'!O:O,"")</f>
        <v/>
      </c>
      <c r="AE262" s="7" t="str">
        <f t="shared" si="13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8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9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0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1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2"/>
        <v/>
      </c>
      <c r="AB263" s="4" t="str">
        <f t="array" ref="AB263">XLOOKUP(X263,'Dados Funil'!A:A,'Dados Funil'!O:O,"")</f>
        <v/>
      </c>
      <c r="AE263" s="7" t="str">
        <f t="shared" si="13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8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9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0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1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2"/>
        <v/>
      </c>
      <c r="AB264" s="4" t="str">
        <f t="array" ref="AB264">XLOOKUP(X264,'Dados Funil'!A:A,'Dados Funil'!O:O,"")</f>
        <v/>
      </c>
      <c r="AE264" s="7" t="str">
        <f t="shared" si="13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8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9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0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1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2"/>
        <v/>
      </c>
      <c r="AB265" s="4" t="str">
        <f t="array" ref="AB265">XLOOKUP(X265,'Dados Funil'!A:A,'Dados Funil'!O:O,"")</f>
        <v/>
      </c>
      <c r="AE265" s="7" t="str">
        <f t="shared" si="13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8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9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0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1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2"/>
        <v/>
      </c>
      <c r="AB266" s="4" t="str">
        <f t="array" ref="AB266">XLOOKUP(X266,'Dados Funil'!A:A,'Dados Funil'!O:O,"")</f>
        <v/>
      </c>
      <c r="AE266" s="7" t="str">
        <f t="shared" si="13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8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9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0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1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2"/>
        <v/>
      </c>
      <c r="AB267" s="4" t="str">
        <f t="array" ref="AB267">XLOOKUP(X267,'Dados Funil'!A:A,'Dados Funil'!O:O,"")</f>
        <v/>
      </c>
      <c r="AE267" s="7" t="str">
        <f t="shared" si="13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8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9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0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1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2"/>
        <v/>
      </c>
      <c r="AB268" s="4" t="str">
        <f t="array" ref="AB268">XLOOKUP(X268,'Dados Funil'!A:A,'Dados Funil'!O:O,"")</f>
        <v/>
      </c>
      <c r="AE268" s="7" t="str">
        <f t="shared" si="13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8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9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0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1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2"/>
        <v/>
      </c>
      <c r="AB269" s="4" t="str">
        <f t="array" ref="AB269">XLOOKUP(X269,'Dados Funil'!A:A,'Dados Funil'!O:O,"")</f>
        <v/>
      </c>
      <c r="AE269" s="7" t="str">
        <f t="shared" si="13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8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9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0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1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2"/>
        <v/>
      </c>
      <c r="AB270" s="4" t="str">
        <f t="array" ref="AB270">XLOOKUP(X270,'Dados Funil'!A:A,'Dados Funil'!O:O,"")</f>
        <v/>
      </c>
      <c r="AE270" s="7" t="str">
        <f t="shared" si="13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8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9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0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1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2"/>
        <v/>
      </c>
      <c r="AB271" s="4" t="str">
        <f t="array" ref="AB271">XLOOKUP(X271,'Dados Funil'!A:A,'Dados Funil'!O:O,"")</f>
        <v/>
      </c>
      <c r="AE271" s="7" t="str">
        <f t="shared" si="13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8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9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0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1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2"/>
        <v/>
      </c>
      <c r="AB272" s="4" t="str">
        <f t="array" ref="AB272">XLOOKUP(X272,'Dados Funil'!A:A,'Dados Funil'!O:O,"")</f>
        <v/>
      </c>
      <c r="AE272" s="7" t="str">
        <f t="shared" si="13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8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9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0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1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2"/>
        <v/>
      </c>
      <c r="AB273" s="4" t="str">
        <f t="array" ref="AB273">XLOOKUP(X273,'Dados Funil'!A:A,'Dados Funil'!O:O,"")</f>
        <v/>
      </c>
      <c r="AE273" s="7" t="str">
        <f t="shared" si="13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8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9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0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1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2"/>
        <v/>
      </c>
      <c r="AB274" s="4" t="str">
        <f t="array" ref="AB274">XLOOKUP(X274,'Dados Funil'!A:A,'Dados Funil'!O:O,"")</f>
        <v/>
      </c>
      <c r="AE274" s="7" t="str">
        <f t="shared" si="13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8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9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0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1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2"/>
        <v/>
      </c>
      <c r="AB275" s="4" t="str">
        <f t="array" ref="AB275">XLOOKUP(X275,'Dados Funil'!A:A,'Dados Funil'!O:O,"")</f>
        <v/>
      </c>
      <c r="AE275" s="7" t="str">
        <f t="shared" si="13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8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9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0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1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2"/>
        <v/>
      </c>
      <c r="AB276" s="4" t="str">
        <f t="array" ref="AB276">XLOOKUP(X276,'Dados Funil'!A:A,'Dados Funil'!O:O,"")</f>
        <v/>
      </c>
      <c r="AE276" s="7" t="str">
        <f t="shared" si="13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8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9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0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1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2"/>
        <v/>
      </c>
      <c r="AB277" s="4" t="str">
        <f t="array" ref="AB277">XLOOKUP(X277,'Dados Funil'!A:A,'Dados Funil'!O:O,"")</f>
        <v/>
      </c>
      <c r="AE277" s="7" t="str">
        <f t="shared" si="13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8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9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0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1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2"/>
        <v/>
      </c>
      <c r="AB278" s="4" t="str">
        <f t="array" ref="AB278">XLOOKUP(X278,'Dados Funil'!A:A,'Dados Funil'!O:O,"")</f>
        <v/>
      </c>
      <c r="AE278" s="7" t="str">
        <f t="shared" si="13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8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9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0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1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2"/>
        <v/>
      </c>
      <c r="AB279" s="4" t="str">
        <f t="array" ref="AB279">XLOOKUP(X279,'Dados Funil'!A:A,'Dados Funil'!O:O,"")</f>
        <v/>
      </c>
      <c r="AE279" s="7" t="str">
        <f t="shared" si="13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8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9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0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1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2"/>
        <v/>
      </c>
      <c r="AB280" s="4" t="str">
        <f t="array" ref="AB280">XLOOKUP(X280,'Dados Funil'!A:A,'Dados Funil'!O:O,"")</f>
        <v/>
      </c>
      <c r="AE280" s="7" t="str">
        <f t="shared" si="13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8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9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0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1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2"/>
        <v/>
      </c>
      <c r="AB281" s="4" t="str">
        <f t="array" ref="AB281">XLOOKUP(X281,'Dados Funil'!A:A,'Dados Funil'!O:O,"")</f>
        <v/>
      </c>
      <c r="AE281" s="7" t="str">
        <f t="shared" si="13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8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9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0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1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2"/>
        <v/>
      </c>
      <c r="AB282" s="4" t="str">
        <f t="array" ref="AB282">XLOOKUP(X282,'Dados Funil'!A:A,'Dados Funil'!O:O,"")</f>
        <v/>
      </c>
      <c r="AE282" s="7" t="str">
        <f t="shared" si="13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8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9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0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1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2"/>
        <v/>
      </c>
      <c r="AB283" s="4" t="str">
        <f t="array" ref="AB283">XLOOKUP(X283,'Dados Funil'!A:A,'Dados Funil'!O:O,"")</f>
        <v/>
      </c>
      <c r="AE283" s="7" t="str">
        <f t="shared" si="13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8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9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0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1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2"/>
        <v/>
      </c>
      <c r="AB284" s="4" t="str">
        <f t="array" ref="AB284">XLOOKUP(X284,'Dados Funil'!A:A,'Dados Funil'!O:O,"")</f>
        <v/>
      </c>
      <c r="AE284" s="7" t="str">
        <f t="shared" si="13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8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9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0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1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2"/>
        <v/>
      </c>
      <c r="AB285" s="4" t="str">
        <f t="array" ref="AB285">XLOOKUP(X285,'Dados Funil'!A:A,'Dados Funil'!O:O,"")</f>
        <v/>
      </c>
      <c r="AE285" s="7" t="str">
        <f t="shared" si="13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8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9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0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1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2"/>
        <v/>
      </c>
      <c r="AB286" s="4" t="str">
        <f t="array" ref="AB286">XLOOKUP(X286,'Dados Funil'!A:A,'Dados Funil'!O:O,"")</f>
        <v/>
      </c>
      <c r="AE286" s="7" t="str">
        <f t="shared" si="13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8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9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0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1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2"/>
        <v/>
      </c>
      <c r="AB287" s="4" t="str">
        <f t="array" ref="AB287">XLOOKUP(X287,'Dados Funil'!A:A,'Dados Funil'!O:O,"")</f>
        <v/>
      </c>
      <c r="AE287" s="7" t="str">
        <f t="shared" si="13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8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9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0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1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2"/>
        <v/>
      </c>
      <c r="AB288" s="4" t="str">
        <f t="array" ref="AB288">XLOOKUP(X288,'Dados Funil'!A:A,'Dados Funil'!O:O,"")</f>
        <v/>
      </c>
      <c r="AE288" s="7" t="str">
        <f t="shared" si="13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8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9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0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1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2"/>
        <v/>
      </c>
      <c r="AB289" s="4" t="str">
        <f t="array" ref="AB289">XLOOKUP(X289,'Dados Funil'!A:A,'Dados Funil'!O:O,"")</f>
        <v/>
      </c>
      <c r="AE289" s="7" t="str">
        <f t="shared" si="13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8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9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0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1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2"/>
        <v/>
      </c>
      <c r="AB290" s="4" t="str">
        <f t="array" ref="AB290">XLOOKUP(X290,'Dados Funil'!A:A,'Dados Funil'!O:O,"")</f>
        <v/>
      </c>
      <c r="AE290" s="7" t="str">
        <f t="shared" si="13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8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9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0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1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2"/>
        <v/>
      </c>
      <c r="AB291" s="4" t="str">
        <f t="array" ref="AB291">XLOOKUP(X291,'Dados Funil'!A:A,'Dados Funil'!O:O,"")</f>
        <v/>
      </c>
      <c r="AE291" s="7" t="str">
        <f t="shared" si="13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8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9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0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1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2"/>
        <v/>
      </c>
      <c r="AB292" s="4" t="str">
        <f t="array" ref="AB292">XLOOKUP(X292,'Dados Funil'!A:A,'Dados Funil'!O:O,"")</f>
        <v/>
      </c>
      <c r="AE292" s="7" t="str">
        <f t="shared" si="13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8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9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0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1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2"/>
        <v/>
      </c>
      <c r="AB293" s="4" t="str">
        <f t="array" ref="AB293">XLOOKUP(X293,'Dados Funil'!A:A,'Dados Funil'!O:O,"")</f>
        <v/>
      </c>
      <c r="AE293" s="7" t="str">
        <f t="shared" si="13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8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9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0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1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2"/>
        <v/>
      </c>
      <c r="AB294" s="4" t="str">
        <f t="array" ref="AB294">XLOOKUP(X294,'Dados Funil'!A:A,'Dados Funil'!O:O,"")</f>
        <v/>
      </c>
      <c r="AE294" s="7" t="str">
        <f t="shared" si="13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8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9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0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1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2"/>
        <v/>
      </c>
      <c r="AB295" s="4" t="str">
        <f t="array" ref="AB295">XLOOKUP(X295,'Dados Funil'!A:A,'Dados Funil'!O:O,"")</f>
        <v/>
      </c>
      <c r="AE295" s="7" t="str">
        <f t="shared" si="13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8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9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0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1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2"/>
        <v/>
      </c>
      <c r="AB296" s="4" t="str">
        <f t="array" ref="AB296">XLOOKUP(X296,'Dados Funil'!A:A,'Dados Funil'!O:O,"")</f>
        <v/>
      </c>
      <c r="AE296" s="7" t="str">
        <f t="shared" si="13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8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9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0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1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2"/>
        <v/>
      </c>
      <c r="AB297" s="4" t="str">
        <f t="array" ref="AB297">XLOOKUP(X297,'Dados Funil'!A:A,'Dados Funil'!O:O,"")</f>
        <v/>
      </c>
      <c r="AE297" s="7" t="str">
        <f t="shared" si="13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8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9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0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1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2"/>
        <v/>
      </c>
      <c r="AB298" s="4" t="str">
        <f t="array" ref="AB298">XLOOKUP(X298,'Dados Funil'!A:A,'Dados Funil'!O:O,"")</f>
        <v/>
      </c>
      <c r="AE298" s="7" t="str">
        <f t="shared" si="13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8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9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0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1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2"/>
        <v/>
      </c>
      <c r="AB299" s="4" t="str">
        <f t="array" ref="AB299">XLOOKUP(X299,'Dados Funil'!A:A,'Dados Funil'!O:O,"")</f>
        <v/>
      </c>
      <c r="AE299" s="7" t="str">
        <f t="shared" si="13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8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9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0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1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2"/>
        <v/>
      </c>
      <c r="AB300" s="4" t="str">
        <f t="array" ref="AB300">XLOOKUP(X300,'Dados Funil'!A:A,'Dados Funil'!O:O,"")</f>
        <v/>
      </c>
      <c r="AE300" s="7" t="str">
        <f t="shared" si="13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8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9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0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1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2"/>
        <v/>
      </c>
      <c r="AB301" s="4" t="str">
        <f t="array" ref="AB301">XLOOKUP(X301,'Dados Funil'!A:A,'Dados Funil'!O:O,"")</f>
        <v/>
      </c>
      <c r="AE301" s="7" t="str">
        <f t="shared" si="13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8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9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0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1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2"/>
        <v/>
      </c>
      <c r="AB302" s="4" t="str">
        <f t="array" ref="AB302">XLOOKUP(X302,'Dados Funil'!A:A,'Dados Funil'!O:O,"")</f>
        <v/>
      </c>
      <c r="AE302" s="7" t="str">
        <f t="shared" si="13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8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9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0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1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2"/>
        <v/>
      </c>
      <c r="AB303" s="4" t="str">
        <f t="array" ref="AB303">XLOOKUP(X303,'Dados Funil'!A:A,'Dados Funil'!O:O,"")</f>
        <v/>
      </c>
      <c r="AE303" s="7" t="str">
        <f t="shared" si="13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8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9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0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1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2"/>
        <v/>
      </c>
      <c r="AB304" s="4" t="str">
        <f t="array" ref="AB304">XLOOKUP(X304,'Dados Funil'!A:A,'Dados Funil'!O:O,"")</f>
        <v/>
      </c>
      <c r="AE304" s="7" t="str">
        <f t="shared" si="13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8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9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0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1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2"/>
        <v/>
      </c>
      <c r="AB305" s="4" t="str">
        <f t="array" ref="AB305">XLOOKUP(X305,'Dados Funil'!A:A,'Dados Funil'!O:O,"")</f>
        <v/>
      </c>
      <c r="AE305" s="7" t="str">
        <f t="shared" si="13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8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9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0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1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2"/>
        <v/>
      </c>
      <c r="AB306" s="4" t="str">
        <f t="array" ref="AB306">XLOOKUP(X306,'Dados Funil'!A:A,'Dados Funil'!O:O,"")</f>
        <v/>
      </c>
      <c r="AE306" s="7" t="str">
        <f t="shared" si="13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8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9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0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1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2"/>
        <v/>
      </c>
      <c r="AB307" s="4" t="str">
        <f t="array" ref="AB307">XLOOKUP(X307,'Dados Funil'!A:A,'Dados Funil'!O:O,"")</f>
        <v/>
      </c>
      <c r="AE307" s="7" t="str">
        <f t="shared" si="13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8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9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0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1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2"/>
        <v/>
      </c>
      <c r="AB308" s="4" t="str">
        <f t="array" ref="AB308">XLOOKUP(X308,'Dados Funil'!A:A,'Dados Funil'!O:O,"")</f>
        <v/>
      </c>
      <c r="AE308" s="7" t="str">
        <f t="shared" si="13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8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9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0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1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2"/>
        <v/>
      </c>
      <c r="AB309" s="4" t="str">
        <f t="array" ref="AB309">XLOOKUP(X309,'Dados Funil'!A:A,'Dados Funil'!O:O,"")</f>
        <v/>
      </c>
      <c r="AE309" s="7" t="str">
        <f t="shared" si="13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8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9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0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1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2"/>
        <v/>
      </c>
      <c r="AB310" s="4" t="str">
        <f t="array" ref="AB310">XLOOKUP(X310,'Dados Funil'!A:A,'Dados Funil'!O:O,"")</f>
        <v/>
      </c>
      <c r="AE310" s="7" t="str">
        <f t="shared" si="13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8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9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0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1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2"/>
        <v/>
      </c>
      <c r="AB311" s="4" t="str">
        <f t="array" ref="AB311">XLOOKUP(X311,'Dados Funil'!A:A,'Dados Funil'!O:O,"")</f>
        <v/>
      </c>
      <c r="AE311" s="7" t="str">
        <f t="shared" si="13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8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9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0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1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2"/>
        <v/>
      </c>
      <c r="AB312" s="4" t="str">
        <f t="array" ref="AB312">XLOOKUP(X312,'Dados Funil'!A:A,'Dados Funil'!O:O,"")</f>
        <v/>
      </c>
      <c r="AE312" s="7" t="str">
        <f t="shared" si="13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8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9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0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1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2"/>
        <v/>
      </c>
      <c r="AB313" s="4" t="str">
        <f t="array" ref="AB313">XLOOKUP(X313,'Dados Funil'!A:A,'Dados Funil'!O:O,"")</f>
        <v/>
      </c>
      <c r="AE313" s="7" t="str">
        <f t="shared" si="13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8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9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0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1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2"/>
        <v/>
      </c>
      <c r="AB314" s="4" t="str">
        <f t="array" ref="AB314">XLOOKUP(X314,'Dados Funil'!A:A,'Dados Funil'!O:O,"")</f>
        <v/>
      </c>
      <c r="AE314" s="7" t="str">
        <f t="shared" si="13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8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9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0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1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2"/>
        <v/>
      </c>
      <c r="AB315" s="4" t="str">
        <f t="array" ref="AB315">XLOOKUP(X315,'Dados Funil'!A:A,'Dados Funil'!O:O,"")</f>
        <v/>
      </c>
      <c r="AE315" s="7" t="str">
        <f t="shared" si="13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8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9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0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1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2"/>
        <v/>
      </c>
      <c r="AB316" s="4" t="str">
        <f t="array" ref="AB316">XLOOKUP(X316,'Dados Funil'!A:A,'Dados Funil'!O:O,"")</f>
        <v/>
      </c>
      <c r="AE316" s="7" t="str">
        <f t="shared" si="13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8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9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0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1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2"/>
        <v/>
      </c>
      <c r="AB317" s="4" t="str">
        <f t="array" ref="AB317">XLOOKUP(X317,'Dados Funil'!A:A,'Dados Funil'!O:O,"")</f>
        <v/>
      </c>
      <c r="AE317" s="7" t="str">
        <f t="shared" si="13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8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9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0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1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2"/>
        <v/>
      </c>
      <c r="AB318" s="4" t="str">
        <f t="array" ref="AB318">XLOOKUP(X318,'Dados Funil'!A:A,'Dados Funil'!O:O,"")</f>
        <v/>
      </c>
      <c r="AE318" s="7" t="str">
        <f t="shared" si="13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8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9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0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1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2"/>
        <v/>
      </c>
      <c r="AB319" s="4" t="str">
        <f t="array" ref="AB319">XLOOKUP(X319,'Dados Funil'!A:A,'Dados Funil'!O:O,"")</f>
        <v/>
      </c>
      <c r="AE319" s="7" t="str">
        <f t="shared" si="13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8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9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0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1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2"/>
        <v/>
      </c>
      <c r="AB320" s="4" t="str">
        <f t="array" ref="AB320">XLOOKUP(X320,'Dados Funil'!A:A,'Dados Funil'!O:O,"")</f>
        <v/>
      </c>
      <c r="AE320" s="7" t="str">
        <f t="shared" si="13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8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9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0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1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2"/>
        <v/>
      </c>
      <c r="AB321" s="4" t="str">
        <f t="array" ref="AB321">XLOOKUP(X321,'Dados Funil'!A:A,'Dados Funil'!O:O,"")</f>
        <v/>
      </c>
      <c r="AE321" s="7" t="str">
        <f t="shared" si="13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8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9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0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1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2"/>
        <v/>
      </c>
      <c r="AB322" s="4" t="str">
        <f t="array" ref="AB322">XLOOKUP(X322,'Dados Funil'!A:A,'Dados Funil'!O:O,"")</f>
        <v/>
      </c>
      <c r="AE322" s="7" t="str">
        <f t="shared" si="13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8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9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0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1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2"/>
        <v/>
      </c>
      <c r="AB323" s="4" t="str">
        <f t="array" ref="AB323">XLOOKUP(X323,'Dados Funil'!A:A,'Dados Funil'!O:O,"")</f>
        <v/>
      </c>
      <c r="AE323" s="7" t="str">
        <f t="shared" si="13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8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9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0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1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2"/>
        <v/>
      </c>
      <c r="AB324" s="4" t="str">
        <f t="array" ref="AB324">XLOOKUP(X324,'Dados Funil'!A:A,'Dados Funil'!O:O,"")</f>
        <v/>
      </c>
      <c r="AE324" s="7" t="str">
        <f t="shared" si="13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8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9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0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1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2"/>
        <v/>
      </c>
      <c r="AB325" s="4" t="str">
        <f t="array" ref="AB325">XLOOKUP(X325,'Dados Funil'!A:A,'Dados Funil'!O:O,"")</f>
        <v/>
      </c>
      <c r="AE325" s="7" t="str">
        <f t="shared" si="13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8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9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0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1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2"/>
        <v/>
      </c>
      <c r="AB326" s="4" t="str">
        <f t="array" ref="AB326">XLOOKUP(X326,'Dados Funil'!A:A,'Dados Funil'!O:O,"")</f>
        <v/>
      </c>
      <c r="AE326" s="7" t="str">
        <f t="shared" si="13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8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9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0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1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2"/>
        <v/>
      </c>
      <c r="AB327" s="4" t="str">
        <f t="array" ref="AB327">XLOOKUP(X327,'Dados Funil'!A:A,'Dados Funil'!O:O,"")</f>
        <v/>
      </c>
      <c r="AE327" s="7" t="str">
        <f t="shared" si="13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8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9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0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1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2"/>
        <v/>
      </c>
      <c r="AB328" s="4" t="str">
        <f t="array" ref="AB328">XLOOKUP(X328,'Dados Funil'!A:A,'Dados Funil'!O:O,"")</f>
        <v/>
      </c>
      <c r="AE328" s="7" t="str">
        <f t="shared" si="13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8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9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0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1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2"/>
        <v/>
      </c>
      <c r="AB329" s="4" t="str">
        <f t="array" ref="AB329">XLOOKUP(X329,'Dados Funil'!A:A,'Dados Funil'!O:O,"")</f>
        <v/>
      </c>
      <c r="AE329" s="7" t="str">
        <f t="shared" si="13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8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9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0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1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2"/>
        <v/>
      </c>
      <c r="AB330" s="4" t="str">
        <f t="array" ref="AB330">XLOOKUP(X330,'Dados Funil'!A:A,'Dados Funil'!O:O,"")</f>
        <v/>
      </c>
      <c r="AE330" s="7" t="str">
        <f t="shared" si="13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8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9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0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1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2"/>
        <v/>
      </c>
      <c r="AB331" s="4" t="str">
        <f t="array" ref="AB331">XLOOKUP(X331,'Dados Funil'!A:A,'Dados Funil'!O:O,"")</f>
        <v/>
      </c>
      <c r="AE331" s="7" t="str">
        <f t="shared" si="13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8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9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0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1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2"/>
        <v/>
      </c>
      <c r="AB332" s="4" t="str">
        <f t="array" ref="AB332">XLOOKUP(X332,'Dados Funil'!A:A,'Dados Funil'!O:O,"")</f>
        <v/>
      </c>
      <c r="AE332" s="7" t="str">
        <f t="shared" si="13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8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9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0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1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2"/>
        <v/>
      </c>
      <c r="AB333" s="4" t="str">
        <f t="array" ref="AB333">XLOOKUP(X333,'Dados Funil'!A:A,'Dados Funil'!O:O,"")</f>
        <v/>
      </c>
      <c r="AE333" s="7" t="str">
        <f t="shared" si="13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8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9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0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1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2"/>
        <v/>
      </c>
      <c r="AB334" s="4" t="str">
        <f t="array" ref="AB334">XLOOKUP(X334,'Dados Funil'!A:A,'Dados Funil'!O:O,"")</f>
        <v/>
      </c>
      <c r="AE334" s="7" t="str">
        <f t="shared" si="13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8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9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0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1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2"/>
        <v/>
      </c>
      <c r="AB335" s="4" t="str">
        <f t="array" ref="AB335">XLOOKUP(X335,'Dados Funil'!A:A,'Dados Funil'!O:O,"")</f>
        <v/>
      </c>
      <c r="AE335" s="7" t="str">
        <f t="shared" si="13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8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9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0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1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2"/>
        <v/>
      </c>
      <c r="AB336" s="4" t="str">
        <f t="array" ref="AB336">XLOOKUP(X336,'Dados Funil'!A:A,'Dados Funil'!O:O,"")</f>
        <v/>
      </c>
      <c r="AE336" s="7" t="str">
        <f t="shared" si="13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8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9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0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1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2"/>
        <v/>
      </c>
      <c r="AB337" s="4" t="str">
        <f t="array" ref="AB337">XLOOKUP(X337,'Dados Funil'!A:A,'Dados Funil'!O:O,"")</f>
        <v/>
      </c>
      <c r="AE337" s="7" t="str">
        <f t="shared" si="13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8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9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0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1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2"/>
        <v/>
      </c>
      <c r="AB338" s="4" t="str">
        <f t="array" ref="AB338">XLOOKUP(X338,'Dados Funil'!A:A,'Dados Funil'!O:O,"")</f>
        <v/>
      </c>
      <c r="AE338" s="7" t="str">
        <f t="shared" si="13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8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9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0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1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2"/>
        <v/>
      </c>
      <c r="AB339" s="4" t="str">
        <f t="array" ref="AB339">XLOOKUP(X339,'Dados Funil'!A:A,'Dados Funil'!O:O,"")</f>
        <v/>
      </c>
      <c r="AE339" s="7" t="str">
        <f t="shared" si="13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8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9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0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1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2"/>
        <v/>
      </c>
      <c r="AB340" s="4" t="str">
        <f t="array" ref="AB340">XLOOKUP(X340,'Dados Funil'!A:A,'Dados Funil'!O:O,"")</f>
        <v/>
      </c>
      <c r="AE340" s="7" t="str">
        <f t="shared" si="13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8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9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0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1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2"/>
        <v/>
      </c>
      <c r="AB341" s="4" t="str">
        <f t="array" ref="AB341">XLOOKUP(X341,'Dados Funil'!A:A,'Dados Funil'!O:O,"")</f>
        <v/>
      </c>
      <c r="AE341" s="7" t="str">
        <f t="shared" si="13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8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9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0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1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2"/>
        <v/>
      </c>
      <c r="AB342" s="4" t="str">
        <f t="array" ref="AB342">XLOOKUP(X342,'Dados Funil'!A:A,'Dados Funil'!O:O,"")</f>
        <v/>
      </c>
      <c r="AE342" s="7" t="str">
        <f t="shared" si="13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8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9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0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1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2"/>
        <v/>
      </c>
      <c r="AB343" s="4" t="str">
        <f t="array" ref="AB343">XLOOKUP(X343,'Dados Funil'!A:A,'Dados Funil'!O:O,"")</f>
        <v/>
      </c>
      <c r="AE343" s="7" t="str">
        <f t="shared" si="13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8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9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0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1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2"/>
        <v/>
      </c>
      <c r="AB344" s="4" t="str">
        <f t="array" ref="AB344">XLOOKUP(X344,'Dados Funil'!A:A,'Dados Funil'!O:O,"")</f>
        <v/>
      </c>
      <c r="AE344" s="7" t="str">
        <f t="shared" si="13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8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9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0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1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2"/>
        <v/>
      </c>
      <c r="AB345" s="4" t="str">
        <f t="array" ref="AB345">XLOOKUP(X345,'Dados Funil'!A:A,'Dados Funil'!O:O,"")</f>
        <v/>
      </c>
      <c r="AE345" s="7" t="str">
        <f t="shared" si="13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8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9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0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1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2"/>
        <v/>
      </c>
      <c r="AB346" s="4" t="str">
        <f t="array" ref="AB346">XLOOKUP(X346,'Dados Funil'!A:A,'Dados Funil'!O:O,"")</f>
        <v/>
      </c>
      <c r="AE346" s="7" t="str">
        <f t="shared" si="13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8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9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0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1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2"/>
        <v/>
      </c>
      <c r="AB347" s="4" t="str">
        <f t="array" ref="AB347">XLOOKUP(X347,'Dados Funil'!A:A,'Dados Funil'!O:O,"")</f>
        <v/>
      </c>
      <c r="AE347" s="7" t="str">
        <f t="shared" si="13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8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9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0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1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2"/>
        <v/>
      </c>
      <c r="AB348" s="4" t="str">
        <f t="array" ref="AB348">XLOOKUP(X348,'Dados Funil'!A:A,'Dados Funil'!O:O,"")</f>
        <v/>
      </c>
      <c r="AE348" s="7" t="str">
        <f t="shared" si="13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8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9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0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1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2"/>
        <v/>
      </c>
      <c r="AB349" s="4" t="str">
        <f t="array" ref="AB349">XLOOKUP(X349,'Dados Funil'!A:A,'Dados Funil'!O:O,"")</f>
        <v/>
      </c>
      <c r="AE349" s="7" t="str">
        <f t="shared" si="13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8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9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0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1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2"/>
        <v/>
      </c>
      <c r="AB350" s="4" t="str">
        <f t="array" ref="AB350">XLOOKUP(X350,'Dados Funil'!A:A,'Dados Funil'!O:O,"")</f>
        <v/>
      </c>
      <c r="AE350" s="7" t="str">
        <f t="shared" si="13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8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9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0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1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2"/>
        <v/>
      </c>
      <c r="AB351" s="4" t="str">
        <f t="array" ref="AB351">XLOOKUP(X351,'Dados Funil'!A:A,'Dados Funil'!O:O,"")</f>
        <v/>
      </c>
      <c r="AE351" s="7" t="str">
        <f t="shared" si="13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8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9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0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1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2"/>
        <v/>
      </c>
      <c r="AB352" s="4" t="str">
        <f t="array" ref="AB352">XLOOKUP(X352,'Dados Funil'!A:A,'Dados Funil'!O:O,"")</f>
        <v/>
      </c>
      <c r="AE352" s="7" t="str">
        <f t="shared" si="13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8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9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0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1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2"/>
        <v/>
      </c>
      <c r="AB353" s="4" t="str">
        <f t="array" ref="AB353">XLOOKUP(X353,'Dados Funil'!A:A,'Dados Funil'!O:O,"")</f>
        <v/>
      </c>
      <c r="AE353" s="7" t="str">
        <f t="shared" si="13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8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9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0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1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2"/>
        <v/>
      </c>
      <c r="AB354" s="4" t="str">
        <f t="array" ref="AB354">XLOOKUP(X354,'Dados Funil'!A:A,'Dados Funil'!O:O,"")</f>
        <v/>
      </c>
      <c r="AE354" s="7" t="str">
        <f t="shared" si="13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8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9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0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1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2"/>
        <v/>
      </c>
      <c r="AB355" s="4" t="str">
        <f t="array" ref="AB355">XLOOKUP(X355,'Dados Funil'!A:A,'Dados Funil'!O:O,"")</f>
        <v/>
      </c>
      <c r="AE355" s="7" t="str">
        <f t="shared" si="13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8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9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0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1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2"/>
        <v/>
      </c>
      <c r="AB356" s="4" t="str">
        <f t="array" ref="AB356">XLOOKUP(X356,'Dados Funil'!A:A,'Dados Funil'!O:O,"")</f>
        <v/>
      </c>
      <c r="AE356" s="7" t="str">
        <f t="shared" si="13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8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9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0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1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2"/>
        <v/>
      </c>
      <c r="AB357" s="4" t="str">
        <f t="array" ref="AB357">XLOOKUP(X357,'Dados Funil'!A:A,'Dados Funil'!O:O,"")</f>
        <v/>
      </c>
      <c r="AE357" s="7" t="str">
        <f t="shared" si="13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8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9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0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1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2"/>
        <v/>
      </c>
      <c r="AB358" s="4" t="str">
        <f t="array" ref="AB358">XLOOKUP(X358,'Dados Funil'!A:A,'Dados Funil'!O:O,"")</f>
        <v/>
      </c>
      <c r="AE358" s="7" t="str">
        <f t="shared" si="13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8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9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0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1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2"/>
        <v/>
      </c>
      <c r="AB359" s="4" t="str">
        <f t="array" ref="AB359">XLOOKUP(X359,'Dados Funil'!A:A,'Dados Funil'!O:O,"")</f>
        <v/>
      </c>
      <c r="AE359" s="7" t="str">
        <f t="shared" si="13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8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9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0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1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2"/>
        <v/>
      </c>
      <c r="AB360" s="4" t="str">
        <f t="array" ref="AB360">XLOOKUP(X360,'Dados Funil'!A:A,'Dados Funil'!O:O,"")</f>
        <v/>
      </c>
      <c r="AE360" s="7" t="str">
        <f t="shared" si="13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8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9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0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1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2"/>
        <v/>
      </c>
      <c r="AB361" s="4" t="str">
        <f t="array" ref="AB361">XLOOKUP(X361,'Dados Funil'!A:A,'Dados Funil'!O:O,"")</f>
        <v/>
      </c>
      <c r="AE361" s="7" t="str">
        <f t="shared" si="13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8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9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0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1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2"/>
        <v/>
      </c>
      <c r="AB362" s="4" t="str">
        <f t="array" ref="AB362">XLOOKUP(X362,'Dados Funil'!A:A,'Dados Funil'!O:O,"")</f>
        <v/>
      </c>
      <c r="AE362" s="7" t="str">
        <f t="shared" si="13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8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9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0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1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2"/>
        <v/>
      </c>
      <c r="AB363" s="4" t="str">
        <f t="array" ref="AB363">XLOOKUP(X363,'Dados Funil'!A:A,'Dados Funil'!O:O,"")</f>
        <v/>
      </c>
      <c r="AE363" s="7" t="str">
        <f t="shared" si="13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8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9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0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1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2"/>
        <v/>
      </c>
      <c r="AB364" s="4" t="str">
        <f t="array" ref="AB364">XLOOKUP(X364,'Dados Funil'!A:A,'Dados Funil'!O:O,"")</f>
        <v/>
      </c>
      <c r="AE364" s="7" t="str">
        <f t="shared" si="13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8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9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0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1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2"/>
        <v/>
      </c>
      <c r="AB365" s="4" t="str">
        <f t="array" ref="AB365">XLOOKUP(X365,'Dados Funil'!A:A,'Dados Funil'!O:O,"")</f>
        <v/>
      </c>
      <c r="AE365" s="7" t="str">
        <f t="shared" si="13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8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9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0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1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2"/>
        <v/>
      </c>
      <c r="AB366" s="4" t="str">
        <f t="array" ref="AB366">XLOOKUP(X366,'Dados Funil'!A:A,'Dados Funil'!O:O,"")</f>
        <v/>
      </c>
      <c r="AE366" s="7" t="str">
        <f t="shared" si="13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8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9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0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1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2"/>
        <v/>
      </c>
      <c r="AB367" s="4" t="str">
        <f t="array" ref="AB367">XLOOKUP(X367,'Dados Funil'!A:A,'Dados Funil'!O:O,"")</f>
        <v/>
      </c>
      <c r="AE367" s="7" t="str">
        <f t="shared" si="13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8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9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0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1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2"/>
        <v/>
      </c>
      <c r="AB368" s="4" t="str">
        <f t="array" ref="AB368">XLOOKUP(X368,'Dados Funil'!A:A,'Dados Funil'!O:O,"")</f>
        <v/>
      </c>
      <c r="AE368" s="7" t="str">
        <f t="shared" si="13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8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9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0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1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2"/>
        <v/>
      </c>
      <c r="AB369" s="4" t="str">
        <f t="array" ref="AB369">XLOOKUP(X369,'Dados Funil'!A:A,'Dados Funil'!O:O,"")</f>
        <v/>
      </c>
      <c r="AE369" s="7" t="str">
        <f t="shared" si="13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8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9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0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1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2"/>
        <v/>
      </c>
      <c r="AB370" s="4" t="str">
        <f t="array" ref="AB370">XLOOKUP(X370,'Dados Funil'!A:A,'Dados Funil'!O:O,"")</f>
        <v/>
      </c>
      <c r="AE370" s="7" t="str">
        <f t="shared" si="13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8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9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0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1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2"/>
        <v/>
      </c>
      <c r="AB371" s="4" t="str">
        <f t="array" ref="AB371">XLOOKUP(X371,'Dados Funil'!A:A,'Dados Funil'!O:O,"")</f>
        <v/>
      </c>
      <c r="AE371" s="7" t="str">
        <f t="shared" si="13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8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9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0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1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2"/>
        <v/>
      </c>
      <c r="AB372" s="4" t="str">
        <f t="array" ref="AB372">XLOOKUP(X372,'Dados Funil'!A:A,'Dados Funil'!O:O,"")</f>
        <v/>
      </c>
      <c r="AE372" s="7" t="str">
        <f t="shared" si="13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8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9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0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1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2"/>
        <v/>
      </c>
      <c r="AB373" s="4" t="str">
        <f t="array" ref="AB373">XLOOKUP(X373,'Dados Funil'!A:A,'Dados Funil'!O:O,"")</f>
        <v/>
      </c>
      <c r="AE373" s="7" t="str">
        <f t="shared" si="13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8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9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0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1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2"/>
        <v/>
      </c>
      <c r="AB374" s="4" t="str">
        <f t="array" ref="AB374">XLOOKUP(X374,'Dados Funil'!A:A,'Dados Funil'!O:O,"")</f>
        <v/>
      </c>
      <c r="AE374" s="7" t="str">
        <f t="shared" si="13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8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9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0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1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2"/>
        <v/>
      </c>
      <c r="AB375" s="4" t="str">
        <f t="array" ref="AB375">XLOOKUP(X375,'Dados Funil'!A:A,'Dados Funil'!O:O,"")</f>
        <v/>
      </c>
      <c r="AE375" s="7" t="str">
        <f t="shared" si="13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8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9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0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1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2"/>
        <v/>
      </c>
      <c r="AB376" s="4" t="str">
        <f t="array" ref="AB376">XLOOKUP(X376,'Dados Funil'!A:A,'Dados Funil'!O:O,"")</f>
        <v/>
      </c>
      <c r="AE376" s="7" t="str">
        <f t="shared" si="13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8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9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0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1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2"/>
        <v/>
      </c>
      <c r="AB377" s="4" t="str">
        <f t="array" ref="AB377">XLOOKUP(X377,'Dados Funil'!A:A,'Dados Funil'!O:O,"")</f>
        <v/>
      </c>
      <c r="AE377" s="7" t="str">
        <f t="shared" si="13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8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9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0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1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2"/>
        <v/>
      </c>
      <c r="AB378" s="4" t="str">
        <f t="array" ref="AB378">XLOOKUP(X378,'Dados Funil'!A:A,'Dados Funil'!O:O,"")</f>
        <v/>
      </c>
      <c r="AE378" s="7" t="str">
        <f t="shared" si="13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8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9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0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1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2"/>
        <v/>
      </c>
      <c r="AB379" s="4" t="str">
        <f t="array" ref="AB379">XLOOKUP(X379,'Dados Funil'!A:A,'Dados Funil'!O:O,"")</f>
        <v/>
      </c>
      <c r="AE379" s="7" t="str">
        <f t="shared" si="13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8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9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0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1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2"/>
        <v/>
      </c>
      <c r="AB380" s="4" t="str">
        <f t="array" ref="AB380">XLOOKUP(X380,'Dados Funil'!A:A,'Dados Funil'!O:O,"")</f>
        <v/>
      </c>
      <c r="AE380" s="7" t="str">
        <f t="shared" si="13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8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9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0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1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2"/>
        <v/>
      </c>
      <c r="AB381" s="4" t="str">
        <f t="array" ref="AB381">XLOOKUP(X381,'Dados Funil'!A:A,'Dados Funil'!O:O,"")</f>
        <v/>
      </c>
      <c r="AE381" s="7" t="str">
        <f t="shared" si="13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8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9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0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1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2"/>
        <v/>
      </c>
      <c r="AB382" s="4" t="str">
        <f t="array" ref="AB382">XLOOKUP(X382,'Dados Funil'!A:A,'Dados Funil'!O:O,"")</f>
        <v/>
      </c>
      <c r="AE382" s="7" t="str">
        <f t="shared" si="13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8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9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0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1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2"/>
        <v/>
      </c>
      <c r="AB383" s="4" t="str">
        <f t="array" ref="AB383">XLOOKUP(X383,'Dados Funil'!A:A,'Dados Funil'!O:O,"")</f>
        <v/>
      </c>
      <c r="AE383" s="7" t="str">
        <f t="shared" si="13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8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9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0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1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2"/>
        <v/>
      </c>
      <c r="AB384" s="4" t="str">
        <f t="array" ref="AB384">XLOOKUP(X384,'Dados Funil'!A:A,'Dados Funil'!O:O,"")</f>
        <v/>
      </c>
      <c r="AE384" s="7" t="str">
        <f t="shared" si="13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8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9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0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1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2"/>
        <v/>
      </c>
      <c r="AB385" s="4" t="str">
        <f t="array" ref="AB385">XLOOKUP(X385,'Dados Funil'!A:A,'Dados Funil'!O:O,"")</f>
        <v/>
      </c>
      <c r="AE385" s="7" t="str">
        <f t="shared" si="13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8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9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0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1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2"/>
        <v/>
      </c>
      <c r="AB386" s="4" t="str">
        <f t="array" ref="AB386">XLOOKUP(X386,'Dados Funil'!A:A,'Dados Funil'!O:O,"")</f>
        <v/>
      </c>
      <c r="AE386" s="7" t="str">
        <f t="shared" si="13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8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9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0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1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2"/>
        <v/>
      </c>
      <c r="AB387" s="4" t="str">
        <f t="array" ref="AB387">XLOOKUP(X387,'Dados Funil'!A:A,'Dados Funil'!O:O,"")</f>
        <v/>
      </c>
      <c r="AE387" s="7" t="str">
        <f t="shared" si="13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8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9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0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1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2"/>
        <v/>
      </c>
      <c r="AB388" s="4" t="str">
        <f t="array" ref="AB388">XLOOKUP(X388,'Dados Funil'!A:A,'Dados Funil'!O:O,"")</f>
        <v/>
      </c>
      <c r="AE388" s="7" t="str">
        <f t="shared" si="13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8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9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0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1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2"/>
        <v/>
      </c>
      <c r="AB389" s="4" t="str">
        <f t="array" ref="AB389">XLOOKUP(X389,'Dados Funil'!A:A,'Dados Funil'!O:O,"")</f>
        <v/>
      </c>
      <c r="AE389" s="7" t="str">
        <f t="shared" si="13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8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9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0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1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2"/>
        <v/>
      </c>
      <c r="AB390" s="4" t="str">
        <f t="array" ref="AB390">XLOOKUP(X390,'Dados Funil'!A:A,'Dados Funil'!O:O,"")</f>
        <v/>
      </c>
      <c r="AE390" s="7" t="str">
        <f t="shared" si="13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8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9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0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1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2"/>
        <v/>
      </c>
      <c r="AB391" s="4" t="str">
        <f t="array" ref="AB391">XLOOKUP(X391,'Dados Funil'!A:A,'Dados Funil'!O:O,"")</f>
        <v/>
      </c>
      <c r="AE391" s="7" t="str">
        <f t="shared" si="13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8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9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0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1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2"/>
        <v/>
      </c>
      <c r="AB392" s="4" t="str">
        <f t="array" ref="AB392">XLOOKUP(X392,'Dados Funil'!A:A,'Dados Funil'!O:O,"")</f>
        <v/>
      </c>
      <c r="AE392" s="7" t="str">
        <f t="shared" si="13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8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9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0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1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2"/>
        <v/>
      </c>
      <c r="AB393" s="4" t="str">
        <f t="array" ref="AB393">XLOOKUP(X393,'Dados Funil'!A:A,'Dados Funil'!O:O,"")</f>
        <v/>
      </c>
      <c r="AE393" s="7" t="str">
        <f t="shared" si="13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8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9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0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1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2"/>
        <v/>
      </c>
      <c r="AB394" s="4" t="str">
        <f t="array" ref="AB394">XLOOKUP(X394,'Dados Funil'!A:A,'Dados Funil'!O:O,"")</f>
        <v/>
      </c>
      <c r="AE394" s="7" t="str">
        <f t="shared" si="13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8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9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0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1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2"/>
        <v/>
      </c>
      <c r="AB395" s="4" t="str">
        <f t="array" ref="AB395">XLOOKUP(X395,'Dados Funil'!A:A,'Dados Funil'!O:O,"")</f>
        <v/>
      </c>
      <c r="AE395" s="7" t="str">
        <f t="shared" si="13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8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9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0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1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2"/>
        <v/>
      </c>
      <c r="AB396" s="4" t="str">
        <f t="array" ref="AB396">XLOOKUP(X396,'Dados Funil'!A:A,'Dados Funil'!O:O,"")</f>
        <v/>
      </c>
      <c r="AE396" s="7" t="str">
        <f t="shared" si="13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8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9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0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1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2"/>
        <v/>
      </c>
      <c r="AB397" s="4" t="str">
        <f t="array" ref="AB397">XLOOKUP(X397,'Dados Funil'!A:A,'Dados Funil'!O:O,"")</f>
        <v/>
      </c>
      <c r="AE397" s="7" t="str">
        <f t="shared" si="13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8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9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0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1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2"/>
        <v/>
      </c>
      <c r="AB398" s="4" t="str">
        <f t="array" ref="AB398">XLOOKUP(X398,'Dados Funil'!A:A,'Dados Funil'!O:O,"")</f>
        <v/>
      </c>
      <c r="AE398" s="7" t="str">
        <f t="shared" si="13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8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9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0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1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2"/>
        <v/>
      </c>
      <c r="AB399" s="4" t="str">
        <f t="array" ref="AB399">XLOOKUP(X399,'Dados Funil'!A:A,'Dados Funil'!O:O,"")</f>
        <v/>
      </c>
      <c r="AE399" s="7" t="str">
        <f t="shared" si="13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8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9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0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1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2"/>
        <v/>
      </c>
      <c r="AB400" s="4" t="str">
        <f t="array" ref="AB400">XLOOKUP(X400,'Dados Funil'!A:A,'Dados Funil'!O:O,"")</f>
        <v/>
      </c>
      <c r="AE400" s="7" t="str">
        <f t="shared" si="13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8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9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0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1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2"/>
        <v/>
      </c>
      <c r="AB401" s="4" t="str">
        <f t="array" ref="AB401">XLOOKUP(X401,'Dados Funil'!A:A,'Dados Funil'!O:O,"")</f>
        <v/>
      </c>
      <c r="AE401" s="7" t="str">
        <f t="shared" si="13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8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9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0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1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2"/>
        <v/>
      </c>
      <c r="AB402" s="4" t="str">
        <f t="array" ref="AB402">XLOOKUP(X402,'Dados Funil'!A:A,'Dados Funil'!O:O,"")</f>
        <v/>
      </c>
      <c r="AE402" s="7" t="str">
        <f t="shared" si="13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8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9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0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1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2"/>
        <v/>
      </c>
      <c r="AB403" s="4" t="str">
        <f t="array" ref="AB403">XLOOKUP(X403,'Dados Funil'!A:A,'Dados Funil'!O:O,"")</f>
        <v/>
      </c>
      <c r="AE403" s="7" t="str">
        <f t="shared" si="13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8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9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0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1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2"/>
        <v/>
      </c>
      <c r="AB404" s="4" t="str">
        <f t="array" ref="AB404">XLOOKUP(X404,'Dados Funil'!A:A,'Dados Funil'!O:O,"")</f>
        <v/>
      </c>
      <c r="AE404" s="7" t="str">
        <f t="shared" si="13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8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9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0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1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2"/>
        <v/>
      </c>
      <c r="AB405" s="4" t="str">
        <f t="array" ref="AB405">XLOOKUP(X405,'Dados Funil'!A:A,'Dados Funil'!O:O,"")</f>
        <v/>
      </c>
      <c r="AE405" s="7" t="str">
        <f t="shared" si="13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8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9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0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1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2"/>
        <v/>
      </c>
      <c r="AB406" s="4" t="str">
        <f t="array" ref="AB406">XLOOKUP(X406,'Dados Funil'!A:A,'Dados Funil'!O:O,"")</f>
        <v/>
      </c>
      <c r="AE406" s="7" t="str">
        <f t="shared" si="13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8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9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0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1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2"/>
        <v/>
      </c>
      <c r="AB407" s="4" t="str">
        <f t="array" ref="AB407">XLOOKUP(X407,'Dados Funil'!A:A,'Dados Funil'!O:O,"")</f>
        <v/>
      </c>
      <c r="AE407" s="7" t="str">
        <f t="shared" si="13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8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9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0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1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2"/>
        <v/>
      </c>
      <c r="AB408" s="4" t="str">
        <f t="array" ref="AB408">XLOOKUP(X408,'Dados Funil'!A:A,'Dados Funil'!O:O,"")</f>
        <v/>
      </c>
      <c r="AE408" s="7" t="str">
        <f t="shared" si="13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8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9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0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1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2"/>
        <v/>
      </c>
      <c r="AB409" s="4" t="str">
        <f t="array" ref="AB409">XLOOKUP(X409,'Dados Funil'!A:A,'Dados Funil'!O:O,"")</f>
        <v/>
      </c>
      <c r="AE409" s="7" t="str">
        <f t="shared" si="13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8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9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0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1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2"/>
        <v/>
      </c>
      <c r="AB410" s="4" t="str">
        <f t="array" ref="AB410">XLOOKUP(X410,'Dados Funil'!A:A,'Dados Funil'!O:O,"")</f>
        <v/>
      </c>
      <c r="AE410" s="7" t="str">
        <f t="shared" si="13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8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9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0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1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2"/>
        <v/>
      </c>
      <c r="AB411" s="4" t="str">
        <f t="array" ref="AB411">XLOOKUP(X411,'Dados Funil'!A:A,'Dados Funil'!O:O,"")</f>
        <v/>
      </c>
      <c r="AE411" s="7" t="str">
        <f t="shared" si="13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8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9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0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1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2"/>
        <v/>
      </c>
      <c r="AB412" s="4" t="str">
        <f t="array" ref="AB412">XLOOKUP(X412,'Dados Funil'!A:A,'Dados Funil'!O:O,"")</f>
        <v/>
      </c>
      <c r="AE412" s="7" t="str">
        <f t="shared" si="13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8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9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0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1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2"/>
        <v/>
      </c>
      <c r="AB413" s="4" t="str">
        <f t="array" ref="AB413">XLOOKUP(X413,'Dados Funil'!A:A,'Dados Funil'!O:O,"")</f>
        <v/>
      </c>
      <c r="AE413" s="7" t="str">
        <f t="shared" si="13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8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9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0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1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2"/>
        <v/>
      </c>
      <c r="AB414" s="4" t="str">
        <f t="array" ref="AB414">XLOOKUP(X414,'Dados Funil'!A:A,'Dados Funil'!O:O,"")</f>
        <v/>
      </c>
      <c r="AE414" s="7" t="str">
        <f t="shared" si="13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8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9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0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1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2"/>
        <v/>
      </c>
      <c r="AB415" s="4" t="str">
        <f t="array" ref="AB415">XLOOKUP(X415,'Dados Funil'!A:A,'Dados Funil'!O:O,"")</f>
        <v/>
      </c>
      <c r="AE415" s="7" t="str">
        <f t="shared" si="13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8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9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0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1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2"/>
        <v/>
      </c>
      <c r="AB416" s="4" t="str">
        <f t="array" ref="AB416">XLOOKUP(X416,'Dados Funil'!A:A,'Dados Funil'!O:O,"")</f>
        <v/>
      </c>
      <c r="AE416" s="7" t="str">
        <f t="shared" si="13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8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9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0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1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2"/>
        <v/>
      </c>
      <c r="AB417" s="4" t="str">
        <f t="array" ref="AB417">XLOOKUP(X417,'Dados Funil'!A:A,'Dados Funil'!O:O,"")</f>
        <v/>
      </c>
      <c r="AE417" s="7" t="str">
        <f t="shared" si="13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8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9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0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1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2"/>
        <v/>
      </c>
      <c r="AB418" s="4" t="str">
        <f t="array" ref="AB418">XLOOKUP(X418,'Dados Funil'!A:A,'Dados Funil'!O:O,"")</f>
        <v/>
      </c>
      <c r="AE418" s="7" t="str">
        <f t="shared" si="13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8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9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0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1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2"/>
        <v/>
      </c>
      <c r="AB419" s="4" t="str">
        <f t="array" ref="AB419">XLOOKUP(X419,'Dados Funil'!A:A,'Dados Funil'!O:O,"")</f>
        <v/>
      </c>
      <c r="AE419" s="7" t="str">
        <f t="shared" si="13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8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9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0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1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2"/>
        <v/>
      </c>
      <c r="AB420" s="4" t="str">
        <f t="array" ref="AB420">XLOOKUP(X420,'Dados Funil'!A:A,'Dados Funil'!O:O,"")</f>
        <v/>
      </c>
      <c r="AE420" s="7" t="str">
        <f t="shared" si="13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8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9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0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1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2"/>
        <v/>
      </c>
      <c r="AB421" s="4" t="str">
        <f t="array" ref="AB421">XLOOKUP(X421,'Dados Funil'!A:A,'Dados Funil'!O:O,"")</f>
        <v/>
      </c>
      <c r="AE421" s="7" t="str">
        <f t="shared" si="13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8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9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0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1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2"/>
        <v/>
      </c>
      <c r="AB422" s="4" t="str">
        <f t="array" ref="AB422">XLOOKUP(X422,'Dados Funil'!A:A,'Dados Funil'!O:O,"")</f>
        <v/>
      </c>
      <c r="AE422" s="7" t="str">
        <f t="shared" si="13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8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9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0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1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2"/>
        <v/>
      </c>
      <c r="AB423" s="4" t="str">
        <f t="array" ref="AB423">XLOOKUP(X423,'Dados Funil'!A:A,'Dados Funil'!O:O,"")</f>
        <v/>
      </c>
      <c r="AE423" s="7" t="str">
        <f t="shared" si="13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8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9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0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1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2"/>
        <v/>
      </c>
      <c r="AB424" s="4" t="str">
        <f t="array" ref="AB424">XLOOKUP(X424,'Dados Funil'!A:A,'Dados Funil'!O:O,"")</f>
        <v/>
      </c>
      <c r="AE424" s="7" t="str">
        <f t="shared" si="13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8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9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0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1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2"/>
        <v/>
      </c>
      <c r="AB425" s="4" t="str">
        <f t="array" ref="AB425">XLOOKUP(X425,'Dados Funil'!A:A,'Dados Funil'!O:O,"")</f>
        <v/>
      </c>
      <c r="AE425" s="7" t="str">
        <f t="shared" si="13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8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9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0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1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2"/>
        <v/>
      </c>
      <c r="AB426" s="4" t="str">
        <f t="array" ref="AB426">XLOOKUP(X426,'Dados Funil'!A:A,'Dados Funil'!O:O,"")</f>
        <v/>
      </c>
      <c r="AE426" s="7" t="str">
        <f t="shared" si="13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8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9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0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1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2"/>
        <v/>
      </c>
      <c r="AB427" s="4" t="str">
        <f t="array" ref="AB427">XLOOKUP(X427,'Dados Funil'!A:A,'Dados Funil'!O:O,"")</f>
        <v/>
      </c>
      <c r="AE427" s="7" t="str">
        <f t="shared" si="13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8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9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0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1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2"/>
        <v/>
      </c>
      <c r="AB428" s="4" t="str">
        <f t="array" ref="AB428">XLOOKUP(X428,'Dados Funil'!A:A,'Dados Funil'!O:O,"")</f>
        <v/>
      </c>
      <c r="AE428" s="7" t="str">
        <f t="shared" si="13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8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9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0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1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2"/>
        <v/>
      </c>
      <c r="AB429" s="4" t="str">
        <f t="array" ref="AB429">XLOOKUP(X429,'Dados Funil'!A:A,'Dados Funil'!O:O,"")</f>
        <v/>
      </c>
      <c r="AE429" s="7" t="str">
        <f t="shared" si="13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8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9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0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1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2"/>
        <v/>
      </c>
      <c r="AB430" s="4" t="str">
        <f t="array" ref="AB430">XLOOKUP(X430,'Dados Funil'!A:A,'Dados Funil'!O:O,"")</f>
        <v/>
      </c>
      <c r="AE430" s="7" t="str">
        <f t="shared" si="13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8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9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0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1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2"/>
        <v/>
      </c>
      <c r="AB431" s="4" t="str">
        <f t="array" ref="AB431">XLOOKUP(X431,'Dados Funil'!A:A,'Dados Funil'!O:O,"")</f>
        <v/>
      </c>
      <c r="AE431" s="7" t="str">
        <f t="shared" si="13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8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9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0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1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2"/>
        <v/>
      </c>
      <c r="AB432" s="4" t="str">
        <f t="array" ref="AB432">XLOOKUP(X432,'Dados Funil'!A:A,'Dados Funil'!O:O,"")</f>
        <v/>
      </c>
      <c r="AE432" s="7" t="str">
        <f t="shared" si="13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8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9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0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1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2"/>
        <v/>
      </c>
      <c r="AB433" s="4" t="str">
        <f t="array" ref="AB433">XLOOKUP(X433,'Dados Funil'!A:A,'Dados Funil'!O:O,"")</f>
        <v/>
      </c>
      <c r="AE433" s="7" t="str">
        <f t="shared" si="13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8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9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0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1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2"/>
        <v/>
      </c>
      <c r="AB434" s="4" t="str">
        <f t="array" ref="AB434">XLOOKUP(X434,'Dados Funil'!A:A,'Dados Funil'!O:O,"")</f>
        <v/>
      </c>
      <c r="AE434" s="7" t="str">
        <f t="shared" si="13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8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9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0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1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2"/>
        <v/>
      </c>
      <c r="AB435" s="4" t="str">
        <f t="array" ref="AB435">XLOOKUP(X435,'Dados Funil'!A:A,'Dados Funil'!O:O,"")</f>
        <v/>
      </c>
      <c r="AE435" s="7" t="str">
        <f t="shared" si="13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8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9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0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1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2"/>
        <v/>
      </c>
      <c r="AB436" s="4" t="str">
        <f t="array" ref="AB436">XLOOKUP(X436,'Dados Funil'!A:A,'Dados Funil'!O:O,"")</f>
        <v/>
      </c>
      <c r="AE436" s="7" t="str">
        <f t="shared" si="13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8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9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0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1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2"/>
        <v/>
      </c>
      <c r="AB437" s="4" t="str">
        <f t="array" ref="AB437">XLOOKUP(X437,'Dados Funil'!A:A,'Dados Funil'!O:O,"")</f>
        <v/>
      </c>
      <c r="AE437" s="7" t="str">
        <f t="shared" si="13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8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9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0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1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2"/>
        <v/>
      </c>
      <c r="AB438" s="4" t="str">
        <f t="array" ref="AB438">XLOOKUP(X438,'Dados Funil'!A:A,'Dados Funil'!O:O,"")</f>
        <v/>
      </c>
      <c r="AE438" s="7" t="str">
        <f t="shared" si="13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8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9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0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1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2"/>
        <v/>
      </c>
      <c r="AB439" s="4" t="str">
        <f t="array" ref="AB439">XLOOKUP(X439,'Dados Funil'!A:A,'Dados Funil'!O:O,"")</f>
        <v/>
      </c>
      <c r="AE439" s="7" t="str">
        <f t="shared" si="13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8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9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0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1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2"/>
        <v/>
      </c>
      <c r="AB440" s="4" t="str">
        <f t="array" ref="AB440">XLOOKUP(X440,'Dados Funil'!A:A,'Dados Funil'!O:O,"")</f>
        <v/>
      </c>
      <c r="AE440" s="7" t="str">
        <f t="shared" si="13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8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9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0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1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2"/>
        <v/>
      </c>
      <c r="AB441" s="4" t="str">
        <f t="array" ref="AB441">XLOOKUP(X441,'Dados Funil'!A:A,'Dados Funil'!O:O,"")</f>
        <v/>
      </c>
      <c r="AE441" s="7" t="str">
        <f t="shared" si="13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8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9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0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1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2"/>
        <v/>
      </c>
      <c r="AB442" s="4" t="str">
        <f t="array" ref="AB442">XLOOKUP(X442,'Dados Funil'!A:A,'Dados Funil'!O:O,"")</f>
        <v/>
      </c>
      <c r="AE442" s="7" t="str">
        <f t="shared" si="13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8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9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0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1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2"/>
        <v/>
      </c>
      <c r="AB443" s="4" t="str">
        <f t="array" ref="AB443">XLOOKUP(X443,'Dados Funil'!A:A,'Dados Funil'!O:O,"")</f>
        <v/>
      </c>
      <c r="AE443" s="7" t="str">
        <f t="shared" si="13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8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9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0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1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2"/>
        <v/>
      </c>
      <c r="AB444" s="4" t="str">
        <f t="array" ref="AB444">XLOOKUP(X444,'Dados Funil'!A:A,'Dados Funil'!O:O,"")</f>
        <v/>
      </c>
      <c r="AE444" s="7" t="str">
        <f t="shared" si="13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8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9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0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1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2"/>
        <v/>
      </c>
      <c r="AB445" s="4" t="str">
        <f t="array" ref="AB445">XLOOKUP(X445,'Dados Funil'!A:A,'Dados Funil'!O:O,"")</f>
        <v/>
      </c>
      <c r="AE445" s="7" t="str">
        <f t="shared" si="13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8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9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0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1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2"/>
        <v/>
      </c>
      <c r="AB446" s="4" t="str">
        <f t="array" ref="AB446">XLOOKUP(X446,'Dados Funil'!A:A,'Dados Funil'!O:O,"")</f>
        <v/>
      </c>
      <c r="AE446" s="7" t="str">
        <f t="shared" si="13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8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9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0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1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2"/>
        <v/>
      </c>
      <c r="AB447" s="4" t="str">
        <f t="array" ref="AB447">XLOOKUP(X447,'Dados Funil'!A:A,'Dados Funil'!O:O,"")</f>
        <v/>
      </c>
      <c r="AE447" s="7" t="str">
        <f t="shared" si="13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8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9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0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1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2"/>
        <v/>
      </c>
      <c r="AB448" s="4" t="str">
        <f t="array" ref="AB448">XLOOKUP(X448,'Dados Funil'!A:A,'Dados Funil'!O:O,"")</f>
        <v/>
      </c>
      <c r="AE448" s="7" t="str">
        <f t="shared" si="13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8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9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0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1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2"/>
        <v/>
      </c>
      <c r="AB449" s="4" t="str">
        <f t="array" ref="AB449">XLOOKUP(X449,'Dados Funil'!A:A,'Dados Funil'!O:O,"")</f>
        <v/>
      </c>
      <c r="AE449" s="7" t="str">
        <f t="shared" si="13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8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9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0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1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2"/>
        <v/>
      </c>
      <c r="AB450" s="4" t="str">
        <f t="array" ref="AB450">XLOOKUP(X450,'Dados Funil'!A:A,'Dados Funil'!O:O,"")</f>
        <v/>
      </c>
      <c r="AE450" s="7" t="str">
        <f t="shared" si="13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8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9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0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1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2"/>
        <v/>
      </c>
      <c r="AB451" s="4" t="str">
        <f t="array" ref="AB451">XLOOKUP(X451,'Dados Funil'!A:A,'Dados Funil'!O:O,"")</f>
        <v/>
      </c>
      <c r="AE451" s="7" t="str">
        <f t="shared" si="13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8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9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0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1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2"/>
        <v/>
      </c>
      <c r="AB452" s="4" t="str">
        <f t="array" ref="AB452">XLOOKUP(X452,'Dados Funil'!A:A,'Dados Funil'!O:O,"")</f>
        <v/>
      </c>
      <c r="AE452" s="7" t="str">
        <f t="shared" si="13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8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9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0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1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2"/>
        <v/>
      </c>
      <c r="AB453" s="4" t="str">
        <f t="array" ref="AB453">XLOOKUP(X453,'Dados Funil'!A:A,'Dados Funil'!O:O,"")</f>
        <v/>
      </c>
      <c r="AE453" s="7" t="str">
        <f t="shared" si="13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8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9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0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1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2"/>
        <v/>
      </c>
      <c r="AB454" s="4" t="str">
        <f t="array" ref="AB454">XLOOKUP(X454,'Dados Funil'!A:A,'Dados Funil'!O:O,"")</f>
        <v/>
      </c>
      <c r="AE454" s="7" t="str">
        <f t="shared" si="13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8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9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0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1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2"/>
        <v/>
      </c>
      <c r="AB455" s="4" t="str">
        <f t="array" ref="AB455">XLOOKUP(X455,'Dados Funil'!A:A,'Dados Funil'!O:O,"")</f>
        <v/>
      </c>
      <c r="AE455" s="7" t="str">
        <f t="shared" si="13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8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9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0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1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2"/>
        <v/>
      </c>
      <c r="AB456" s="4" t="str">
        <f t="array" ref="AB456">XLOOKUP(X456,'Dados Funil'!A:A,'Dados Funil'!O:O,"")</f>
        <v/>
      </c>
      <c r="AE456" s="7" t="str">
        <f t="shared" si="13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8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9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0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1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2"/>
        <v/>
      </c>
      <c r="AB457" s="4" t="str">
        <f t="array" ref="AB457">XLOOKUP(X457,'Dados Funil'!A:A,'Dados Funil'!O:O,"")</f>
        <v/>
      </c>
      <c r="AE457" s="7" t="str">
        <f t="shared" si="13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8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9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0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1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2"/>
        <v/>
      </c>
      <c r="AB458" s="4" t="str">
        <f t="array" ref="AB458">XLOOKUP(X458,'Dados Funil'!A:A,'Dados Funil'!O:O,"")</f>
        <v/>
      </c>
      <c r="AE458" s="7" t="str">
        <f t="shared" si="13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8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9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0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1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2"/>
        <v/>
      </c>
      <c r="AB459" s="4" t="str">
        <f t="array" ref="AB459">XLOOKUP(X459,'Dados Funil'!A:A,'Dados Funil'!O:O,"")</f>
        <v/>
      </c>
      <c r="AE459" s="7" t="str">
        <f t="shared" si="13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8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9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0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1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2"/>
        <v/>
      </c>
      <c r="AB460" s="4" t="str">
        <f t="array" ref="AB460">XLOOKUP(X460,'Dados Funil'!A:A,'Dados Funil'!O:O,"")</f>
        <v/>
      </c>
      <c r="AE460" s="7" t="str">
        <f t="shared" si="13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8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9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0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1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2"/>
        <v/>
      </c>
      <c r="AB461" s="4" t="str">
        <f t="array" ref="AB461">XLOOKUP(X461,'Dados Funil'!A:A,'Dados Funil'!O:O,"")</f>
        <v/>
      </c>
      <c r="AE461" s="7" t="str">
        <f t="shared" si="13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8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9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0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1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2"/>
        <v/>
      </c>
      <c r="AB462" s="4" t="str">
        <f t="array" ref="AB462">XLOOKUP(X462,'Dados Funil'!A:A,'Dados Funil'!O:O,"")</f>
        <v/>
      </c>
      <c r="AE462" s="7" t="str">
        <f t="shared" si="13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8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9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0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1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2"/>
        <v/>
      </c>
      <c r="AB463" s="4" t="str">
        <f t="array" ref="AB463">XLOOKUP(X463,'Dados Funil'!A:A,'Dados Funil'!O:O,"")</f>
        <v/>
      </c>
      <c r="AE463" s="7" t="str">
        <f t="shared" si="13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8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9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0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1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2"/>
        <v/>
      </c>
      <c r="AB464" s="4" t="str">
        <f t="array" ref="AB464">XLOOKUP(X464,'Dados Funil'!A:A,'Dados Funil'!O:O,"")</f>
        <v/>
      </c>
      <c r="AE464" s="7" t="str">
        <f t="shared" si="13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8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9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0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1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2"/>
        <v/>
      </c>
      <c r="AB465" s="4" t="str">
        <f t="array" ref="AB465">XLOOKUP(X465,'Dados Funil'!A:A,'Dados Funil'!O:O,"")</f>
        <v/>
      </c>
      <c r="AE465" s="7" t="str">
        <f t="shared" si="13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8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9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0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1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2"/>
        <v/>
      </c>
      <c r="AB466" s="4" t="str">
        <f t="array" ref="AB466">XLOOKUP(X466,'Dados Funil'!A:A,'Dados Funil'!O:O,"")</f>
        <v/>
      </c>
      <c r="AE466" s="7" t="str">
        <f t="shared" si="13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8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9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0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1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2"/>
        <v/>
      </c>
      <c r="AB467" s="4" t="str">
        <f t="array" ref="AB467">XLOOKUP(X467,'Dados Funil'!A:A,'Dados Funil'!O:O,"")</f>
        <v/>
      </c>
      <c r="AE467" s="7" t="str">
        <f t="shared" si="13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8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9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0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1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2"/>
        <v/>
      </c>
      <c r="AB468" s="4" t="str">
        <f t="array" ref="AB468">XLOOKUP(X468,'Dados Funil'!A:A,'Dados Funil'!O:O,"")</f>
        <v/>
      </c>
      <c r="AE468" s="7" t="str">
        <f t="shared" si="13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8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9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0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1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2"/>
        <v/>
      </c>
      <c r="AB469" s="4" t="str">
        <f t="array" ref="AB469">XLOOKUP(X469,'Dados Funil'!A:A,'Dados Funil'!O:O,"")</f>
        <v/>
      </c>
      <c r="AE469" s="7" t="str">
        <f t="shared" si="13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8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9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0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1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2"/>
        <v/>
      </c>
      <c r="AB470" s="4" t="str">
        <f t="array" ref="AB470">XLOOKUP(X470,'Dados Funil'!A:A,'Dados Funil'!O:O,"")</f>
        <v/>
      </c>
      <c r="AE470" s="7" t="str">
        <f t="shared" si="13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8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9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0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1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2"/>
        <v/>
      </c>
      <c r="AB471" s="4" t="str">
        <f t="array" ref="AB471">XLOOKUP(X471,'Dados Funil'!A:A,'Dados Funil'!O:O,"")</f>
        <v/>
      </c>
      <c r="AE471" s="7" t="str">
        <f t="shared" si="13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8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9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0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1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2"/>
        <v/>
      </c>
      <c r="AB472" s="4" t="str">
        <f t="array" ref="AB472">XLOOKUP(X472,'Dados Funil'!A:A,'Dados Funil'!O:O,"")</f>
        <v/>
      </c>
      <c r="AE472" s="7" t="str">
        <f t="shared" si="13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8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9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0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1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2"/>
        <v/>
      </c>
      <c r="AB473" s="4" t="str">
        <f t="array" ref="AB473">XLOOKUP(X473,'Dados Funil'!A:A,'Dados Funil'!O:O,"")</f>
        <v/>
      </c>
      <c r="AE473" s="7" t="str">
        <f t="shared" si="13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8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9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0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1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2"/>
        <v/>
      </c>
      <c r="AB474" s="4" t="str">
        <f t="array" ref="AB474">XLOOKUP(X474,'Dados Funil'!A:A,'Dados Funil'!O:O,"")</f>
        <v/>
      </c>
      <c r="AE474" s="7" t="str">
        <f t="shared" si="13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8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9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0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1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2"/>
        <v/>
      </c>
      <c r="AB475" s="4" t="str">
        <f t="array" ref="AB475">XLOOKUP(X475,'Dados Funil'!A:A,'Dados Funil'!O:O,"")</f>
        <v/>
      </c>
      <c r="AE475" s="7" t="str">
        <f t="shared" si="13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8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9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0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1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2"/>
        <v/>
      </c>
      <c r="AB476" s="4" t="str">
        <f t="array" ref="AB476">XLOOKUP(X476,'Dados Funil'!A:A,'Dados Funil'!O:O,"")</f>
        <v/>
      </c>
      <c r="AE476" s="7" t="str">
        <f t="shared" si="13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8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9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0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1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2"/>
        <v/>
      </c>
      <c r="AB477" s="4" t="str">
        <f t="array" ref="AB477">XLOOKUP(X477,'Dados Funil'!A:A,'Dados Funil'!O:O,"")</f>
        <v/>
      </c>
      <c r="AE477" s="7" t="str">
        <f t="shared" si="13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8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9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0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1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2"/>
        <v/>
      </c>
      <c r="AB478" s="4" t="str">
        <f t="array" ref="AB478">XLOOKUP(X478,'Dados Funil'!A:A,'Dados Funil'!O:O,"")</f>
        <v/>
      </c>
      <c r="AE478" s="7" t="str">
        <f t="shared" si="13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8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9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0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1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2"/>
        <v/>
      </c>
      <c r="AB479" s="4" t="str">
        <f t="array" ref="AB479">XLOOKUP(X479,'Dados Funil'!A:A,'Dados Funil'!O:O,"")</f>
        <v/>
      </c>
      <c r="AE479" s="7" t="str">
        <f t="shared" si="13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8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9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0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1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2"/>
        <v/>
      </c>
      <c r="AB480" s="4" t="str">
        <f t="array" ref="AB480">XLOOKUP(X480,'Dados Funil'!A:A,'Dados Funil'!O:O,"")</f>
        <v/>
      </c>
      <c r="AE480" s="7" t="str">
        <f t="shared" si="13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8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9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0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1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2"/>
        <v/>
      </c>
      <c r="AB481" s="4" t="str">
        <f t="array" ref="AB481">XLOOKUP(X481,'Dados Funil'!A:A,'Dados Funil'!O:O,"")</f>
        <v/>
      </c>
      <c r="AE481" s="7" t="str">
        <f t="shared" si="13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8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9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0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1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2"/>
        <v/>
      </c>
      <c r="AB482" s="4" t="str">
        <f t="array" ref="AB482">XLOOKUP(X482,'Dados Funil'!A:A,'Dados Funil'!O:O,"")</f>
        <v/>
      </c>
      <c r="AE482" s="7" t="str">
        <f t="shared" si="13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8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9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0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1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2"/>
        <v/>
      </c>
      <c r="AB483" s="4" t="str">
        <f t="array" ref="AB483">XLOOKUP(X483,'Dados Funil'!A:A,'Dados Funil'!O:O,"")</f>
        <v/>
      </c>
      <c r="AE483" s="7" t="str">
        <f t="shared" si="13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8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9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0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1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2"/>
        <v/>
      </c>
      <c r="AB484" s="4" t="str">
        <f t="array" ref="AB484">XLOOKUP(X484,'Dados Funil'!A:A,'Dados Funil'!O:O,"")</f>
        <v/>
      </c>
      <c r="AE484" s="7" t="str">
        <f t="shared" si="13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8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9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0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1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2"/>
        <v/>
      </c>
      <c r="AB485" s="4" t="str">
        <f t="array" ref="AB485">XLOOKUP(X485,'Dados Funil'!A:A,'Dados Funil'!O:O,"")</f>
        <v/>
      </c>
      <c r="AE485" s="7" t="str">
        <f t="shared" si="13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8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9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0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1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2"/>
        <v/>
      </c>
      <c r="AB486" s="4" t="str">
        <f t="array" ref="AB486">XLOOKUP(X486,'Dados Funil'!A:A,'Dados Funil'!O:O,"")</f>
        <v/>
      </c>
      <c r="AE486" s="7" t="str">
        <f t="shared" si="13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8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9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0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1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2"/>
        <v/>
      </c>
      <c r="AB487" s="4" t="str">
        <f t="array" ref="AB487">XLOOKUP(X487,'Dados Funil'!A:A,'Dados Funil'!O:O,"")</f>
        <v/>
      </c>
      <c r="AE487" s="7" t="str">
        <f t="shared" si="13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8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9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0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1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2"/>
        <v/>
      </c>
      <c r="AB488" s="4" t="str">
        <f t="array" ref="AB488">XLOOKUP(X488,'Dados Funil'!A:A,'Dados Funil'!O:O,"")</f>
        <v/>
      </c>
      <c r="AE488" s="7" t="str">
        <f t="shared" si="13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8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9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0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1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2"/>
        <v/>
      </c>
      <c r="AB489" s="4" t="str">
        <f t="array" ref="AB489">XLOOKUP(X489,'Dados Funil'!A:A,'Dados Funil'!O:O,"")</f>
        <v/>
      </c>
      <c r="AE489" s="7" t="str">
        <f t="shared" si="13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8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9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0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1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2"/>
        <v/>
      </c>
      <c r="AB490" s="4" t="str">
        <f t="array" ref="AB490">XLOOKUP(X490,'Dados Funil'!A:A,'Dados Funil'!O:O,"")</f>
        <v/>
      </c>
      <c r="AE490" s="7" t="str">
        <f t="shared" si="13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8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9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0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1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2"/>
        <v/>
      </c>
      <c r="AB491" s="4" t="str">
        <f t="array" ref="AB491">XLOOKUP(X491,'Dados Funil'!A:A,'Dados Funil'!O:O,"")</f>
        <v/>
      </c>
      <c r="AE491" s="7" t="str">
        <f t="shared" si="13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8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9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0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1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2"/>
        <v/>
      </c>
      <c r="AB492" s="4" t="str">
        <f t="array" ref="AB492">XLOOKUP(X492,'Dados Funil'!A:A,'Dados Funil'!O:O,"")</f>
        <v/>
      </c>
      <c r="AE492" s="7" t="str">
        <f t="shared" si="13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8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9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0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1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2"/>
        <v/>
      </c>
      <c r="AB493" s="4" t="str">
        <f t="array" ref="AB493">XLOOKUP(X493,'Dados Funil'!A:A,'Dados Funil'!O:O,"")</f>
        <v/>
      </c>
      <c r="AE493" s="7" t="str">
        <f t="shared" si="13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8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9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0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1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2"/>
        <v/>
      </c>
      <c r="AB494" s="4" t="str">
        <f t="array" ref="AB494">XLOOKUP(X494,'Dados Funil'!A:A,'Dados Funil'!O:O,"")</f>
        <v/>
      </c>
      <c r="AE494" s="7" t="str">
        <f t="shared" si="13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8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9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0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1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2"/>
        <v/>
      </c>
      <c r="AB495" s="4" t="str">
        <f t="array" ref="AB495">XLOOKUP(X495,'Dados Funil'!A:A,'Dados Funil'!O:O,"")</f>
        <v/>
      </c>
      <c r="AE495" s="7" t="str">
        <f t="shared" si="13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8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9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0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1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2"/>
        <v/>
      </c>
      <c r="AB496" s="4" t="str">
        <f t="array" ref="AB496">XLOOKUP(X496,'Dados Funil'!A:A,'Dados Funil'!O:O,"")</f>
        <v/>
      </c>
      <c r="AE496" s="7" t="str">
        <f t="shared" si="13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8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9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0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1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2"/>
        <v/>
      </c>
      <c r="AB497" s="4" t="str">
        <f t="array" ref="AB497">XLOOKUP(X497,'Dados Funil'!A:A,'Dados Funil'!O:O,"")</f>
        <v/>
      </c>
      <c r="AE497" s="7" t="str">
        <f t="shared" si="13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8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9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0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1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2"/>
        <v/>
      </c>
      <c r="AB498" s="4" t="str">
        <f t="array" ref="AB498">XLOOKUP(X498,'Dados Funil'!A:A,'Dados Funil'!O:O,"")</f>
        <v/>
      </c>
      <c r="AE498" s="7" t="str">
        <f t="shared" si="13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8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9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0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1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2"/>
        <v/>
      </c>
      <c r="AB499" s="4" t="str">
        <f t="array" ref="AB499">XLOOKUP(X499,'Dados Funil'!A:A,'Dados Funil'!O:O,"")</f>
        <v/>
      </c>
      <c r="AE499" s="7" t="str">
        <f t="shared" si="13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8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9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0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1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2"/>
        <v/>
      </c>
      <c r="AB500" s="4" t="str">
        <f t="array" ref="AB500">XLOOKUP(X500,'Dados Funil'!A:A,'Dados Funil'!O:O,"")</f>
        <v/>
      </c>
      <c r="AE500" s="7" t="str">
        <f t="shared" si="13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8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9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0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1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2"/>
        <v/>
      </c>
      <c r="AB501" s="4" t="str">
        <f t="array" ref="AB501">XLOOKUP(X501,'Dados Funil'!A:A,'Dados Funil'!O:O,"")</f>
        <v/>
      </c>
      <c r="AE501" s="7" t="str">
        <f t="shared" si="13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8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9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0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1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2"/>
        <v/>
      </c>
      <c r="AB502" s="4" t="str">
        <f t="array" ref="AB502">XLOOKUP(X502,'Dados Funil'!A:A,'Dados Funil'!O:O,"")</f>
        <v/>
      </c>
      <c r="AE502" s="7" t="str">
        <f t="shared" si="13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8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9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0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1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2"/>
        <v/>
      </c>
      <c r="AB503" s="4" t="str">
        <f t="array" ref="AB503">XLOOKUP(X503,'Dados Funil'!A:A,'Dados Funil'!O:O,"")</f>
        <v/>
      </c>
      <c r="AE503" s="7" t="str">
        <f t="shared" si="13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8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9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0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1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2"/>
        <v/>
      </c>
      <c r="AB504" s="4" t="str">
        <f t="array" ref="AB504">XLOOKUP(X504,'Dados Funil'!A:A,'Dados Funil'!O:O,"")</f>
        <v/>
      </c>
      <c r="AE504" s="7" t="str">
        <f t="shared" si="13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8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9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0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1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2"/>
        <v/>
      </c>
      <c r="AB505" s="4" t="str">
        <f t="array" ref="AB505">XLOOKUP(X505,'Dados Funil'!A:A,'Dados Funil'!O:O,"")</f>
        <v/>
      </c>
      <c r="AE505" s="7" t="str">
        <f t="shared" si="13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8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9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0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1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2"/>
        <v/>
      </c>
      <c r="AB506" s="4" t="str">
        <f t="array" ref="AB506">XLOOKUP(X506,'Dados Funil'!A:A,'Dados Funil'!O:O,"")</f>
        <v/>
      </c>
      <c r="AE506" s="7" t="str">
        <f t="shared" si="13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8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9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0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1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2"/>
        <v/>
      </c>
      <c r="AB507" s="4" t="str">
        <f t="array" ref="AB507">XLOOKUP(X507,'Dados Funil'!A:A,'Dados Funil'!O:O,"")</f>
        <v/>
      </c>
      <c r="AE507" s="7" t="str">
        <f t="shared" si="13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8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9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0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1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2"/>
        <v/>
      </c>
      <c r="AB508" s="4" t="str">
        <f t="array" ref="AB508">XLOOKUP(X508,'Dados Funil'!A:A,'Dados Funil'!O:O,"")</f>
        <v/>
      </c>
      <c r="AE508" s="7" t="str">
        <f t="shared" si="13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8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9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0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1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2"/>
        <v/>
      </c>
      <c r="AB509" s="4" t="str">
        <f t="array" ref="AB509">XLOOKUP(X509,'Dados Funil'!A:A,'Dados Funil'!O:O,"")</f>
        <v/>
      </c>
      <c r="AE509" s="7" t="str">
        <f t="shared" si="13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8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9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0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1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2"/>
        <v/>
      </c>
      <c r="AB510" s="4" t="str">
        <f t="array" ref="AB510">XLOOKUP(X510,'Dados Funil'!A:A,'Dados Funil'!O:O,"")</f>
        <v/>
      </c>
      <c r="AE510" s="7" t="str">
        <f t="shared" si="13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8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9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0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1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2"/>
        <v/>
      </c>
      <c r="AB511" s="4" t="str">
        <f t="array" ref="AB511">XLOOKUP(X511,'Dados Funil'!A:A,'Dados Funil'!O:O,"")</f>
        <v/>
      </c>
      <c r="AE511" s="7" t="str">
        <f t="shared" si="13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8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9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0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1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2"/>
        <v/>
      </c>
      <c r="AB512" s="4" t="str">
        <f t="array" ref="AB512">XLOOKUP(X512,'Dados Funil'!A:A,'Dados Funil'!O:O,"")</f>
        <v/>
      </c>
      <c r="AE512" s="7" t="str">
        <f t="shared" si="13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8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9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0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1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2"/>
        <v/>
      </c>
      <c r="AB513" s="4" t="str">
        <f t="array" ref="AB513">XLOOKUP(X513,'Dados Funil'!A:A,'Dados Funil'!O:O,"")</f>
        <v/>
      </c>
      <c r="AE513" s="7" t="str">
        <f t="shared" si="13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8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9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0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1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2"/>
        <v/>
      </c>
      <c r="AB514" s="4" t="str">
        <f t="array" ref="AB514">XLOOKUP(X514,'Dados Funil'!A:A,'Dados Funil'!O:O,"")</f>
        <v/>
      </c>
      <c r="AE514" s="7" t="str">
        <f t="shared" si="13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8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9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0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1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2"/>
        <v/>
      </c>
      <c r="AB515" s="4" t="str">
        <f t="array" ref="AB515">XLOOKUP(X515,'Dados Funil'!A:A,'Dados Funil'!O:O,"")</f>
        <v/>
      </c>
      <c r="AE515" s="7" t="str">
        <f t="shared" si="13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8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9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0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1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2"/>
        <v/>
      </c>
      <c r="AB516" s="4" t="str">
        <f t="array" ref="AB516">XLOOKUP(X516,'Dados Funil'!A:A,'Dados Funil'!O:O,"")</f>
        <v/>
      </c>
      <c r="AE516" s="7" t="str">
        <f t="shared" si="13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8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9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0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1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2"/>
        <v/>
      </c>
      <c r="AB517" s="4" t="str">
        <f t="array" ref="AB517">XLOOKUP(X517,'Dados Funil'!A:A,'Dados Funil'!O:O,"")</f>
        <v/>
      </c>
      <c r="AE517" s="7" t="str">
        <f t="shared" si="13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8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9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0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1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2"/>
        <v/>
      </c>
      <c r="AB518" s="4" t="str">
        <f t="array" ref="AB518">XLOOKUP(X518,'Dados Funil'!A:A,'Dados Funil'!O:O,"")</f>
        <v/>
      </c>
      <c r="AE518" s="7" t="str">
        <f t="shared" si="13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8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9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0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1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2"/>
        <v/>
      </c>
      <c r="AB519" s="4" t="str">
        <f t="array" ref="AB519">XLOOKUP(X519,'Dados Funil'!A:A,'Dados Funil'!O:O,"")</f>
        <v/>
      </c>
      <c r="AE519" s="7" t="str">
        <f t="shared" si="13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8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9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0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1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2"/>
        <v/>
      </c>
      <c r="AB520" s="4" t="str">
        <f t="array" ref="AB520">XLOOKUP(X520,'Dados Funil'!A:A,'Dados Funil'!O:O,"")</f>
        <v/>
      </c>
      <c r="AE520" s="7" t="str">
        <f t="shared" si="13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8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9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0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1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2"/>
        <v/>
      </c>
      <c r="AB521" s="4" t="str">
        <f t="array" ref="AB521">XLOOKUP(X521,'Dados Funil'!A:A,'Dados Funil'!O:O,"")</f>
        <v/>
      </c>
      <c r="AE521" s="7" t="str">
        <f t="shared" si="13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8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9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0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1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2"/>
        <v/>
      </c>
      <c r="AB522" s="4" t="str">
        <f t="array" ref="AB522">XLOOKUP(X522,'Dados Funil'!A:A,'Dados Funil'!O:O,"")</f>
        <v/>
      </c>
      <c r="AE522" s="7" t="str">
        <f t="shared" si="13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8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9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0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1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2"/>
        <v/>
      </c>
      <c r="AB523" s="4" t="str">
        <f t="array" ref="AB523">XLOOKUP(X523,'Dados Funil'!A:A,'Dados Funil'!O:O,"")</f>
        <v/>
      </c>
      <c r="AE523" s="7" t="str">
        <f t="shared" si="13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8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9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0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1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2"/>
        <v/>
      </c>
      <c r="AB524" s="4" t="str">
        <f t="array" ref="AB524">XLOOKUP(X524,'Dados Funil'!A:A,'Dados Funil'!O:O,"")</f>
        <v/>
      </c>
      <c r="AE524" s="7" t="str">
        <f t="shared" si="13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8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9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0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1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2"/>
        <v/>
      </c>
      <c r="AB525" s="4" t="str">
        <f t="array" ref="AB525">XLOOKUP(X525,'Dados Funil'!A:A,'Dados Funil'!O:O,"")</f>
        <v/>
      </c>
      <c r="AE525" s="7" t="str">
        <f t="shared" si="13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8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9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0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1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2"/>
        <v/>
      </c>
      <c r="AB526" s="4" t="str">
        <f t="array" ref="AB526">XLOOKUP(X526,'Dados Funil'!A:A,'Dados Funil'!O:O,"")</f>
        <v/>
      </c>
      <c r="AE526" s="7" t="str">
        <f t="shared" si="13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8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9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0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1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2"/>
        <v/>
      </c>
      <c r="AB527" s="4" t="str">
        <f t="array" ref="AB527">XLOOKUP(X527,'Dados Funil'!A:A,'Dados Funil'!O:O,"")</f>
        <v/>
      </c>
      <c r="AE527" s="7" t="str">
        <f t="shared" si="13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8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9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0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1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2"/>
        <v/>
      </c>
      <c r="AB528" s="4" t="str">
        <f t="array" ref="AB528">XLOOKUP(X528,'Dados Funil'!A:A,'Dados Funil'!O:O,"")</f>
        <v/>
      </c>
      <c r="AE528" s="7" t="str">
        <f t="shared" si="13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8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9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0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1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2"/>
        <v/>
      </c>
      <c r="AB529" s="4" t="str">
        <f t="array" ref="AB529">XLOOKUP(X529,'Dados Funil'!A:A,'Dados Funil'!O:O,"")</f>
        <v/>
      </c>
      <c r="AE529" s="7" t="str">
        <f t="shared" si="13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8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9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0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1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2"/>
        <v/>
      </c>
      <c r="AB530" s="4" t="str">
        <f t="array" ref="AB530">XLOOKUP(X530,'Dados Funil'!A:A,'Dados Funil'!O:O,"")</f>
        <v/>
      </c>
      <c r="AE530" s="7" t="str">
        <f t="shared" si="13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8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9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0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1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2"/>
        <v/>
      </c>
      <c r="AB531" s="4" t="str">
        <f t="array" ref="AB531">XLOOKUP(X531,'Dados Funil'!A:A,'Dados Funil'!O:O,"")</f>
        <v/>
      </c>
      <c r="AE531" s="7" t="str">
        <f t="shared" si="13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8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9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0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1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2"/>
        <v/>
      </c>
      <c r="AB532" s="4" t="str">
        <f t="array" ref="AB532">XLOOKUP(X532,'Dados Funil'!A:A,'Dados Funil'!O:O,"")</f>
        <v/>
      </c>
      <c r="AE532" s="7" t="str">
        <f t="shared" si="13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8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9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0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1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2"/>
        <v/>
      </c>
      <c r="AB533" s="4" t="str">
        <f t="array" ref="AB533">XLOOKUP(X533,'Dados Funil'!A:A,'Dados Funil'!O:O,"")</f>
        <v/>
      </c>
      <c r="AE533" s="7" t="str">
        <f t="shared" si="13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8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9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0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1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2"/>
        <v/>
      </c>
      <c r="AB534" s="4" t="str">
        <f t="array" ref="AB534">XLOOKUP(X534,'Dados Funil'!A:A,'Dados Funil'!O:O,"")</f>
        <v/>
      </c>
      <c r="AE534" s="7" t="str">
        <f t="shared" si="13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8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9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0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1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2"/>
        <v/>
      </c>
      <c r="AB535" s="4" t="str">
        <f t="array" ref="AB535">XLOOKUP(X535,'Dados Funil'!A:A,'Dados Funil'!O:O,"")</f>
        <v/>
      </c>
      <c r="AE535" s="7" t="str">
        <f t="shared" si="13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8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9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0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1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2"/>
        <v/>
      </c>
      <c r="AB536" s="4" t="str">
        <f t="array" ref="AB536">XLOOKUP(X536,'Dados Funil'!A:A,'Dados Funil'!O:O,"")</f>
        <v/>
      </c>
      <c r="AE536" s="7" t="str">
        <f t="shared" si="13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8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9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0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1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2"/>
        <v/>
      </c>
      <c r="AB537" s="4" t="str">
        <f t="array" ref="AB537">XLOOKUP(X537,'Dados Funil'!A:A,'Dados Funil'!O:O,"")</f>
        <v/>
      </c>
      <c r="AE537" s="7" t="str">
        <f t="shared" si="13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8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9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0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1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2"/>
        <v/>
      </c>
      <c r="AB538" s="4" t="str">
        <f t="array" ref="AB538">XLOOKUP(X538,'Dados Funil'!A:A,'Dados Funil'!O:O,"")</f>
        <v/>
      </c>
      <c r="AE538" s="7" t="str">
        <f t="shared" si="13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8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9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0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1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2"/>
        <v/>
      </c>
      <c r="AB539" s="4" t="str">
        <f t="array" ref="AB539">XLOOKUP(X539,'Dados Funil'!A:A,'Dados Funil'!O:O,"")</f>
        <v/>
      </c>
      <c r="AE539" s="7" t="str">
        <f t="shared" si="13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8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9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0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1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2"/>
        <v/>
      </c>
      <c r="AB540" s="4" t="str">
        <f t="array" ref="AB540">XLOOKUP(X540,'Dados Funil'!A:A,'Dados Funil'!O:O,"")</f>
        <v/>
      </c>
      <c r="AE540" s="7" t="str">
        <f t="shared" si="13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8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9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0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1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2"/>
        <v/>
      </c>
      <c r="AB541" s="4" t="str">
        <f t="array" ref="AB541">XLOOKUP(X541,'Dados Funil'!A:A,'Dados Funil'!O:O,"")</f>
        <v/>
      </c>
      <c r="AE541" s="7" t="str">
        <f t="shared" si="13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8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9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0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1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2"/>
        <v/>
      </c>
      <c r="AB542" s="4" t="str">
        <f t="array" ref="AB542">XLOOKUP(X542,'Dados Funil'!A:A,'Dados Funil'!O:O,"")</f>
        <v/>
      </c>
      <c r="AE542" s="7" t="str">
        <f t="shared" si="13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8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9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0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1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2"/>
        <v/>
      </c>
      <c r="AB543" s="4" t="str">
        <f t="array" ref="AB543">XLOOKUP(X543,'Dados Funil'!A:A,'Dados Funil'!O:O,"")</f>
        <v/>
      </c>
      <c r="AE543" s="7" t="str">
        <f t="shared" si="13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8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9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0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1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2"/>
        <v/>
      </c>
      <c r="AB544" s="4" t="str">
        <f t="array" ref="AB544">XLOOKUP(X544,'Dados Funil'!A:A,'Dados Funil'!O:O,"")</f>
        <v/>
      </c>
      <c r="AE544" s="7" t="str">
        <f t="shared" si="13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8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9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0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1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2"/>
        <v/>
      </c>
      <c r="AB545" s="4" t="str">
        <f t="array" ref="AB545">XLOOKUP(X545,'Dados Funil'!A:A,'Dados Funil'!O:O,"")</f>
        <v/>
      </c>
      <c r="AE545" s="7" t="str">
        <f t="shared" si="13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8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9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0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1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2"/>
        <v/>
      </c>
      <c r="AB546" s="4" t="str">
        <f t="array" ref="AB546">XLOOKUP(X546,'Dados Funil'!A:A,'Dados Funil'!O:O,"")</f>
        <v/>
      </c>
      <c r="AE546" s="7" t="str">
        <f t="shared" si="13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8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9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0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1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2"/>
        <v/>
      </c>
      <c r="AB547" s="4" t="str">
        <f t="array" ref="AB547">XLOOKUP(X547,'Dados Funil'!A:A,'Dados Funil'!O:O,"")</f>
        <v/>
      </c>
      <c r="AE547" s="7" t="str">
        <f t="shared" si="13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8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9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0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1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2"/>
        <v/>
      </c>
      <c r="AB548" s="4" t="str">
        <f t="array" ref="AB548">XLOOKUP(X548,'Dados Funil'!A:A,'Dados Funil'!O:O,"")</f>
        <v/>
      </c>
      <c r="AE548" s="7" t="str">
        <f t="shared" si="13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8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9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0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1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2"/>
        <v/>
      </c>
      <c r="AB549" s="4" t="str">
        <f t="array" ref="AB549">XLOOKUP(X549,'Dados Funil'!A:A,'Dados Funil'!O:O,"")</f>
        <v/>
      </c>
      <c r="AE549" s="7" t="str">
        <f t="shared" si="13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8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9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0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1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2"/>
        <v/>
      </c>
      <c r="AB550" s="4" t="str">
        <f t="array" ref="AB550">XLOOKUP(X550,'Dados Funil'!A:A,'Dados Funil'!O:O,"")</f>
        <v/>
      </c>
      <c r="AE550" s="7" t="str">
        <f t="shared" si="13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8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9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0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1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2"/>
        <v/>
      </c>
      <c r="AB551" s="4" t="str">
        <f t="array" ref="AB551">XLOOKUP(X551,'Dados Funil'!A:A,'Dados Funil'!O:O,"")</f>
        <v/>
      </c>
      <c r="AE551" s="7" t="str">
        <f t="shared" si="13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8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9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0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1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2"/>
        <v/>
      </c>
      <c r="AB552" s="4" t="str">
        <f t="array" ref="AB552">XLOOKUP(X552,'Dados Funil'!A:A,'Dados Funil'!O:O,"")</f>
        <v/>
      </c>
      <c r="AE552" s="7" t="str">
        <f t="shared" si="13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8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9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0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1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2"/>
        <v/>
      </c>
      <c r="AB553" s="4" t="str">
        <f t="array" ref="AB553">XLOOKUP(X553,'Dados Funil'!A:A,'Dados Funil'!O:O,"")</f>
        <v/>
      </c>
      <c r="AE553" s="7" t="str">
        <f t="shared" si="13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8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9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0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1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2"/>
        <v/>
      </c>
      <c r="AB554" s="4" t="str">
        <f t="array" ref="AB554">XLOOKUP(X554,'Dados Funil'!A:A,'Dados Funil'!O:O,"")</f>
        <v/>
      </c>
      <c r="AE554" s="7" t="str">
        <f t="shared" si="13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8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9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0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1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2"/>
        <v/>
      </c>
      <c r="AB555" s="4" t="str">
        <f t="array" ref="AB555">XLOOKUP(X555,'Dados Funil'!A:A,'Dados Funil'!O:O,"")</f>
        <v/>
      </c>
      <c r="AE555" s="7" t="str">
        <f t="shared" si="13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8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9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0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1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2"/>
        <v/>
      </c>
      <c r="AB556" s="4" t="str">
        <f t="array" ref="AB556">XLOOKUP(X556,'Dados Funil'!A:A,'Dados Funil'!O:O,"")</f>
        <v/>
      </c>
      <c r="AE556" s="7" t="str">
        <f t="shared" si="13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8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9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0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1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2"/>
        <v/>
      </c>
      <c r="AB557" s="4" t="str">
        <f t="array" ref="AB557">XLOOKUP(X557,'Dados Funil'!A:A,'Dados Funil'!O:O,"")</f>
        <v/>
      </c>
      <c r="AE557" s="7" t="str">
        <f t="shared" si="13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8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9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0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1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2"/>
        <v/>
      </c>
      <c r="AB558" s="4" t="str">
        <f t="array" ref="AB558">XLOOKUP(X558,'Dados Funil'!A:A,'Dados Funil'!O:O,"")</f>
        <v/>
      </c>
      <c r="AE558" s="7" t="str">
        <f t="shared" si="13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8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9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0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1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2"/>
        <v/>
      </c>
      <c r="AB559" s="4" t="str">
        <f t="array" ref="AB559">XLOOKUP(X559,'Dados Funil'!A:A,'Dados Funil'!O:O,"")</f>
        <v/>
      </c>
      <c r="AE559" s="7" t="str">
        <f t="shared" si="13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8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9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0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1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2"/>
        <v/>
      </c>
      <c r="AB560" s="4" t="str">
        <f t="array" ref="AB560">XLOOKUP(X560,'Dados Funil'!A:A,'Dados Funil'!O:O,"")</f>
        <v/>
      </c>
      <c r="AE560" s="7" t="str">
        <f t="shared" si="13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8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9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0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1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2"/>
        <v/>
      </c>
      <c r="AB561" s="4" t="str">
        <f t="array" ref="AB561">XLOOKUP(X561,'Dados Funil'!A:A,'Dados Funil'!O:O,"")</f>
        <v/>
      </c>
      <c r="AE561" s="7" t="str">
        <f t="shared" si="13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8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9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0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1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2"/>
        <v/>
      </c>
      <c r="AB562" s="4" t="str">
        <f t="array" ref="AB562">XLOOKUP(X562,'Dados Funil'!A:A,'Dados Funil'!O:O,"")</f>
        <v/>
      </c>
      <c r="AE562" s="7" t="str">
        <f t="shared" si="13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8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9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0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1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2"/>
        <v/>
      </c>
      <c r="AB563" s="4" t="str">
        <f t="array" ref="AB563">XLOOKUP(X563,'Dados Funil'!A:A,'Dados Funil'!O:O,"")</f>
        <v/>
      </c>
      <c r="AE563" s="7" t="str">
        <f t="shared" si="13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8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9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0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1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2"/>
        <v/>
      </c>
      <c r="AB564" s="4" t="str">
        <f t="array" ref="AB564">XLOOKUP(X564,'Dados Funil'!A:A,'Dados Funil'!O:O,"")</f>
        <v/>
      </c>
      <c r="AE564" s="7" t="str">
        <f t="shared" si="13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8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9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0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1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2"/>
        <v/>
      </c>
      <c r="AB565" s="4" t="str">
        <f t="array" ref="AB565">XLOOKUP(X565,'Dados Funil'!A:A,'Dados Funil'!O:O,"")</f>
        <v/>
      </c>
      <c r="AE565" s="7" t="str">
        <f t="shared" si="13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8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9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0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1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2"/>
        <v/>
      </c>
      <c r="AB566" s="4" t="str">
        <f t="array" ref="AB566">XLOOKUP(X566,'Dados Funil'!A:A,'Dados Funil'!O:O,"")</f>
        <v/>
      </c>
      <c r="AE566" s="7" t="str">
        <f t="shared" si="13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8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9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0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1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2"/>
        <v/>
      </c>
      <c r="AB567" s="4" t="str">
        <f t="array" ref="AB567">XLOOKUP(X567,'Dados Funil'!A:A,'Dados Funil'!O:O,"")</f>
        <v/>
      </c>
      <c r="AE567" s="7" t="str">
        <f t="shared" si="13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8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9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0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1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2"/>
        <v/>
      </c>
      <c r="AB568" s="4" t="str">
        <f t="array" ref="AB568">XLOOKUP(X568,'Dados Funil'!A:A,'Dados Funil'!O:O,"")</f>
        <v/>
      </c>
      <c r="AE568" s="7" t="str">
        <f t="shared" si="13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8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9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0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1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2"/>
        <v/>
      </c>
      <c r="AB569" s="4" t="str">
        <f t="array" ref="AB569">XLOOKUP(X569,'Dados Funil'!A:A,'Dados Funil'!O:O,"")</f>
        <v/>
      </c>
      <c r="AE569" s="7" t="str">
        <f t="shared" si="13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8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9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0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1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2"/>
        <v/>
      </c>
      <c r="AB570" s="4" t="str">
        <f t="array" ref="AB570">XLOOKUP(X570,'Dados Funil'!A:A,'Dados Funil'!O:O,"")</f>
        <v/>
      </c>
      <c r="AE570" s="7" t="str">
        <f t="shared" si="13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8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9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0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1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2"/>
        <v/>
      </c>
      <c r="AB571" s="4" t="str">
        <f t="array" ref="AB571">XLOOKUP(X571,'Dados Funil'!A:A,'Dados Funil'!O:O,"")</f>
        <v/>
      </c>
      <c r="AE571" s="7" t="str">
        <f t="shared" si="13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8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9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0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1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2"/>
        <v/>
      </c>
      <c r="AB572" s="4" t="str">
        <f t="array" ref="AB572">XLOOKUP(X572,'Dados Funil'!A:A,'Dados Funil'!O:O,"")</f>
        <v/>
      </c>
      <c r="AE572" s="7" t="str">
        <f t="shared" si="13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8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9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0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1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2"/>
        <v/>
      </c>
      <c r="AB573" s="4" t="str">
        <f t="array" ref="AB573">XLOOKUP(X573,'Dados Funil'!A:A,'Dados Funil'!O:O,"")</f>
        <v/>
      </c>
      <c r="AE573" s="7" t="str">
        <f t="shared" si="13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8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9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0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1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2"/>
        <v/>
      </c>
      <c r="AB574" s="4" t="str">
        <f t="array" ref="AB574">XLOOKUP(X574,'Dados Funil'!A:A,'Dados Funil'!O:O,"")</f>
        <v/>
      </c>
      <c r="AE574" s="7" t="str">
        <f t="shared" si="13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8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9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0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1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2"/>
        <v/>
      </c>
      <c r="AB575" s="4" t="str">
        <f t="array" ref="AB575">XLOOKUP(X575,'Dados Funil'!A:A,'Dados Funil'!O:O,"")</f>
        <v/>
      </c>
      <c r="AE575" s="7" t="str">
        <f t="shared" si="13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8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9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0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1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2"/>
        <v/>
      </c>
      <c r="AB576" s="4" t="str">
        <f t="array" ref="AB576">XLOOKUP(X576,'Dados Funil'!A:A,'Dados Funil'!O:O,"")</f>
        <v/>
      </c>
      <c r="AE576" s="7" t="str">
        <f t="shared" si="13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8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9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0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1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2"/>
        <v/>
      </c>
      <c r="AB577" s="4" t="str">
        <f t="array" ref="AB577">XLOOKUP(X577,'Dados Funil'!A:A,'Dados Funil'!O:O,"")</f>
        <v/>
      </c>
      <c r="AE577" s="7" t="str">
        <f t="shared" si="13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8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9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0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1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2"/>
        <v/>
      </c>
      <c r="AB578" s="4" t="str">
        <f t="array" ref="AB578">XLOOKUP(X578,'Dados Funil'!A:A,'Dados Funil'!O:O,"")</f>
        <v/>
      </c>
      <c r="AE578" s="7" t="str">
        <f t="shared" si="13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8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9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0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1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2"/>
        <v/>
      </c>
      <c r="AB579" s="4" t="str">
        <f t="array" ref="AB579">XLOOKUP(X579,'Dados Funil'!A:A,'Dados Funil'!O:O,"")</f>
        <v/>
      </c>
      <c r="AE579" s="7" t="str">
        <f t="shared" si="13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8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9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0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1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2"/>
        <v/>
      </c>
      <c r="AB580" s="4" t="str">
        <f t="array" ref="AB580">XLOOKUP(X580,'Dados Funil'!A:A,'Dados Funil'!O:O,"")</f>
        <v/>
      </c>
      <c r="AE580" s="7" t="str">
        <f t="shared" si="13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8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9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0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1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2"/>
        <v/>
      </c>
      <c r="AB581" s="4" t="str">
        <f t="array" ref="AB581">XLOOKUP(X581,'Dados Funil'!A:A,'Dados Funil'!O:O,"")</f>
        <v/>
      </c>
      <c r="AE581" s="7" t="str">
        <f t="shared" si="13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8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9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0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1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2"/>
        <v/>
      </c>
      <c r="AB582" s="4" t="str">
        <f t="array" ref="AB582">XLOOKUP(X582,'Dados Funil'!A:A,'Dados Funil'!O:O,"")</f>
        <v/>
      </c>
      <c r="AE582" s="7" t="str">
        <f t="shared" si="13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8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9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0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1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2"/>
        <v/>
      </c>
      <c r="AB583" s="4" t="str">
        <f t="array" ref="AB583">XLOOKUP(X583,'Dados Funil'!A:A,'Dados Funil'!O:O,"")</f>
        <v/>
      </c>
      <c r="AE583" s="7" t="str">
        <f t="shared" si="13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8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9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0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1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2"/>
        <v/>
      </c>
      <c r="AB584" s="4" t="str">
        <f t="array" ref="AB584">XLOOKUP(X584,'Dados Funil'!A:A,'Dados Funil'!O:O,"")</f>
        <v/>
      </c>
      <c r="AE584" s="7" t="str">
        <f t="shared" si="13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8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9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0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1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2"/>
        <v/>
      </c>
      <c r="AB585" s="4" t="str">
        <f t="array" ref="AB585">XLOOKUP(X585,'Dados Funil'!A:A,'Dados Funil'!O:O,"")</f>
        <v/>
      </c>
      <c r="AE585" s="7" t="str">
        <f t="shared" si="13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8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9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0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1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2"/>
        <v/>
      </c>
      <c r="AB586" s="4" t="str">
        <f t="array" ref="AB586">XLOOKUP(X586,'Dados Funil'!A:A,'Dados Funil'!O:O,"")</f>
        <v/>
      </c>
      <c r="AE586" s="7" t="str">
        <f t="shared" si="13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8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9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0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1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2"/>
        <v/>
      </c>
      <c r="AB587" s="4" t="str">
        <f t="array" ref="AB587">XLOOKUP(X587,'Dados Funil'!A:A,'Dados Funil'!O:O,"")</f>
        <v/>
      </c>
      <c r="AE587" s="7" t="str">
        <f t="shared" si="13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8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9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0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1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2"/>
        <v/>
      </c>
      <c r="AB588" s="4" t="str">
        <f t="array" ref="AB588">XLOOKUP(X588,'Dados Funil'!A:A,'Dados Funil'!O:O,"")</f>
        <v/>
      </c>
      <c r="AE588" s="7" t="str">
        <f t="shared" si="13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8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9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0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1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2"/>
        <v/>
      </c>
      <c r="AB589" s="4" t="str">
        <f t="array" ref="AB589">XLOOKUP(X589,'Dados Funil'!A:A,'Dados Funil'!O:O,"")</f>
        <v/>
      </c>
      <c r="AE589" s="7" t="str">
        <f t="shared" si="13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8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9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0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1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2"/>
        <v/>
      </c>
      <c r="AB590" s="4" t="str">
        <f t="array" ref="AB590">XLOOKUP(X590,'Dados Funil'!A:A,'Dados Funil'!O:O,"")</f>
        <v/>
      </c>
      <c r="AE590" s="7" t="str">
        <f t="shared" si="13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8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9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0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1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2"/>
        <v/>
      </c>
      <c r="AB591" s="4" t="str">
        <f t="array" ref="AB591">XLOOKUP(X591,'Dados Funil'!A:A,'Dados Funil'!O:O,"")</f>
        <v/>
      </c>
      <c r="AE591" s="7" t="str">
        <f t="shared" si="13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8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9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0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1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2"/>
        <v/>
      </c>
      <c r="AB592" s="4" t="str">
        <f t="array" ref="AB592">XLOOKUP(X592,'Dados Funil'!A:A,'Dados Funil'!O:O,"")</f>
        <v/>
      </c>
      <c r="AE592" s="7" t="str">
        <f t="shared" si="13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8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9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0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1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2"/>
        <v/>
      </c>
      <c r="AB593" s="4" t="str">
        <f t="array" ref="AB593">XLOOKUP(X593,'Dados Funil'!A:A,'Dados Funil'!O:O,"")</f>
        <v/>
      </c>
      <c r="AE593" s="7" t="str">
        <f t="shared" si="13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8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9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0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1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2"/>
        <v/>
      </c>
      <c r="AB594" s="4" t="str">
        <f t="array" ref="AB594">XLOOKUP(X594,'Dados Funil'!A:A,'Dados Funil'!O:O,"")</f>
        <v/>
      </c>
      <c r="AE594" s="7" t="str">
        <f t="shared" si="13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8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9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0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1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2"/>
        <v/>
      </c>
      <c r="AB595" s="4" t="str">
        <f t="array" ref="AB595">XLOOKUP(X595,'Dados Funil'!A:A,'Dados Funil'!O:O,"")</f>
        <v/>
      </c>
      <c r="AE595" s="7" t="str">
        <f t="shared" si="13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8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9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0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1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2"/>
        <v/>
      </c>
      <c r="AB596" s="4" t="str">
        <f t="array" ref="AB596">XLOOKUP(X596,'Dados Funil'!A:A,'Dados Funil'!O:O,"")</f>
        <v/>
      </c>
      <c r="AE596" s="7" t="str">
        <f t="shared" si="13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8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9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0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1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2"/>
        <v/>
      </c>
      <c r="AB597" s="4" t="str">
        <f t="array" ref="AB597">XLOOKUP(X597,'Dados Funil'!A:A,'Dados Funil'!O:O,"")</f>
        <v/>
      </c>
      <c r="AE597" s="7" t="str">
        <f t="shared" si="13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8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9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0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1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2"/>
        <v/>
      </c>
      <c r="AB598" s="4" t="str">
        <f t="array" ref="AB598">XLOOKUP(X598,'Dados Funil'!A:A,'Dados Funil'!O:O,"")</f>
        <v/>
      </c>
      <c r="AE598" s="7" t="str">
        <f t="shared" si="13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8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9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0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1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2"/>
        <v/>
      </c>
      <c r="AB599" s="4" t="str">
        <f t="array" ref="AB599">XLOOKUP(X599,'Dados Funil'!A:A,'Dados Funil'!O:O,"")</f>
        <v/>
      </c>
      <c r="AE599" s="7" t="str">
        <f t="shared" si="13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8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9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0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1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2"/>
        <v/>
      </c>
      <c r="AB600" s="4" t="str">
        <f t="array" ref="AB600">XLOOKUP(X600,'Dados Funil'!A:A,'Dados Funil'!O:O,"")</f>
        <v/>
      </c>
      <c r="AE600" s="7" t="str">
        <f t="shared" si="13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8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9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0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1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2"/>
        <v/>
      </c>
      <c r="AB601" s="4" t="str">
        <f t="array" ref="AB601">XLOOKUP(X601,'Dados Funil'!A:A,'Dados Funil'!O:O,"")</f>
        <v/>
      </c>
      <c r="AE601" s="7" t="str">
        <f t="shared" si="13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8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9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0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1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2"/>
        <v/>
      </c>
      <c r="AB602" s="4" t="str">
        <f t="array" ref="AB602">XLOOKUP(X602,'Dados Funil'!A:A,'Dados Funil'!O:O,"")</f>
        <v/>
      </c>
      <c r="AE602" s="7" t="str">
        <f t="shared" si="13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8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9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0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1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2"/>
        <v/>
      </c>
      <c r="AB603" s="4" t="str">
        <f t="array" ref="AB603">XLOOKUP(X603,'Dados Funil'!A:A,'Dados Funil'!O:O,"")</f>
        <v/>
      </c>
      <c r="AE603" s="7" t="str">
        <f t="shared" si="13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8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9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0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1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2"/>
        <v/>
      </c>
      <c r="AB604" s="4" t="str">
        <f t="array" ref="AB604">XLOOKUP(X604,'Dados Funil'!A:A,'Dados Funil'!O:O,"")</f>
        <v/>
      </c>
      <c r="AE604" s="7" t="str">
        <f t="shared" si="13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8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9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0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1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2"/>
        <v/>
      </c>
      <c r="AB605" s="4" t="str">
        <f t="array" ref="AB605">XLOOKUP(X605,'Dados Funil'!A:A,'Dados Funil'!O:O,"")</f>
        <v/>
      </c>
      <c r="AE605" s="7" t="str">
        <f t="shared" si="13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8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9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0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1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2"/>
        <v/>
      </c>
      <c r="AB606" s="4" t="str">
        <f t="array" ref="AB606">XLOOKUP(X606,'Dados Funil'!A:A,'Dados Funil'!O:O,"")</f>
        <v/>
      </c>
      <c r="AE606" s="7" t="str">
        <f t="shared" si="13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8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9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0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1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2"/>
        <v/>
      </c>
      <c r="AB607" s="4" t="str">
        <f t="array" ref="AB607">XLOOKUP(X607,'Dados Funil'!A:A,'Dados Funil'!O:O,"")</f>
        <v/>
      </c>
      <c r="AE607" s="7" t="str">
        <f t="shared" si="13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8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9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0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1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2"/>
        <v/>
      </c>
      <c r="AB608" s="4" t="str">
        <f t="array" ref="AB608">XLOOKUP(X608,'Dados Funil'!A:A,'Dados Funil'!O:O,"")</f>
        <v/>
      </c>
      <c r="AE608" s="7" t="str">
        <f t="shared" si="13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8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9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0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1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2"/>
        <v/>
      </c>
      <c r="AB609" s="4" t="str">
        <f t="array" ref="AB609">XLOOKUP(X609,'Dados Funil'!A:A,'Dados Funil'!O:O,"")</f>
        <v/>
      </c>
      <c r="AE609" s="7" t="str">
        <f t="shared" si="13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8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9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0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1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2"/>
        <v/>
      </c>
      <c r="AB610" s="4" t="str">
        <f t="array" ref="AB610">XLOOKUP(X610,'Dados Funil'!A:A,'Dados Funil'!O:O,"")</f>
        <v/>
      </c>
      <c r="AE610" s="7" t="str">
        <f t="shared" si="13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8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9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0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1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2"/>
        <v/>
      </c>
      <c r="AB611" s="4" t="str">
        <f t="array" ref="AB611">XLOOKUP(X611,'Dados Funil'!A:A,'Dados Funil'!O:O,"")</f>
        <v/>
      </c>
      <c r="AE611" s="7" t="str">
        <f t="shared" si="13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8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9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0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1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2"/>
        <v/>
      </c>
      <c r="AB612" s="4" t="str">
        <f t="array" ref="AB612">XLOOKUP(X612,'Dados Funil'!A:A,'Dados Funil'!O:O,"")</f>
        <v/>
      </c>
      <c r="AE612" s="7" t="str">
        <f t="shared" si="13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8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9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0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1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2"/>
        <v/>
      </c>
      <c r="AB613" s="4" t="str">
        <f t="array" ref="AB613">XLOOKUP(X613,'Dados Funil'!A:A,'Dados Funil'!O:O,"")</f>
        <v/>
      </c>
      <c r="AE613" s="7" t="str">
        <f t="shared" si="13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8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9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0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1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2"/>
        <v/>
      </c>
      <c r="AB614" s="4" t="str">
        <f t="array" ref="AB614">XLOOKUP(X614,'Dados Funil'!A:A,'Dados Funil'!O:O,"")</f>
        <v/>
      </c>
      <c r="AE614" s="7" t="str">
        <f t="shared" si="13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8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9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0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1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2"/>
        <v/>
      </c>
      <c r="AB615" s="4" t="str">
        <f t="array" ref="AB615">XLOOKUP(X615,'Dados Funil'!A:A,'Dados Funil'!O:O,"")</f>
        <v/>
      </c>
      <c r="AE615" s="7" t="str">
        <f t="shared" si="13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8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9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0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1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2"/>
        <v/>
      </c>
      <c r="AB616" s="4" t="str">
        <f t="array" ref="AB616">XLOOKUP(X616,'Dados Funil'!A:A,'Dados Funil'!O:O,"")</f>
        <v/>
      </c>
      <c r="AE616" s="7" t="str">
        <f t="shared" si="13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8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9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0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1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2"/>
        <v/>
      </c>
      <c r="AB617" s="4" t="str">
        <f t="array" ref="AB617">XLOOKUP(X617,'Dados Funil'!A:A,'Dados Funil'!O:O,"")</f>
        <v/>
      </c>
      <c r="AE617" s="7" t="str">
        <f t="shared" si="13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8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9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0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1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2"/>
        <v/>
      </c>
      <c r="AB618" s="4" t="str">
        <f t="array" ref="AB618">XLOOKUP(X618,'Dados Funil'!A:A,'Dados Funil'!O:O,"")</f>
        <v/>
      </c>
      <c r="AE618" s="7" t="str">
        <f t="shared" si="13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8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9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0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1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2"/>
        <v/>
      </c>
      <c r="AB619" s="4" t="str">
        <f t="array" ref="AB619">XLOOKUP(X619,'Dados Funil'!A:A,'Dados Funil'!O:O,"")</f>
        <v/>
      </c>
      <c r="AE619" s="7" t="str">
        <f t="shared" si="13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8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9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0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1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2"/>
        <v/>
      </c>
      <c r="AB620" s="4" t="str">
        <f t="array" ref="AB620">XLOOKUP(X620,'Dados Funil'!A:A,'Dados Funil'!O:O,"")</f>
        <v/>
      </c>
      <c r="AE620" s="7" t="str">
        <f t="shared" si="13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8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9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0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1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2"/>
        <v/>
      </c>
      <c r="AB621" s="4" t="str">
        <f t="array" ref="AB621">XLOOKUP(X621,'Dados Funil'!A:A,'Dados Funil'!O:O,"")</f>
        <v/>
      </c>
      <c r="AE621" s="7" t="str">
        <f t="shared" si="13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8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9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0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1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2"/>
        <v/>
      </c>
      <c r="AB622" s="4" t="str">
        <f t="array" ref="AB622">XLOOKUP(X622,'Dados Funil'!A:A,'Dados Funil'!O:O,"")</f>
        <v/>
      </c>
      <c r="AE622" s="7" t="str">
        <f t="shared" si="13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8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9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0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1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2"/>
        <v/>
      </c>
      <c r="AB623" s="4" t="str">
        <f t="array" ref="AB623">XLOOKUP(X623,'Dados Funil'!A:A,'Dados Funil'!O:O,"")</f>
        <v/>
      </c>
      <c r="AE623" s="7" t="str">
        <f t="shared" si="13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8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9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0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1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2"/>
        <v/>
      </c>
      <c r="AB624" s="4" t="str">
        <f t="array" ref="AB624">XLOOKUP(X624,'Dados Funil'!A:A,'Dados Funil'!O:O,"")</f>
        <v/>
      </c>
      <c r="AE624" s="7" t="str">
        <f t="shared" si="13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8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9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0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1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2"/>
        <v/>
      </c>
      <c r="AB625" s="4" t="str">
        <f t="array" ref="AB625">XLOOKUP(X625,'Dados Funil'!A:A,'Dados Funil'!O:O,"")</f>
        <v/>
      </c>
      <c r="AE625" s="7" t="str">
        <f t="shared" si="13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8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9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0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1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2"/>
        <v/>
      </c>
      <c r="AB626" s="4" t="str">
        <f t="array" ref="AB626">XLOOKUP(X626,'Dados Funil'!A:A,'Dados Funil'!O:O,"")</f>
        <v/>
      </c>
      <c r="AE626" s="7" t="str">
        <f t="shared" si="13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8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9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0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1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2"/>
        <v/>
      </c>
      <c r="AB627" s="4" t="str">
        <f t="array" ref="AB627">XLOOKUP(X627,'Dados Funil'!A:A,'Dados Funil'!O:O,"")</f>
        <v/>
      </c>
      <c r="AE627" s="7" t="str">
        <f t="shared" si="13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8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9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0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1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2"/>
        <v/>
      </c>
      <c r="AB628" s="4" t="str">
        <f t="array" ref="AB628">XLOOKUP(X628,'Dados Funil'!A:A,'Dados Funil'!O:O,"")</f>
        <v/>
      </c>
      <c r="AE628" s="7" t="str">
        <f t="shared" si="13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8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9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0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1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2"/>
        <v/>
      </c>
      <c r="AB629" s="4" t="str">
        <f t="array" ref="AB629">XLOOKUP(X629,'Dados Funil'!A:A,'Dados Funil'!O:O,"")</f>
        <v/>
      </c>
      <c r="AE629" s="7" t="str">
        <f t="shared" si="13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8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9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0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1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2"/>
        <v/>
      </c>
      <c r="AB630" s="4" t="str">
        <f t="array" ref="AB630">XLOOKUP(X630,'Dados Funil'!A:A,'Dados Funil'!O:O,"")</f>
        <v/>
      </c>
      <c r="AE630" s="7" t="str">
        <f t="shared" si="13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8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9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0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1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2"/>
        <v/>
      </c>
      <c r="AB631" s="4" t="str">
        <f t="array" ref="AB631">XLOOKUP(X631,'Dados Funil'!A:A,'Dados Funil'!O:O,"")</f>
        <v/>
      </c>
      <c r="AE631" s="7" t="str">
        <f t="shared" si="13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8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9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0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1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2"/>
        <v/>
      </c>
      <c r="AB632" s="4" t="str">
        <f t="array" ref="AB632">XLOOKUP(X632,'Dados Funil'!A:A,'Dados Funil'!O:O,"")</f>
        <v/>
      </c>
      <c r="AE632" s="7" t="str">
        <f t="shared" si="13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8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9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0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1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2"/>
        <v/>
      </c>
      <c r="AB633" s="4" t="str">
        <f t="array" ref="AB633">XLOOKUP(X633,'Dados Funil'!A:A,'Dados Funil'!O:O,"")</f>
        <v/>
      </c>
      <c r="AE633" s="7" t="str">
        <f t="shared" si="13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8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9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0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1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2"/>
        <v/>
      </c>
      <c r="AB634" s="4" t="str">
        <f t="array" ref="AB634">XLOOKUP(X634,'Dados Funil'!A:A,'Dados Funil'!O:O,"")</f>
        <v/>
      </c>
      <c r="AE634" s="7" t="str">
        <f t="shared" si="13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8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9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0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1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2"/>
        <v/>
      </c>
      <c r="AB635" s="4" t="str">
        <f t="array" ref="AB635">XLOOKUP(X635,'Dados Funil'!A:A,'Dados Funil'!O:O,"")</f>
        <v/>
      </c>
      <c r="AE635" s="7" t="str">
        <f t="shared" si="13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8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9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0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1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2"/>
        <v/>
      </c>
      <c r="AB636" s="4" t="str">
        <f t="array" ref="AB636">XLOOKUP(X636,'Dados Funil'!A:A,'Dados Funil'!O:O,"")</f>
        <v/>
      </c>
      <c r="AE636" s="7" t="str">
        <f t="shared" si="13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8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9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0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1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2"/>
        <v/>
      </c>
      <c r="AB637" s="4" t="str">
        <f t="array" ref="AB637">XLOOKUP(X637,'Dados Funil'!A:A,'Dados Funil'!O:O,"")</f>
        <v/>
      </c>
      <c r="AE637" s="7" t="str">
        <f t="shared" si="13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8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9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0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1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2"/>
        <v/>
      </c>
      <c r="AB638" s="4" t="str">
        <f t="array" ref="AB638">XLOOKUP(X638,'Dados Funil'!A:A,'Dados Funil'!O:O,"")</f>
        <v/>
      </c>
      <c r="AE638" s="7" t="str">
        <f t="shared" si="13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8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9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0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1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2"/>
        <v/>
      </c>
      <c r="AB639" s="4" t="str">
        <f t="array" ref="AB639">XLOOKUP(X639,'Dados Funil'!A:A,'Dados Funil'!O:O,"")</f>
        <v/>
      </c>
      <c r="AE639" s="7" t="str">
        <f t="shared" si="13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8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9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0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1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2"/>
        <v/>
      </c>
      <c r="AB640" s="4" t="str">
        <f t="array" ref="AB640">XLOOKUP(X640,'Dados Funil'!A:A,'Dados Funil'!O:O,"")</f>
        <v/>
      </c>
      <c r="AE640" s="7" t="str">
        <f t="shared" si="13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8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9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0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1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2"/>
        <v/>
      </c>
      <c r="AB641" s="4" t="str">
        <f t="array" ref="AB641">XLOOKUP(X641,'Dados Funil'!A:A,'Dados Funil'!O:O,"")</f>
        <v/>
      </c>
      <c r="AE641" s="7" t="str">
        <f t="shared" si="13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8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9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0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1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2"/>
        <v/>
      </c>
      <c r="AB642" s="4" t="str">
        <f t="array" ref="AB642">XLOOKUP(X642,'Dados Funil'!A:A,'Dados Funil'!O:O,"")</f>
        <v/>
      </c>
      <c r="AE642" s="7" t="str">
        <f t="shared" si="13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8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9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0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1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2"/>
        <v/>
      </c>
      <c r="AB643" s="4" t="str">
        <f t="array" ref="AB643">XLOOKUP(X643,'Dados Funil'!A:A,'Dados Funil'!O:O,"")</f>
        <v/>
      </c>
      <c r="AE643" s="7" t="str">
        <f t="shared" si="13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8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9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0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1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2"/>
        <v/>
      </c>
      <c r="AB644" s="4" t="str">
        <f t="array" ref="AB644">XLOOKUP(X644,'Dados Funil'!A:A,'Dados Funil'!O:O,"")</f>
        <v/>
      </c>
      <c r="AE644" s="7" t="str">
        <f t="shared" si="13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8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9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0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1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2"/>
        <v/>
      </c>
      <c r="AB645" s="4" t="str">
        <f t="array" ref="AB645">XLOOKUP(X645,'Dados Funil'!A:A,'Dados Funil'!O:O,"")</f>
        <v/>
      </c>
      <c r="AE645" s="7" t="str">
        <f t="shared" si="13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8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9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0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1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2"/>
        <v/>
      </c>
      <c r="AB646" s="4" t="str">
        <f t="array" ref="AB646">XLOOKUP(X646,'Dados Funil'!A:A,'Dados Funil'!O:O,"")</f>
        <v/>
      </c>
      <c r="AE646" s="7" t="str">
        <f t="shared" si="13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8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9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0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1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2"/>
        <v/>
      </c>
      <c r="AB647" s="4" t="str">
        <f t="array" ref="AB647">XLOOKUP(X647,'Dados Funil'!A:A,'Dados Funil'!O:O,"")</f>
        <v/>
      </c>
      <c r="AE647" s="7" t="str">
        <f t="shared" si="13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8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9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0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1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2"/>
        <v/>
      </c>
      <c r="AB648" s="4" t="str">
        <f t="array" ref="AB648">XLOOKUP(X648,'Dados Funil'!A:A,'Dados Funil'!O:O,"")</f>
        <v/>
      </c>
      <c r="AE648" s="7" t="str">
        <f t="shared" si="13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8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9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0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1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2"/>
        <v/>
      </c>
      <c r="AB649" s="4" t="str">
        <f t="array" ref="AB649">XLOOKUP(X649,'Dados Funil'!A:A,'Dados Funil'!O:O,"")</f>
        <v/>
      </c>
      <c r="AE649" s="7" t="str">
        <f t="shared" si="13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8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9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0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1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2"/>
        <v/>
      </c>
      <c r="AB650" s="4" t="str">
        <f t="array" ref="AB650">XLOOKUP(X650,'Dados Funil'!A:A,'Dados Funil'!O:O,"")</f>
        <v/>
      </c>
      <c r="AE650" s="7" t="str">
        <f t="shared" si="13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8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9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0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1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2"/>
        <v/>
      </c>
      <c r="AB651" s="4" t="str">
        <f t="array" ref="AB651">XLOOKUP(X651,'Dados Funil'!A:A,'Dados Funil'!O:O,"")</f>
        <v/>
      </c>
      <c r="AE651" s="7" t="str">
        <f t="shared" si="13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8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9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0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1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2"/>
        <v/>
      </c>
      <c r="AB652" s="4" t="str">
        <f t="array" ref="AB652">XLOOKUP(X652,'Dados Funil'!A:A,'Dados Funil'!O:O,"")</f>
        <v/>
      </c>
      <c r="AE652" s="7" t="str">
        <f t="shared" si="13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8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9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0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1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2"/>
        <v/>
      </c>
      <c r="AB653" s="4" t="str">
        <f t="array" ref="AB653">XLOOKUP(X653,'Dados Funil'!A:A,'Dados Funil'!O:O,"")</f>
        <v/>
      </c>
      <c r="AE653" s="7" t="str">
        <f t="shared" si="13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8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9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0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1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2"/>
        <v/>
      </c>
      <c r="AB654" s="4" t="str">
        <f t="array" ref="AB654">XLOOKUP(X654,'Dados Funil'!A:A,'Dados Funil'!O:O,"")</f>
        <v/>
      </c>
      <c r="AE654" s="7" t="str">
        <f t="shared" si="13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8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9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0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1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2"/>
        <v/>
      </c>
      <c r="AB655" s="4" t="str">
        <f t="array" ref="AB655">XLOOKUP(X655,'Dados Funil'!A:A,'Dados Funil'!O:O,"")</f>
        <v/>
      </c>
      <c r="AE655" s="7" t="str">
        <f t="shared" si="13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8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9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0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1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2"/>
        <v/>
      </c>
      <c r="AB656" s="4" t="str">
        <f t="array" ref="AB656">XLOOKUP(X656,'Dados Funil'!A:A,'Dados Funil'!O:O,"")</f>
        <v/>
      </c>
      <c r="AE656" s="7" t="str">
        <f t="shared" si="13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8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9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0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1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2"/>
        <v/>
      </c>
      <c r="AB657" s="4" t="str">
        <f t="array" ref="AB657">XLOOKUP(X657,'Dados Funil'!A:A,'Dados Funil'!O:O,"")</f>
        <v/>
      </c>
      <c r="AE657" s="7" t="str">
        <f t="shared" si="13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8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9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0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1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2"/>
        <v/>
      </c>
      <c r="AB658" s="4" t="str">
        <f t="array" ref="AB658">XLOOKUP(X658,'Dados Funil'!A:A,'Dados Funil'!O:O,"")</f>
        <v/>
      </c>
      <c r="AE658" s="7" t="str">
        <f t="shared" si="13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8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9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0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1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2"/>
        <v/>
      </c>
      <c r="AB659" s="4" t="str">
        <f t="array" ref="AB659">XLOOKUP(X659,'Dados Funil'!A:A,'Dados Funil'!O:O,"")</f>
        <v/>
      </c>
      <c r="AE659" s="7" t="str">
        <f t="shared" si="13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8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9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0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1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2"/>
        <v/>
      </c>
      <c r="AB660" s="4" t="str">
        <f t="array" ref="AB660">XLOOKUP(X660,'Dados Funil'!A:A,'Dados Funil'!O:O,"")</f>
        <v/>
      </c>
      <c r="AE660" s="7" t="str">
        <f t="shared" si="13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8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9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0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1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2"/>
        <v/>
      </c>
      <c r="AB661" s="4" t="str">
        <f t="array" ref="AB661">XLOOKUP(X661,'Dados Funil'!A:A,'Dados Funil'!O:O,"")</f>
        <v/>
      </c>
      <c r="AE661" s="7" t="str">
        <f t="shared" si="13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8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9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0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1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2"/>
        <v/>
      </c>
      <c r="AB662" s="4" t="str">
        <f t="array" ref="AB662">XLOOKUP(X662,'Dados Funil'!A:A,'Dados Funil'!O:O,"")</f>
        <v/>
      </c>
      <c r="AE662" s="7" t="str">
        <f t="shared" si="13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8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9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0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1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2"/>
        <v/>
      </c>
      <c r="AB663" s="4" t="str">
        <f t="array" ref="AB663">XLOOKUP(X663,'Dados Funil'!A:A,'Dados Funil'!O:O,"")</f>
        <v/>
      </c>
      <c r="AE663" s="7" t="str">
        <f t="shared" si="13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8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9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0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1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2"/>
        <v/>
      </c>
      <c r="AB664" s="4" t="str">
        <f t="array" ref="AB664">XLOOKUP(X664,'Dados Funil'!A:A,'Dados Funil'!O:O,"")</f>
        <v/>
      </c>
      <c r="AE664" s="7" t="str">
        <f t="shared" si="13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8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9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0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1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2"/>
        <v/>
      </c>
      <c r="AB665" s="4" t="str">
        <f t="array" ref="AB665">XLOOKUP(X665,'Dados Funil'!A:A,'Dados Funil'!O:O,"")</f>
        <v/>
      </c>
      <c r="AE665" s="7" t="str">
        <f t="shared" si="13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8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9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0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1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2"/>
        <v/>
      </c>
      <c r="AB666" s="4" t="str">
        <f t="array" ref="AB666">XLOOKUP(X666,'Dados Funil'!A:A,'Dados Funil'!O:O,"")</f>
        <v/>
      </c>
      <c r="AE666" s="7" t="str">
        <f t="shared" si="13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8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9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0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1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2"/>
        <v/>
      </c>
      <c r="AB667" s="4" t="str">
        <f t="array" ref="AB667">XLOOKUP(X667,'Dados Funil'!A:A,'Dados Funil'!O:O,"")</f>
        <v/>
      </c>
      <c r="AE667" s="7" t="str">
        <f t="shared" si="13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8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9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0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1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2"/>
        <v/>
      </c>
      <c r="AB668" s="4" t="str">
        <f t="array" ref="AB668">XLOOKUP(X668,'Dados Funil'!A:A,'Dados Funil'!O:O,"")</f>
        <v/>
      </c>
      <c r="AE668" s="7" t="str">
        <f t="shared" si="13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8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9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0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1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2"/>
        <v/>
      </c>
      <c r="AB669" s="4" t="str">
        <f t="array" ref="AB669">XLOOKUP(X669,'Dados Funil'!A:A,'Dados Funil'!O:O,"")</f>
        <v/>
      </c>
      <c r="AE669" s="7" t="str">
        <f t="shared" si="13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8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9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0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1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2"/>
        <v/>
      </c>
      <c r="AB670" s="4" t="str">
        <f t="array" ref="AB670">XLOOKUP(X670,'Dados Funil'!A:A,'Dados Funil'!O:O,"")</f>
        <v/>
      </c>
      <c r="AE670" s="7" t="str">
        <f t="shared" si="13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8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9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0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1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2"/>
        <v/>
      </c>
      <c r="AB671" s="4" t="str">
        <f t="array" ref="AB671">XLOOKUP(X671,'Dados Funil'!A:A,'Dados Funil'!O:O,"")</f>
        <v/>
      </c>
      <c r="AE671" s="7" t="str">
        <f t="shared" si="13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8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9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0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1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2"/>
        <v/>
      </c>
      <c r="AB672" s="4" t="str">
        <f t="array" ref="AB672">XLOOKUP(X672,'Dados Funil'!A:A,'Dados Funil'!O:O,"")</f>
        <v/>
      </c>
      <c r="AE672" s="7" t="str">
        <f t="shared" si="13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8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9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0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1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2"/>
        <v/>
      </c>
      <c r="AB673" s="4" t="str">
        <f t="array" ref="AB673">XLOOKUP(X673,'Dados Funil'!A:A,'Dados Funil'!O:O,"")</f>
        <v/>
      </c>
      <c r="AE673" s="7" t="str">
        <f t="shared" si="13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8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9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0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1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2"/>
        <v/>
      </c>
      <c r="AB674" s="4" t="str">
        <f t="array" ref="AB674">XLOOKUP(X674,'Dados Funil'!A:A,'Dados Funil'!O:O,"")</f>
        <v/>
      </c>
      <c r="AE674" s="7" t="str">
        <f t="shared" si="13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8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9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0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1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2"/>
        <v/>
      </c>
      <c r="AB675" s="4" t="str">
        <f t="array" ref="AB675">XLOOKUP(X675,'Dados Funil'!A:A,'Dados Funil'!O:O,"")</f>
        <v/>
      </c>
      <c r="AE675" s="7" t="str">
        <f t="shared" si="13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8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9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0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1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2"/>
        <v/>
      </c>
      <c r="AB676" s="4" t="str">
        <f t="array" ref="AB676">XLOOKUP(X676,'Dados Funil'!A:A,'Dados Funil'!O:O,"")</f>
        <v/>
      </c>
      <c r="AE676" s="7" t="str">
        <f t="shared" si="13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8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9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0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1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2"/>
        <v/>
      </c>
      <c r="AB677" s="4" t="str">
        <f t="array" ref="AB677">XLOOKUP(X677,'Dados Funil'!A:A,'Dados Funil'!O:O,"")</f>
        <v/>
      </c>
      <c r="AE677" s="7" t="str">
        <f t="shared" si="13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8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9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0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1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2"/>
        <v/>
      </c>
      <c r="AB678" s="4" t="str">
        <f t="array" ref="AB678">XLOOKUP(X678,'Dados Funil'!A:A,'Dados Funil'!O:O,"")</f>
        <v/>
      </c>
      <c r="AE678" s="7" t="str">
        <f t="shared" si="13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8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9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0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1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2"/>
        <v/>
      </c>
      <c r="AB679" s="4" t="str">
        <f t="array" ref="AB679">XLOOKUP(X679,'Dados Funil'!A:A,'Dados Funil'!O:O,"")</f>
        <v/>
      </c>
      <c r="AE679" s="7" t="str">
        <f t="shared" si="13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8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9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0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1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2"/>
        <v/>
      </c>
      <c r="AB680" s="4" t="str">
        <f t="array" ref="AB680">XLOOKUP(X680,'Dados Funil'!A:A,'Dados Funil'!O:O,"")</f>
        <v/>
      </c>
      <c r="AE680" s="7" t="str">
        <f t="shared" si="13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8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9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0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1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2"/>
        <v/>
      </c>
      <c r="AB681" s="4" t="str">
        <f t="array" ref="AB681">XLOOKUP(X681,'Dados Funil'!A:A,'Dados Funil'!O:O,"")</f>
        <v/>
      </c>
      <c r="AE681" s="7" t="str">
        <f t="shared" si="13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8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9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0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1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2"/>
        <v/>
      </c>
      <c r="AB682" s="4" t="str">
        <f t="array" ref="AB682">XLOOKUP(X682,'Dados Funil'!A:A,'Dados Funil'!O:O,"")</f>
        <v/>
      </c>
      <c r="AE682" s="7" t="str">
        <f t="shared" si="13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8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9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0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1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2"/>
        <v/>
      </c>
      <c r="AB683" s="4" t="str">
        <f t="array" ref="AB683">XLOOKUP(X683,'Dados Funil'!A:A,'Dados Funil'!O:O,"")</f>
        <v/>
      </c>
      <c r="AE683" s="7" t="str">
        <f t="shared" si="13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8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9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0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1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2"/>
        <v/>
      </c>
      <c r="AB684" s="4" t="str">
        <f t="array" ref="AB684">XLOOKUP(X684,'Dados Funil'!A:A,'Dados Funil'!O:O,"")</f>
        <v/>
      </c>
      <c r="AE684" s="7" t="str">
        <f t="shared" si="13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8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9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0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1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2"/>
        <v/>
      </c>
      <c r="AB685" s="4" t="str">
        <f t="array" ref="AB685">XLOOKUP(X685,'Dados Funil'!A:A,'Dados Funil'!O:O,"")</f>
        <v/>
      </c>
      <c r="AE685" s="7" t="str">
        <f t="shared" si="13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8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9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0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1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2"/>
        <v/>
      </c>
      <c r="AB686" s="4" t="str">
        <f t="array" ref="AB686">XLOOKUP(X686,'Dados Funil'!A:A,'Dados Funil'!O:O,"")</f>
        <v/>
      </c>
      <c r="AE686" s="7" t="str">
        <f t="shared" si="13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8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9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0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1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2"/>
        <v/>
      </c>
      <c r="AB687" s="4" t="str">
        <f t="array" ref="AB687">XLOOKUP(X687,'Dados Funil'!A:A,'Dados Funil'!O:O,"")</f>
        <v/>
      </c>
      <c r="AE687" s="7" t="str">
        <f t="shared" si="13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8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9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0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1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2"/>
        <v/>
      </c>
      <c r="AB688" s="4" t="str">
        <f t="array" ref="AB688">XLOOKUP(X688,'Dados Funil'!A:A,'Dados Funil'!O:O,"")</f>
        <v/>
      </c>
      <c r="AE688" s="7" t="str">
        <f t="shared" si="13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8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9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0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1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2"/>
        <v/>
      </c>
      <c r="AB689" s="4" t="str">
        <f t="array" ref="AB689">XLOOKUP(X689,'Dados Funil'!A:A,'Dados Funil'!O:O,"")</f>
        <v/>
      </c>
      <c r="AE689" s="7" t="str">
        <f t="shared" si="13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8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9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0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1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2"/>
        <v/>
      </c>
      <c r="AB690" s="4" t="str">
        <f t="array" ref="AB690">XLOOKUP(X690,'Dados Funil'!A:A,'Dados Funil'!O:O,"")</f>
        <v/>
      </c>
      <c r="AE690" s="7" t="str">
        <f t="shared" si="13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8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9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0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1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2"/>
        <v/>
      </c>
      <c r="AB691" s="4" t="str">
        <f t="array" ref="AB691">XLOOKUP(X691,'Dados Funil'!A:A,'Dados Funil'!O:O,"")</f>
        <v/>
      </c>
      <c r="AE691" s="7" t="str">
        <f t="shared" si="13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8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9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0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1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2"/>
        <v/>
      </c>
      <c r="AB692" s="4" t="str">
        <f t="array" ref="AB692">XLOOKUP(X692,'Dados Funil'!A:A,'Dados Funil'!O:O,"")</f>
        <v/>
      </c>
      <c r="AE692" s="7" t="str">
        <f t="shared" si="13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8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9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0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1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2"/>
        <v/>
      </c>
      <c r="AB693" s="4" t="str">
        <f t="array" ref="AB693">XLOOKUP(X693,'Dados Funil'!A:A,'Dados Funil'!O:O,"")</f>
        <v/>
      </c>
      <c r="AE693" s="7" t="str">
        <f t="shared" si="13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8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9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0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1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2"/>
        <v/>
      </c>
      <c r="AB694" s="4" t="str">
        <f t="array" ref="AB694">XLOOKUP(X694,'Dados Funil'!A:A,'Dados Funil'!O:O,"")</f>
        <v/>
      </c>
      <c r="AE694" s="7" t="str">
        <f t="shared" si="13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8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9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0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1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2"/>
        <v/>
      </c>
      <c r="AB695" s="4" t="str">
        <f t="array" ref="AB695">XLOOKUP(X695,'Dados Funil'!A:A,'Dados Funil'!O:O,"")</f>
        <v/>
      </c>
      <c r="AE695" s="7" t="str">
        <f t="shared" si="13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8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9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0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1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2"/>
        <v/>
      </c>
      <c r="AB696" s="4" t="str">
        <f t="array" ref="AB696">XLOOKUP(X696,'Dados Funil'!A:A,'Dados Funil'!O:O,"")</f>
        <v/>
      </c>
      <c r="AE696" s="7" t="str">
        <f t="shared" si="13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8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9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0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1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2"/>
        <v/>
      </c>
      <c r="AB697" s="4" t="str">
        <f t="array" ref="AB697">XLOOKUP(X697,'Dados Funil'!A:A,'Dados Funil'!O:O,"")</f>
        <v/>
      </c>
      <c r="AE697" s="7" t="str">
        <f t="shared" si="13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8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9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0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1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2"/>
        <v/>
      </c>
      <c r="AB698" s="4" t="str">
        <f t="array" ref="AB698">XLOOKUP(X698,'Dados Funil'!A:A,'Dados Funil'!O:O,"")</f>
        <v/>
      </c>
      <c r="AE698" s="7" t="str">
        <f t="shared" si="13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8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9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0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1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2"/>
        <v/>
      </c>
      <c r="AB699" s="4" t="str">
        <f t="array" ref="AB699">XLOOKUP(X699,'Dados Funil'!A:A,'Dados Funil'!O:O,"")</f>
        <v/>
      </c>
      <c r="AE699" s="7" t="str">
        <f t="shared" si="13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8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9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0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1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2"/>
        <v/>
      </c>
      <c r="AB700" s="4" t="str">
        <f t="array" ref="AB700">XLOOKUP(X700,'Dados Funil'!A:A,'Dados Funil'!O:O,"")</f>
        <v/>
      </c>
      <c r="AE700" s="7" t="str">
        <f t="shared" si="13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8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9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0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1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2"/>
        <v/>
      </c>
      <c r="AB701" s="4" t="str">
        <f t="array" ref="AB701">XLOOKUP(X701,'Dados Funil'!A:A,'Dados Funil'!O:O,"")</f>
        <v/>
      </c>
      <c r="AE701" s="7" t="str">
        <f t="shared" si="13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8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9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0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1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2"/>
        <v/>
      </c>
      <c r="AB702" s="4" t="str">
        <f t="array" ref="AB702">XLOOKUP(X702,'Dados Funil'!A:A,'Dados Funil'!O:O,"")</f>
        <v/>
      </c>
      <c r="AE702" s="7" t="str">
        <f t="shared" si="13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8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9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0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1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2"/>
        <v/>
      </c>
      <c r="AB703" s="4" t="str">
        <f t="array" ref="AB703">XLOOKUP(X703,'Dados Funil'!A:A,'Dados Funil'!O:O,"")</f>
        <v/>
      </c>
      <c r="AE703" s="7" t="str">
        <f t="shared" si="13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8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9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0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1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2"/>
        <v/>
      </c>
      <c r="AB704" s="4" t="str">
        <f t="array" ref="AB704">XLOOKUP(X704,'Dados Funil'!A:A,'Dados Funil'!O:O,"")</f>
        <v/>
      </c>
      <c r="AE704" s="7" t="str">
        <f t="shared" si="13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8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9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0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1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2"/>
        <v/>
      </c>
      <c r="AB705" s="4" t="str">
        <f t="array" ref="AB705">XLOOKUP(X705,'Dados Funil'!A:A,'Dados Funil'!O:O,"")</f>
        <v/>
      </c>
      <c r="AE705" s="7" t="str">
        <f t="shared" si="13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8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9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0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1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2"/>
        <v/>
      </c>
      <c r="AB706" s="4" t="str">
        <f t="array" ref="AB706">XLOOKUP(X706,'Dados Funil'!A:A,'Dados Funil'!O:O,"")</f>
        <v/>
      </c>
      <c r="AE706" s="7" t="str">
        <f t="shared" si="13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8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9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0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1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2"/>
        <v/>
      </c>
      <c r="AB707" s="4" t="str">
        <f t="array" ref="AB707">XLOOKUP(X707,'Dados Funil'!A:A,'Dados Funil'!O:O,"")</f>
        <v/>
      </c>
      <c r="AE707" s="7" t="str">
        <f t="shared" si="13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8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9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0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1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2"/>
        <v/>
      </c>
      <c r="AB708" s="4" t="str">
        <f t="array" ref="AB708">XLOOKUP(X708,'Dados Funil'!A:A,'Dados Funil'!O:O,"")</f>
        <v/>
      </c>
      <c r="AE708" s="7" t="str">
        <f t="shared" si="13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8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9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0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1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2"/>
        <v/>
      </c>
      <c r="AB709" s="4" t="str">
        <f t="array" ref="AB709">XLOOKUP(X709,'Dados Funil'!A:A,'Dados Funil'!O:O,"")</f>
        <v/>
      </c>
      <c r="AE709" s="7" t="str">
        <f t="shared" si="13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8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9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0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1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2"/>
        <v/>
      </c>
      <c r="AB710" s="4" t="str">
        <f t="array" ref="AB710">XLOOKUP(X710,'Dados Funil'!A:A,'Dados Funil'!O:O,"")</f>
        <v/>
      </c>
      <c r="AE710" s="7" t="str">
        <f t="shared" si="13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8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9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0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1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2"/>
        <v/>
      </c>
      <c r="AB711" s="4" t="str">
        <f t="array" ref="AB711">XLOOKUP(X711,'Dados Funil'!A:A,'Dados Funil'!O:O,"")</f>
        <v/>
      </c>
      <c r="AE711" s="7" t="str">
        <f t="shared" si="13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8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9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0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1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2"/>
        <v/>
      </c>
      <c r="AB712" s="4" t="str">
        <f t="array" ref="AB712">XLOOKUP(X712,'Dados Funil'!A:A,'Dados Funil'!O:O,"")</f>
        <v/>
      </c>
      <c r="AE712" s="7" t="str">
        <f t="shared" si="13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8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9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0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1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2"/>
        <v/>
      </c>
      <c r="AB713" s="4" t="str">
        <f t="array" ref="AB713">XLOOKUP(X713,'Dados Funil'!A:A,'Dados Funil'!O:O,"")</f>
        <v/>
      </c>
      <c r="AE713" s="7" t="str">
        <f t="shared" si="13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8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9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0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1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2"/>
        <v/>
      </c>
      <c r="AB714" s="4" t="str">
        <f t="array" ref="AB714">XLOOKUP(X714,'Dados Funil'!A:A,'Dados Funil'!O:O,"")</f>
        <v/>
      </c>
      <c r="AE714" s="7" t="str">
        <f t="shared" si="13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8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9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0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1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2"/>
        <v/>
      </c>
      <c r="AB715" s="4" t="str">
        <f t="array" ref="AB715">XLOOKUP(X715,'Dados Funil'!A:A,'Dados Funil'!O:O,"")</f>
        <v/>
      </c>
      <c r="AE715" s="7" t="str">
        <f t="shared" si="13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8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9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0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1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2"/>
        <v/>
      </c>
      <c r="AB716" s="4" t="str">
        <f t="array" ref="AB716">XLOOKUP(X716,'Dados Funil'!A:A,'Dados Funil'!O:O,"")</f>
        <v/>
      </c>
      <c r="AE716" s="7" t="str">
        <f t="shared" si="13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8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9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0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1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2"/>
        <v/>
      </c>
      <c r="AB717" s="4" t="str">
        <f t="array" ref="AB717">XLOOKUP(X717,'Dados Funil'!A:A,'Dados Funil'!O:O,"")</f>
        <v/>
      </c>
      <c r="AE717" s="7" t="str">
        <f t="shared" si="13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8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9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0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1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2"/>
        <v/>
      </c>
      <c r="AB718" s="4" t="str">
        <f t="array" ref="AB718">XLOOKUP(X718,'Dados Funil'!A:A,'Dados Funil'!O:O,"")</f>
        <v/>
      </c>
      <c r="AE718" s="7" t="str">
        <f t="shared" si="13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8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9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0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1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2"/>
        <v/>
      </c>
      <c r="AB719" s="4" t="str">
        <f t="array" ref="AB719">XLOOKUP(X719,'Dados Funil'!A:A,'Dados Funil'!O:O,"")</f>
        <v/>
      </c>
      <c r="AE719" s="7" t="str">
        <f t="shared" si="13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8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9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0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1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2"/>
        <v/>
      </c>
      <c r="AB720" s="4" t="str">
        <f t="array" ref="AB720">XLOOKUP(X720,'Dados Funil'!A:A,'Dados Funil'!O:O,"")</f>
        <v/>
      </c>
      <c r="AE720" s="7" t="str">
        <f t="shared" si="13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8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9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0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1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2"/>
        <v/>
      </c>
      <c r="AB721" s="4" t="str">
        <f t="array" ref="AB721">XLOOKUP(X721,'Dados Funil'!A:A,'Dados Funil'!O:O,"")</f>
        <v/>
      </c>
      <c r="AE721" s="7" t="str">
        <f t="shared" si="13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8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9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0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1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2"/>
        <v/>
      </c>
      <c r="AB722" s="4" t="str">
        <f t="array" ref="AB722">XLOOKUP(X722,'Dados Funil'!A:A,'Dados Funil'!O:O,"")</f>
        <v/>
      </c>
      <c r="AE722" s="7" t="str">
        <f t="shared" si="13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8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9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0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1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2"/>
        <v/>
      </c>
      <c r="AB723" s="4" t="str">
        <f t="array" ref="AB723">XLOOKUP(X723,'Dados Funil'!A:A,'Dados Funil'!O:O,"")</f>
        <v/>
      </c>
      <c r="AE723" s="7" t="str">
        <f t="shared" si="13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8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9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0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1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2"/>
        <v/>
      </c>
      <c r="AB724" s="4" t="str">
        <f t="array" ref="AB724">XLOOKUP(X724,'Dados Funil'!A:A,'Dados Funil'!O:O,"")</f>
        <v/>
      </c>
      <c r="AE724" s="7" t="str">
        <f t="shared" si="13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8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9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0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1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2"/>
        <v/>
      </c>
      <c r="AB725" s="4" t="str">
        <f t="array" ref="AB725">XLOOKUP(X725,'Dados Funil'!A:A,'Dados Funil'!O:O,"")</f>
        <v/>
      </c>
      <c r="AE725" s="7" t="str">
        <f t="shared" si="13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8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9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0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1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2"/>
        <v/>
      </c>
      <c r="AB726" s="4" t="str">
        <f t="array" ref="AB726">XLOOKUP(X726,'Dados Funil'!A:A,'Dados Funil'!O:O,"")</f>
        <v/>
      </c>
      <c r="AE726" s="7" t="str">
        <f t="shared" si="13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8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9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0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1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2"/>
        <v/>
      </c>
      <c r="AB727" s="4" t="str">
        <f t="array" ref="AB727">XLOOKUP(X727,'Dados Funil'!A:A,'Dados Funil'!O:O,"")</f>
        <v/>
      </c>
      <c r="AE727" s="7" t="str">
        <f t="shared" si="13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8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9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0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1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2"/>
        <v/>
      </c>
      <c r="AB728" s="4" t="str">
        <f t="array" ref="AB728">XLOOKUP(X728,'Dados Funil'!A:A,'Dados Funil'!O:O,"")</f>
        <v/>
      </c>
      <c r="AE728" s="7" t="str">
        <f t="shared" si="13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8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9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0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1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2"/>
        <v/>
      </c>
      <c r="AB729" s="4" t="str">
        <f t="array" ref="AB729">XLOOKUP(X729,'Dados Funil'!A:A,'Dados Funil'!O:O,"")</f>
        <v/>
      </c>
      <c r="AE729" s="7" t="str">
        <f t="shared" si="13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8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9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0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1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2"/>
        <v/>
      </c>
      <c r="AB730" s="4" t="str">
        <f t="array" ref="AB730">XLOOKUP(X730,'Dados Funil'!A:A,'Dados Funil'!O:O,"")</f>
        <v/>
      </c>
      <c r="AE730" s="7" t="str">
        <f t="shared" si="13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8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9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0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1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2"/>
        <v/>
      </c>
      <c r="AB731" s="4" t="str">
        <f t="array" ref="AB731">XLOOKUP(X731,'Dados Funil'!A:A,'Dados Funil'!O:O,"")</f>
        <v/>
      </c>
      <c r="AE731" s="7" t="str">
        <f t="shared" si="13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8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9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0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1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2"/>
        <v/>
      </c>
      <c r="AB732" s="4" t="str">
        <f t="array" ref="AB732">XLOOKUP(X732,'Dados Funil'!A:A,'Dados Funil'!O:O,"")</f>
        <v/>
      </c>
      <c r="AE732" s="7" t="str">
        <f t="shared" si="13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8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9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0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1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2"/>
        <v/>
      </c>
      <c r="AB733" s="4" t="str">
        <f t="array" ref="AB733">XLOOKUP(X733,'Dados Funil'!A:A,'Dados Funil'!O:O,"")</f>
        <v/>
      </c>
      <c r="AE733" s="7" t="str">
        <f t="shared" si="13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8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9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0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1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2"/>
        <v/>
      </c>
      <c r="AB734" s="4" t="str">
        <f t="array" ref="AB734">XLOOKUP(X734,'Dados Funil'!A:A,'Dados Funil'!O:O,"")</f>
        <v/>
      </c>
      <c r="AE734" s="7" t="str">
        <f t="shared" si="13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8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9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0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1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2"/>
        <v/>
      </c>
      <c r="AB735" s="4" t="str">
        <f t="array" ref="AB735">XLOOKUP(X735,'Dados Funil'!A:A,'Dados Funil'!O:O,"")</f>
        <v/>
      </c>
      <c r="AE735" s="7" t="str">
        <f t="shared" si="13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8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9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0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1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2"/>
        <v/>
      </c>
      <c r="AB736" s="4" t="str">
        <f t="array" ref="AB736">XLOOKUP(X736,'Dados Funil'!A:A,'Dados Funil'!O:O,"")</f>
        <v/>
      </c>
      <c r="AE736" s="7" t="str">
        <f t="shared" si="13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8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9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0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1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2"/>
        <v/>
      </c>
      <c r="AB737" s="4" t="str">
        <f t="array" ref="AB737">XLOOKUP(X737,'Dados Funil'!A:A,'Dados Funil'!O:O,"")</f>
        <v/>
      </c>
      <c r="AE737" s="7" t="str">
        <f t="shared" si="13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8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9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0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1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2"/>
        <v/>
      </c>
      <c r="AB738" s="4" t="str">
        <f t="array" ref="AB738">XLOOKUP(X738,'Dados Funil'!A:A,'Dados Funil'!O:O,"")</f>
        <v/>
      </c>
      <c r="AE738" s="7" t="str">
        <f t="shared" si="13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8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9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0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1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2"/>
        <v/>
      </c>
      <c r="AB739" s="4" t="str">
        <f t="array" ref="AB739">XLOOKUP(X739,'Dados Funil'!A:A,'Dados Funil'!O:O,"")</f>
        <v/>
      </c>
      <c r="AE739" s="7" t="str">
        <f t="shared" si="13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8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9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0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1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2"/>
        <v/>
      </c>
      <c r="AB740" s="4" t="str">
        <f t="array" ref="AB740">XLOOKUP(X740,'Dados Funil'!A:A,'Dados Funil'!O:O,"")</f>
        <v/>
      </c>
      <c r="AE740" s="7" t="str">
        <f t="shared" si="13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8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9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0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1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2"/>
        <v/>
      </c>
      <c r="AB741" s="4" t="str">
        <f t="array" ref="AB741">XLOOKUP(X741,'Dados Funil'!A:A,'Dados Funil'!O:O,"")</f>
        <v/>
      </c>
      <c r="AE741" s="7" t="str">
        <f t="shared" si="13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8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9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0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1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2"/>
        <v/>
      </c>
      <c r="AB742" s="4" t="str">
        <f t="array" ref="AB742">XLOOKUP(X742,'Dados Funil'!A:A,'Dados Funil'!O:O,"")</f>
        <v/>
      </c>
      <c r="AE742" s="7" t="str">
        <f t="shared" si="13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8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9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0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1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2"/>
        <v/>
      </c>
      <c r="AB743" s="4" t="str">
        <f t="array" ref="AB743">XLOOKUP(X743,'Dados Funil'!A:A,'Dados Funil'!O:O,"")</f>
        <v/>
      </c>
      <c r="AE743" s="7" t="str">
        <f t="shared" si="13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8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9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0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1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2"/>
        <v/>
      </c>
      <c r="AB744" s="4" t="str">
        <f t="array" ref="AB744">XLOOKUP(X744,'Dados Funil'!A:A,'Dados Funil'!O:O,"")</f>
        <v/>
      </c>
      <c r="AE744" s="7" t="str">
        <f t="shared" si="13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8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9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0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1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2"/>
        <v/>
      </c>
      <c r="AB745" s="4" t="str">
        <f t="array" ref="AB745">XLOOKUP(X745,'Dados Funil'!A:A,'Dados Funil'!O:O,"")</f>
        <v/>
      </c>
      <c r="AE745" s="7" t="str">
        <f t="shared" si="13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8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9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0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1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2"/>
        <v/>
      </c>
      <c r="AB746" s="4" t="str">
        <f t="array" ref="AB746">XLOOKUP(X746,'Dados Funil'!A:A,'Dados Funil'!O:O,"")</f>
        <v/>
      </c>
      <c r="AE746" s="7" t="str">
        <f t="shared" si="13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8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9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0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1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2"/>
        <v/>
      </c>
      <c r="AB747" s="4" t="str">
        <f t="array" ref="AB747">XLOOKUP(X747,'Dados Funil'!A:A,'Dados Funil'!O:O,"")</f>
        <v/>
      </c>
      <c r="AE747" s="7" t="str">
        <f t="shared" si="13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8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9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0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1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2"/>
        <v/>
      </c>
      <c r="AB748" s="4" t="str">
        <f t="array" ref="AB748">XLOOKUP(X748,'Dados Funil'!A:A,'Dados Funil'!O:O,"")</f>
        <v/>
      </c>
      <c r="AE748" s="7" t="str">
        <f t="shared" si="13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8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9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0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1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2"/>
        <v/>
      </c>
      <c r="AB749" s="4" t="str">
        <f t="array" ref="AB749">XLOOKUP(X749,'Dados Funil'!A:A,'Dados Funil'!O:O,"")</f>
        <v/>
      </c>
      <c r="AE749" s="7" t="str">
        <f t="shared" si="13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8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9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0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1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2"/>
        <v/>
      </c>
      <c r="AB750" s="4" t="str">
        <f t="array" ref="AB750">XLOOKUP(X750,'Dados Funil'!A:A,'Dados Funil'!O:O,"")</f>
        <v/>
      </c>
      <c r="AE750" s="7" t="str">
        <f t="shared" si="13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8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9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0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1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2"/>
        <v/>
      </c>
      <c r="AB751" s="4" t="str">
        <f t="array" ref="AB751">XLOOKUP(X751,'Dados Funil'!A:A,'Dados Funil'!O:O,"")</f>
        <v/>
      </c>
      <c r="AE751" s="7" t="str">
        <f t="shared" si="13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8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9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0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1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2"/>
        <v/>
      </c>
      <c r="AB752" s="4" t="str">
        <f t="array" ref="AB752">XLOOKUP(X752,'Dados Funil'!A:A,'Dados Funil'!O:O,"")</f>
        <v/>
      </c>
      <c r="AE752" s="7" t="str">
        <f t="shared" si="13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8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9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0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1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2"/>
        <v/>
      </c>
      <c r="AB753" s="4" t="str">
        <f t="array" ref="AB753">XLOOKUP(X753,'Dados Funil'!A:A,'Dados Funil'!O:O,"")</f>
        <v/>
      </c>
      <c r="AE753" s="7" t="str">
        <f t="shared" si="13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8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9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0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1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2"/>
        <v/>
      </c>
      <c r="AB754" s="4" t="str">
        <f t="array" ref="AB754">XLOOKUP(X754,'Dados Funil'!A:A,'Dados Funil'!O:O,"")</f>
        <v/>
      </c>
      <c r="AE754" s="7" t="str">
        <f t="shared" si="13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8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9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0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1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2"/>
        <v/>
      </c>
      <c r="AB755" s="4" t="str">
        <f t="array" ref="AB755">XLOOKUP(X755,'Dados Funil'!A:A,'Dados Funil'!O:O,"")</f>
        <v/>
      </c>
      <c r="AE755" s="7" t="str">
        <f t="shared" si="13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8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9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0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1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2"/>
        <v/>
      </c>
      <c r="AB756" s="4" t="str">
        <f t="array" ref="AB756">XLOOKUP(X756,'Dados Funil'!A:A,'Dados Funil'!O:O,"")</f>
        <v/>
      </c>
      <c r="AE756" s="7" t="str">
        <f t="shared" si="13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8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9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0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1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2"/>
        <v/>
      </c>
      <c r="AB757" s="4" t="str">
        <f t="array" ref="AB757">XLOOKUP(X757,'Dados Funil'!A:A,'Dados Funil'!O:O,"")</f>
        <v/>
      </c>
      <c r="AE757" s="7" t="str">
        <f t="shared" si="13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8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9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0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1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2"/>
        <v/>
      </c>
      <c r="AB758" s="4" t="str">
        <f t="array" ref="AB758">XLOOKUP(X758,'Dados Funil'!A:A,'Dados Funil'!O:O,"")</f>
        <v/>
      </c>
      <c r="AE758" s="7" t="str">
        <f t="shared" si="13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8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9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0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1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2"/>
        <v/>
      </c>
      <c r="AB759" s="4" t="str">
        <f t="array" ref="AB759">XLOOKUP(X759,'Dados Funil'!A:A,'Dados Funil'!O:O,"")</f>
        <v/>
      </c>
      <c r="AE759" s="7" t="str">
        <f t="shared" si="13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8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9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0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1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2"/>
        <v/>
      </c>
      <c r="AB760" s="4" t="str">
        <f t="array" ref="AB760">XLOOKUP(X760,'Dados Funil'!A:A,'Dados Funil'!O:O,"")</f>
        <v/>
      </c>
      <c r="AE760" s="7" t="str">
        <f t="shared" si="13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8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9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0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1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2"/>
        <v/>
      </c>
      <c r="AB761" s="4" t="str">
        <f t="array" ref="AB761">XLOOKUP(X761,'Dados Funil'!A:A,'Dados Funil'!O:O,"")</f>
        <v/>
      </c>
      <c r="AE761" s="7" t="str">
        <f t="shared" si="13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8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9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0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1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2"/>
        <v/>
      </c>
      <c r="AB762" s="4" t="str">
        <f t="array" ref="AB762">XLOOKUP(X762,'Dados Funil'!A:A,'Dados Funil'!O:O,"")</f>
        <v/>
      </c>
      <c r="AE762" s="7" t="str">
        <f t="shared" si="13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8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9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0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1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2"/>
        <v/>
      </c>
      <c r="AB763" s="4" t="str">
        <f t="array" ref="AB763">XLOOKUP(X763,'Dados Funil'!A:A,'Dados Funil'!O:O,"")</f>
        <v/>
      </c>
      <c r="AE763" s="7" t="str">
        <f t="shared" si="13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8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9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0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1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2"/>
        <v/>
      </c>
      <c r="AB764" s="4" t="str">
        <f t="array" ref="AB764">XLOOKUP(X764,'Dados Funil'!A:A,'Dados Funil'!O:O,"")</f>
        <v/>
      </c>
      <c r="AE764" s="7" t="str">
        <f t="shared" si="13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8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9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0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1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2"/>
        <v/>
      </c>
      <c r="AB765" s="4" t="str">
        <f t="array" ref="AB765">XLOOKUP(X765,'Dados Funil'!A:A,'Dados Funil'!O:O,"")</f>
        <v/>
      </c>
      <c r="AE765" s="7" t="str">
        <f t="shared" si="13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8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9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0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1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2"/>
        <v/>
      </c>
      <c r="AB766" s="4" t="str">
        <f t="array" ref="AB766">XLOOKUP(X766,'Dados Funil'!A:A,'Dados Funil'!O:O,"")</f>
        <v/>
      </c>
      <c r="AE766" s="7" t="str">
        <f t="shared" si="13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8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9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0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1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2"/>
        <v/>
      </c>
      <c r="AB767" s="4" t="str">
        <f t="array" ref="AB767">XLOOKUP(X767,'Dados Funil'!A:A,'Dados Funil'!O:O,"")</f>
        <v/>
      </c>
      <c r="AE767" s="7" t="str">
        <f t="shared" si="13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8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9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0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1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2"/>
        <v/>
      </c>
      <c r="AB768" s="4" t="str">
        <f t="array" ref="AB768">XLOOKUP(X768,'Dados Funil'!A:A,'Dados Funil'!O:O,"")</f>
        <v/>
      </c>
      <c r="AE768" s="7" t="str">
        <f t="shared" si="13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8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9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0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1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2"/>
        <v/>
      </c>
      <c r="AB769" s="4" t="str">
        <f t="array" ref="AB769">XLOOKUP(X769,'Dados Funil'!A:A,'Dados Funil'!O:O,"")</f>
        <v/>
      </c>
      <c r="AE769" s="7" t="str">
        <f t="shared" si="13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8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9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0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1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2"/>
        <v/>
      </c>
      <c r="AB770" s="4" t="str">
        <f t="array" ref="AB770">XLOOKUP(X770,'Dados Funil'!A:A,'Dados Funil'!O:O,"")</f>
        <v/>
      </c>
      <c r="AE770" s="7" t="str">
        <f t="shared" si="13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8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9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0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1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2"/>
        <v/>
      </c>
      <c r="AB771" s="4" t="str">
        <f t="array" ref="AB771">XLOOKUP(X771,'Dados Funil'!A:A,'Dados Funil'!O:O,"")</f>
        <v/>
      </c>
      <c r="AE771" s="7" t="str">
        <f t="shared" si="13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8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9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0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1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2"/>
        <v/>
      </c>
      <c r="AB772" s="4" t="str">
        <f t="array" ref="AB772">XLOOKUP(X772,'Dados Funil'!A:A,'Dados Funil'!O:O,"")</f>
        <v/>
      </c>
      <c r="AE772" s="7" t="str">
        <f t="shared" si="13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8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9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0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1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2"/>
        <v/>
      </c>
      <c r="AB773" s="4" t="str">
        <f t="array" ref="AB773">XLOOKUP(X773,'Dados Funil'!A:A,'Dados Funil'!O:O,"")</f>
        <v/>
      </c>
      <c r="AE773" s="7" t="str">
        <f t="shared" si="13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8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9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0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1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2"/>
        <v/>
      </c>
      <c r="AB774" s="4" t="str">
        <f t="array" ref="AB774">XLOOKUP(X774,'Dados Funil'!A:A,'Dados Funil'!O:O,"")</f>
        <v/>
      </c>
      <c r="AE774" s="7" t="str">
        <f t="shared" si="13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8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9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0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1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2"/>
        <v/>
      </c>
      <c r="AB775" s="4" t="str">
        <f t="array" ref="AB775">XLOOKUP(X775,'Dados Funil'!A:A,'Dados Funil'!O:O,"")</f>
        <v/>
      </c>
      <c r="AE775" s="7" t="str">
        <f t="shared" si="13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8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9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0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1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2"/>
        <v/>
      </c>
      <c r="AB776" s="4" t="str">
        <f t="array" ref="AB776">XLOOKUP(X776,'Dados Funil'!A:A,'Dados Funil'!O:O,"")</f>
        <v/>
      </c>
      <c r="AE776" s="7" t="str">
        <f t="shared" si="13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8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9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0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1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2"/>
        <v/>
      </c>
      <c r="AB777" s="4" t="str">
        <f t="array" ref="AB777">XLOOKUP(X777,'Dados Funil'!A:A,'Dados Funil'!O:O,"")</f>
        <v/>
      </c>
      <c r="AE777" s="7" t="str">
        <f t="shared" si="13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8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9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0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1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2"/>
        <v/>
      </c>
      <c r="AB778" s="4" t="str">
        <f t="array" ref="AB778">XLOOKUP(X778,'Dados Funil'!A:A,'Dados Funil'!O:O,"")</f>
        <v/>
      </c>
      <c r="AE778" s="7" t="str">
        <f t="shared" si="13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8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9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0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1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2"/>
        <v/>
      </c>
      <c r="AB779" s="4" t="str">
        <f t="array" ref="AB779">XLOOKUP(X779,'Dados Funil'!A:A,'Dados Funil'!O:O,"")</f>
        <v/>
      </c>
      <c r="AE779" s="7" t="str">
        <f t="shared" si="13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8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9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0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1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2"/>
        <v/>
      </c>
      <c r="AB780" s="4" t="str">
        <f t="array" ref="AB780">XLOOKUP(X780,'Dados Funil'!A:A,'Dados Funil'!O:O,"")</f>
        <v/>
      </c>
      <c r="AE780" s="7" t="str">
        <f t="shared" si="13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8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9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0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1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2"/>
        <v/>
      </c>
      <c r="AB781" s="4" t="str">
        <f t="array" ref="AB781">XLOOKUP(X781,'Dados Funil'!A:A,'Dados Funil'!O:O,"")</f>
        <v/>
      </c>
      <c r="AE781" s="7" t="str">
        <f t="shared" si="13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8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9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0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1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2"/>
        <v/>
      </c>
      <c r="AB782" s="4" t="str">
        <f t="array" ref="AB782">XLOOKUP(X782,'Dados Funil'!A:A,'Dados Funil'!O:O,"")</f>
        <v/>
      </c>
      <c r="AE782" s="7" t="str">
        <f t="shared" si="13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8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9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0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1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2"/>
        <v/>
      </c>
      <c r="AB783" s="4" t="str">
        <f t="array" ref="AB783">XLOOKUP(X783,'Dados Funil'!A:A,'Dados Funil'!O:O,"")</f>
        <v/>
      </c>
      <c r="AE783" s="7" t="str">
        <f t="shared" si="13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8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9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0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1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2"/>
        <v/>
      </c>
      <c r="AB784" s="4" t="str">
        <f t="array" ref="AB784">XLOOKUP(X784,'Dados Funil'!A:A,'Dados Funil'!O:O,"")</f>
        <v/>
      </c>
      <c r="AE784" s="7" t="str">
        <f t="shared" si="13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8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9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0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1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2"/>
        <v/>
      </c>
      <c r="AB785" s="4" t="str">
        <f t="array" ref="AB785">XLOOKUP(X785,'Dados Funil'!A:A,'Dados Funil'!O:O,"")</f>
        <v/>
      </c>
      <c r="AE785" s="7" t="str">
        <f t="shared" si="13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8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9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0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1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2"/>
        <v/>
      </c>
      <c r="AB786" s="4" t="str">
        <f t="array" ref="AB786">XLOOKUP(X786,'Dados Funil'!A:A,'Dados Funil'!O:O,"")</f>
        <v/>
      </c>
      <c r="AE786" s="7" t="str">
        <f t="shared" si="13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8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9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0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1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2"/>
        <v/>
      </c>
      <c r="AB787" s="4" t="str">
        <f t="array" ref="AB787">XLOOKUP(X787,'Dados Funil'!A:A,'Dados Funil'!O:O,"")</f>
        <v/>
      </c>
      <c r="AE787" s="7" t="str">
        <f t="shared" si="13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8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9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0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1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2"/>
        <v/>
      </c>
      <c r="AB788" s="4" t="str">
        <f t="array" ref="AB788">XLOOKUP(X788,'Dados Funil'!A:A,'Dados Funil'!O:O,"")</f>
        <v/>
      </c>
      <c r="AE788" s="7" t="str">
        <f t="shared" si="13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8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9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0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1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2"/>
        <v/>
      </c>
      <c r="AB789" s="4" t="str">
        <f t="array" ref="AB789">XLOOKUP(X789,'Dados Funil'!A:A,'Dados Funil'!O:O,"")</f>
        <v/>
      </c>
      <c r="AE789" s="7" t="str">
        <f t="shared" si="13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8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9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0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1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2"/>
        <v/>
      </c>
      <c r="AB790" s="4" t="str">
        <f t="array" ref="AB790">XLOOKUP(X790,'Dados Funil'!A:A,'Dados Funil'!O:O,"")</f>
        <v/>
      </c>
      <c r="AE790" s="7" t="str">
        <f t="shared" si="13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8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9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0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1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2"/>
        <v/>
      </c>
      <c r="AB791" s="4" t="str">
        <f t="array" ref="AB791">XLOOKUP(X791,'Dados Funil'!A:A,'Dados Funil'!O:O,"")</f>
        <v/>
      </c>
      <c r="AE791" s="7" t="str">
        <f t="shared" si="13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8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9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0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1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2"/>
        <v/>
      </c>
      <c r="AB792" s="4" t="str">
        <f t="array" ref="AB792">XLOOKUP(X792,'Dados Funil'!A:A,'Dados Funil'!O:O,"")</f>
        <v/>
      </c>
      <c r="AE792" s="7" t="str">
        <f t="shared" si="13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8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9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0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1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2"/>
        <v/>
      </c>
      <c r="AB793" s="4" t="str">
        <f t="array" ref="AB793">XLOOKUP(X793,'Dados Funil'!A:A,'Dados Funil'!O:O,"")</f>
        <v/>
      </c>
      <c r="AE793" s="7" t="str">
        <f t="shared" si="13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8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9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0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1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2"/>
        <v/>
      </c>
      <c r="AB794" s="4" t="str">
        <f t="array" ref="AB794">XLOOKUP(X794,'Dados Funil'!A:A,'Dados Funil'!O:O,"")</f>
        <v/>
      </c>
      <c r="AE794" s="7" t="str">
        <f t="shared" si="13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8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9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0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1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2"/>
        <v/>
      </c>
      <c r="AB795" s="4" t="str">
        <f t="array" ref="AB795">XLOOKUP(X795,'Dados Funil'!A:A,'Dados Funil'!O:O,"")</f>
        <v/>
      </c>
      <c r="AE795" s="7" t="str">
        <f t="shared" si="13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8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9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0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1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2"/>
        <v/>
      </c>
      <c r="AB796" s="4" t="str">
        <f t="array" ref="AB796">XLOOKUP(X796,'Dados Funil'!A:A,'Dados Funil'!O:O,"")</f>
        <v/>
      </c>
      <c r="AE796" s="7" t="str">
        <f t="shared" si="13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8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9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0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1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2"/>
        <v/>
      </c>
      <c r="AB797" s="4" t="str">
        <f t="array" ref="AB797">XLOOKUP(X797,'Dados Funil'!A:A,'Dados Funil'!O:O,"")</f>
        <v/>
      </c>
      <c r="AE797" s="7" t="str">
        <f t="shared" si="13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8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9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0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1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2"/>
        <v/>
      </c>
      <c r="AB798" s="4" t="str">
        <f t="array" ref="AB798">XLOOKUP(X798,'Dados Funil'!A:A,'Dados Funil'!O:O,"")</f>
        <v/>
      </c>
      <c r="AE798" s="7" t="str">
        <f t="shared" si="13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8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9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0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1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2"/>
        <v/>
      </c>
      <c r="AB799" s="4" t="str">
        <f t="array" ref="AB799">XLOOKUP(X799,'Dados Funil'!A:A,'Dados Funil'!O:O,"")</f>
        <v/>
      </c>
      <c r="AE799" s="7" t="str">
        <f t="shared" si="13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8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9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0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1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2"/>
        <v/>
      </c>
      <c r="AB800" s="4" t="str">
        <f t="array" ref="AB800">XLOOKUP(X800,'Dados Funil'!A:A,'Dados Funil'!O:O,"")</f>
        <v/>
      </c>
      <c r="AE800" s="7" t="str">
        <f t="shared" si="13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8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9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0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1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2"/>
        <v/>
      </c>
      <c r="AB801" s="4" t="str">
        <f t="array" ref="AB801">XLOOKUP(X801,'Dados Funil'!A:A,'Dados Funil'!O:O,"")</f>
        <v/>
      </c>
      <c r="AE801" s="7" t="str">
        <f t="shared" si="13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8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9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0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1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2"/>
        <v/>
      </c>
      <c r="AB802" s="4" t="str">
        <f t="array" ref="AB802">XLOOKUP(X802,'Dados Funil'!A:A,'Dados Funil'!O:O,"")</f>
        <v/>
      </c>
      <c r="AE802" s="7" t="str">
        <f t="shared" si="13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8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9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0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1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2"/>
        <v/>
      </c>
      <c r="AB803" s="4" t="str">
        <f t="array" ref="AB803">XLOOKUP(X803,'Dados Funil'!A:A,'Dados Funil'!O:O,"")</f>
        <v/>
      </c>
      <c r="AE803" s="7" t="str">
        <f t="shared" si="13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8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9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0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1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2"/>
        <v/>
      </c>
      <c r="AB804" s="4" t="str">
        <f t="array" ref="AB804">XLOOKUP(X804,'Dados Funil'!A:A,'Dados Funil'!O:O,"")</f>
        <v/>
      </c>
      <c r="AE804" s="7" t="str">
        <f t="shared" si="13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8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9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0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1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2"/>
        <v/>
      </c>
      <c r="AB805" s="4" t="str">
        <f t="array" ref="AB805">XLOOKUP(X805,'Dados Funil'!A:A,'Dados Funil'!O:O,"")</f>
        <v/>
      </c>
      <c r="AE805" s="7" t="str">
        <f t="shared" si="13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8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9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0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1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2"/>
        <v/>
      </c>
      <c r="AB806" s="4" t="str">
        <f t="array" ref="AB806">XLOOKUP(X806,'Dados Funil'!A:A,'Dados Funil'!O:O,"")</f>
        <v/>
      </c>
      <c r="AE806" s="7" t="str">
        <f t="shared" si="13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8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9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0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1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2"/>
        <v/>
      </c>
      <c r="AB807" s="4" t="str">
        <f t="array" ref="AB807">XLOOKUP(X807,'Dados Funil'!A:A,'Dados Funil'!O:O,"")</f>
        <v/>
      </c>
      <c r="AE807" s="7" t="str">
        <f t="shared" si="13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8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9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0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1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2"/>
        <v/>
      </c>
      <c r="AB808" s="4" t="str">
        <f t="array" ref="AB808">XLOOKUP(X808,'Dados Funil'!A:A,'Dados Funil'!O:O,"")</f>
        <v/>
      </c>
      <c r="AE808" s="7" t="str">
        <f t="shared" si="13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8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9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0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1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2"/>
        <v/>
      </c>
      <c r="AB809" s="4" t="str">
        <f t="array" ref="AB809">XLOOKUP(X809,'Dados Funil'!A:A,'Dados Funil'!O:O,"")</f>
        <v/>
      </c>
      <c r="AE809" s="7" t="str">
        <f t="shared" si="13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8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9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0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1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2"/>
        <v/>
      </c>
      <c r="AB810" s="4" t="str">
        <f t="array" ref="AB810">XLOOKUP(X810,'Dados Funil'!A:A,'Dados Funil'!O:O,"")</f>
        <v/>
      </c>
      <c r="AE810" s="7" t="str">
        <f t="shared" si="13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8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9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0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1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2"/>
        <v/>
      </c>
      <c r="AB811" s="4" t="str">
        <f t="array" ref="AB811">XLOOKUP(X811,'Dados Funil'!A:A,'Dados Funil'!O:O,"")</f>
        <v/>
      </c>
      <c r="AE811" s="7" t="str">
        <f t="shared" si="13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8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9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0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1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2"/>
        <v/>
      </c>
      <c r="AB812" s="4" t="str">
        <f t="array" ref="AB812">XLOOKUP(X812,'Dados Funil'!A:A,'Dados Funil'!O:O,"")</f>
        <v/>
      </c>
      <c r="AE812" s="7" t="str">
        <f t="shared" si="13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8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9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0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1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2"/>
        <v/>
      </c>
      <c r="AB813" s="4" t="str">
        <f t="array" ref="AB813">XLOOKUP(X813,'Dados Funil'!A:A,'Dados Funil'!O:O,"")</f>
        <v/>
      </c>
      <c r="AE813" s="7" t="str">
        <f t="shared" si="13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8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9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0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1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2"/>
        <v/>
      </c>
      <c r="AB814" s="4" t="str">
        <f t="array" ref="AB814">XLOOKUP(X814,'Dados Funil'!A:A,'Dados Funil'!O:O,"")</f>
        <v/>
      </c>
      <c r="AE814" s="7" t="str">
        <f t="shared" si="13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8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9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0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1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2"/>
        <v/>
      </c>
      <c r="AB815" s="4" t="str">
        <f t="array" ref="AB815">XLOOKUP(X815,'Dados Funil'!A:A,'Dados Funil'!O:O,"")</f>
        <v/>
      </c>
      <c r="AE815" s="7" t="str">
        <f t="shared" si="13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8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9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0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1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2"/>
        <v/>
      </c>
      <c r="AB816" s="4" t="str">
        <f t="array" ref="AB816">XLOOKUP(X816,'Dados Funil'!A:A,'Dados Funil'!O:O,"")</f>
        <v/>
      </c>
      <c r="AE816" s="7" t="str">
        <f t="shared" si="13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8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9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0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1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2"/>
        <v/>
      </c>
      <c r="AB817" s="4" t="str">
        <f t="array" ref="AB817">XLOOKUP(X817,'Dados Funil'!A:A,'Dados Funil'!O:O,"")</f>
        <v/>
      </c>
      <c r="AE817" s="7" t="str">
        <f t="shared" si="13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8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9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0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1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2"/>
        <v/>
      </c>
      <c r="AB818" s="4" t="str">
        <f t="array" ref="AB818">XLOOKUP(X818,'Dados Funil'!A:A,'Dados Funil'!O:O,"")</f>
        <v/>
      </c>
      <c r="AE818" s="7" t="str">
        <f t="shared" si="13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8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9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0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1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2"/>
        <v/>
      </c>
      <c r="AB819" s="4" t="str">
        <f t="array" ref="AB819">XLOOKUP(X819,'Dados Funil'!A:A,'Dados Funil'!O:O,"")</f>
        <v/>
      </c>
      <c r="AE819" s="7" t="str">
        <f t="shared" si="13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8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9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0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1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2"/>
        <v/>
      </c>
      <c r="AB820" s="4" t="str">
        <f t="array" ref="AB820">XLOOKUP(X820,'Dados Funil'!A:A,'Dados Funil'!O:O,"")</f>
        <v/>
      </c>
      <c r="AE820" s="7" t="str">
        <f t="shared" si="13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8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9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0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1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2"/>
        <v/>
      </c>
      <c r="AB821" s="4" t="str">
        <f t="array" ref="AB821">XLOOKUP(X821,'Dados Funil'!A:A,'Dados Funil'!O:O,"")</f>
        <v/>
      </c>
      <c r="AE821" s="7" t="str">
        <f t="shared" si="13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8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9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0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1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2"/>
        <v/>
      </c>
      <c r="AB822" s="4" t="str">
        <f t="array" ref="AB822">XLOOKUP(X822,'Dados Funil'!A:A,'Dados Funil'!O:O,"")</f>
        <v/>
      </c>
      <c r="AE822" s="7" t="str">
        <f t="shared" si="13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8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9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0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1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2"/>
        <v/>
      </c>
      <c r="AB823" s="4" t="str">
        <f t="array" ref="AB823">XLOOKUP(X823,'Dados Funil'!A:A,'Dados Funil'!O:O,"")</f>
        <v/>
      </c>
      <c r="AE823" s="7" t="str">
        <f t="shared" si="13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8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9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0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1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2"/>
        <v/>
      </c>
      <c r="AB824" s="4" t="str">
        <f t="array" ref="AB824">XLOOKUP(X824,'Dados Funil'!A:A,'Dados Funil'!O:O,"")</f>
        <v/>
      </c>
      <c r="AE824" s="7" t="str">
        <f t="shared" si="13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8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9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0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1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2"/>
        <v/>
      </c>
      <c r="AB825" s="4" t="str">
        <f t="array" ref="AB825">XLOOKUP(X825,'Dados Funil'!A:A,'Dados Funil'!O:O,"")</f>
        <v/>
      </c>
      <c r="AE825" s="7" t="str">
        <f t="shared" si="13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8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9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0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1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2"/>
        <v/>
      </c>
      <c r="AB826" s="4" t="str">
        <f t="array" ref="AB826">XLOOKUP(X826,'Dados Funil'!A:A,'Dados Funil'!O:O,"")</f>
        <v/>
      </c>
      <c r="AE826" s="7" t="str">
        <f t="shared" si="13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8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9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0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1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2"/>
        <v/>
      </c>
      <c r="AB827" s="4" t="str">
        <f t="array" ref="AB827">XLOOKUP(X827,'Dados Funil'!A:A,'Dados Funil'!O:O,"")</f>
        <v/>
      </c>
      <c r="AE827" s="7" t="str">
        <f t="shared" si="13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8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9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0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1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2"/>
        <v/>
      </c>
      <c r="AB828" s="4" t="str">
        <f t="array" ref="AB828">XLOOKUP(X828,'Dados Funil'!A:A,'Dados Funil'!O:O,"")</f>
        <v/>
      </c>
      <c r="AE828" s="7" t="str">
        <f t="shared" si="13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8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9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0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1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2"/>
        <v/>
      </c>
      <c r="AB829" s="4" t="str">
        <f t="array" ref="AB829">XLOOKUP(X829,'Dados Funil'!A:A,'Dados Funil'!O:O,"")</f>
        <v/>
      </c>
      <c r="AE829" s="7" t="str">
        <f t="shared" si="13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8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9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0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1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2"/>
        <v/>
      </c>
      <c r="AB830" s="4" t="str">
        <f t="array" ref="AB830">XLOOKUP(X830,'Dados Funil'!A:A,'Dados Funil'!O:O,"")</f>
        <v/>
      </c>
      <c r="AE830" s="7" t="str">
        <f t="shared" si="13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8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9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0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1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2"/>
        <v/>
      </c>
      <c r="AB831" s="4" t="str">
        <f t="array" ref="AB831">XLOOKUP(X831,'Dados Funil'!A:A,'Dados Funil'!O:O,"")</f>
        <v/>
      </c>
      <c r="AE831" s="7" t="str">
        <f t="shared" si="13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8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9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0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1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2"/>
        <v/>
      </c>
      <c r="AB832" s="4" t="str">
        <f t="array" ref="AB832">XLOOKUP(X832,'Dados Funil'!A:A,'Dados Funil'!O:O,"")</f>
        <v/>
      </c>
      <c r="AE832" s="7" t="str">
        <f t="shared" si="13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8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9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0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1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2"/>
        <v/>
      </c>
      <c r="AB833" s="4" t="str">
        <f t="array" ref="AB833">XLOOKUP(X833,'Dados Funil'!A:A,'Dados Funil'!O:O,"")</f>
        <v/>
      </c>
      <c r="AE833" s="7" t="str">
        <f t="shared" si="13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8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9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0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1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2"/>
        <v/>
      </c>
      <c r="AB834" s="4" t="str">
        <f t="array" ref="AB834">XLOOKUP(X834,'Dados Funil'!A:A,'Dados Funil'!O:O,"")</f>
        <v/>
      </c>
      <c r="AE834" s="7" t="str">
        <f t="shared" si="13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8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9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0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1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2"/>
        <v/>
      </c>
      <c r="AB835" s="4" t="str">
        <f t="array" ref="AB835">XLOOKUP(X835,'Dados Funil'!A:A,'Dados Funil'!O:O,"")</f>
        <v/>
      </c>
      <c r="AE835" s="7" t="str">
        <f t="shared" si="13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8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9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0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1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2"/>
        <v/>
      </c>
      <c r="AB836" s="4" t="str">
        <f t="array" ref="AB836">XLOOKUP(X836,'Dados Funil'!A:A,'Dados Funil'!O:O,"")</f>
        <v/>
      </c>
      <c r="AE836" s="7" t="str">
        <f t="shared" si="13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8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9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0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1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2"/>
        <v/>
      </c>
      <c r="AB837" s="4" t="str">
        <f t="array" ref="AB837">XLOOKUP(X837,'Dados Funil'!A:A,'Dados Funil'!O:O,"")</f>
        <v/>
      </c>
      <c r="AE837" s="7" t="str">
        <f t="shared" si="13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8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9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0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1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2"/>
        <v/>
      </c>
      <c r="AB838" s="4" t="str">
        <f t="array" ref="AB838">XLOOKUP(X838,'Dados Funil'!A:A,'Dados Funil'!O:O,"")</f>
        <v/>
      </c>
      <c r="AE838" s="7" t="str">
        <f t="shared" si="13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8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9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0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1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2"/>
        <v/>
      </c>
      <c r="AB839" s="4" t="str">
        <f t="array" ref="AB839">XLOOKUP(X839,'Dados Funil'!A:A,'Dados Funil'!O:O,"")</f>
        <v/>
      </c>
      <c r="AE839" s="7" t="str">
        <f t="shared" si="13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8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9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0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1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2"/>
        <v/>
      </c>
      <c r="AB840" s="4" t="str">
        <f t="array" ref="AB840">XLOOKUP(X840,'Dados Funil'!A:A,'Dados Funil'!O:O,"")</f>
        <v/>
      </c>
      <c r="AE840" s="7" t="str">
        <f t="shared" si="13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8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9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0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1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2"/>
        <v/>
      </c>
      <c r="AB841" s="4" t="str">
        <f t="array" ref="AB841">XLOOKUP(X841,'Dados Funil'!A:A,'Dados Funil'!O:O,"")</f>
        <v/>
      </c>
      <c r="AE841" s="7" t="str">
        <f t="shared" si="13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8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9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0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1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2"/>
        <v/>
      </c>
      <c r="AB842" s="4" t="str">
        <f t="array" ref="AB842">XLOOKUP(X842,'Dados Funil'!A:A,'Dados Funil'!O:O,"")</f>
        <v/>
      </c>
      <c r="AE842" s="7" t="str">
        <f t="shared" si="13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8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9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0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1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2"/>
        <v/>
      </c>
      <c r="AB843" s="4" t="str">
        <f t="array" ref="AB843">XLOOKUP(X843,'Dados Funil'!A:A,'Dados Funil'!O:O,"")</f>
        <v/>
      </c>
      <c r="AE843" s="7" t="str">
        <f t="shared" si="13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8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9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0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1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2"/>
        <v/>
      </c>
      <c r="AB844" s="4" t="str">
        <f t="array" ref="AB844">XLOOKUP(X844,'Dados Funil'!A:A,'Dados Funil'!O:O,"")</f>
        <v/>
      </c>
      <c r="AE844" s="7" t="str">
        <f t="shared" si="13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8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9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0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1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2"/>
        <v/>
      </c>
      <c r="AB845" s="4" t="str">
        <f t="array" ref="AB845">XLOOKUP(X845,'Dados Funil'!A:A,'Dados Funil'!O:O,"")</f>
        <v/>
      </c>
      <c r="AE845" s="7" t="str">
        <f t="shared" si="13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8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9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0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1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2"/>
        <v/>
      </c>
      <c r="AB846" s="4" t="str">
        <f t="array" ref="AB846">XLOOKUP(X846,'Dados Funil'!A:A,'Dados Funil'!O:O,"")</f>
        <v/>
      </c>
      <c r="AE846" s="7" t="str">
        <f t="shared" si="13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8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9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0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1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2"/>
        <v/>
      </c>
      <c r="AB847" s="4" t="str">
        <f t="array" ref="AB847">XLOOKUP(X847,'Dados Funil'!A:A,'Dados Funil'!O:O,"")</f>
        <v/>
      </c>
      <c r="AE847" s="7" t="str">
        <f t="shared" si="13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8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9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0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1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2"/>
        <v/>
      </c>
      <c r="AB848" s="4" t="str">
        <f t="array" ref="AB848">XLOOKUP(X848,'Dados Funil'!A:A,'Dados Funil'!O:O,"")</f>
        <v/>
      </c>
      <c r="AE848" s="7" t="str">
        <f t="shared" si="13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8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9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0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1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2"/>
        <v/>
      </c>
      <c r="AB849" s="4" t="str">
        <f t="array" ref="AB849">XLOOKUP(X849,'Dados Funil'!A:A,'Dados Funil'!O:O,"")</f>
        <v/>
      </c>
      <c r="AE849" s="7" t="str">
        <f t="shared" si="13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8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9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0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1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2"/>
        <v/>
      </c>
      <c r="AB850" s="4" t="str">
        <f t="array" ref="AB850">XLOOKUP(X850,'Dados Funil'!A:A,'Dados Funil'!O:O,"")</f>
        <v/>
      </c>
      <c r="AE850" s="7" t="str">
        <f t="shared" si="13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8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9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0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1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2"/>
        <v/>
      </c>
      <c r="AB851" s="4" t="str">
        <f t="array" ref="AB851">XLOOKUP(X851,'Dados Funil'!A:A,'Dados Funil'!O:O,"")</f>
        <v/>
      </c>
      <c r="AE851" s="7" t="str">
        <f t="shared" si="13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8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9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0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1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2"/>
        <v/>
      </c>
      <c r="AB852" s="4" t="str">
        <f t="array" ref="AB852">XLOOKUP(X852,'Dados Funil'!A:A,'Dados Funil'!O:O,"")</f>
        <v/>
      </c>
      <c r="AE852" s="7" t="str">
        <f t="shared" si="13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8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9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0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1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2"/>
        <v/>
      </c>
      <c r="AB853" s="4" t="str">
        <f t="array" ref="AB853">XLOOKUP(X853,'Dados Funil'!A:A,'Dados Funil'!O:O,"")</f>
        <v/>
      </c>
      <c r="AE853" s="7" t="str">
        <f t="shared" si="13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8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9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0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1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2"/>
        <v/>
      </c>
      <c r="AB854" s="4" t="str">
        <f t="array" ref="AB854">XLOOKUP(X854,'Dados Funil'!A:A,'Dados Funil'!O:O,"")</f>
        <v/>
      </c>
      <c r="AE854" s="7" t="str">
        <f t="shared" si="13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8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9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0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1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2"/>
        <v/>
      </c>
      <c r="AB855" s="4" t="str">
        <f t="array" ref="AB855">XLOOKUP(X855,'Dados Funil'!A:A,'Dados Funil'!O:O,"")</f>
        <v/>
      </c>
      <c r="AE855" s="7" t="str">
        <f t="shared" si="13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8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9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0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1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2"/>
        <v/>
      </c>
      <c r="AB856" s="4" t="str">
        <f t="array" ref="AB856">XLOOKUP(X856,'Dados Funil'!A:A,'Dados Funil'!O:O,"")</f>
        <v/>
      </c>
      <c r="AE856" s="7" t="str">
        <f t="shared" si="13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8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9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0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1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2"/>
        <v/>
      </c>
      <c r="AB857" s="4" t="str">
        <f t="array" ref="AB857">XLOOKUP(X857,'Dados Funil'!A:A,'Dados Funil'!O:O,"")</f>
        <v/>
      </c>
      <c r="AE857" s="7" t="str">
        <f t="shared" si="13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8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9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0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1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2"/>
        <v/>
      </c>
      <c r="AB858" s="4" t="str">
        <f t="array" ref="AB858">XLOOKUP(X858,'Dados Funil'!A:A,'Dados Funil'!O:O,"")</f>
        <v/>
      </c>
      <c r="AE858" s="7" t="str">
        <f t="shared" si="13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8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9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0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1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2"/>
        <v/>
      </c>
      <c r="AB859" s="4" t="str">
        <f t="array" ref="AB859">XLOOKUP(X859,'Dados Funil'!A:A,'Dados Funil'!O:O,"")</f>
        <v/>
      </c>
      <c r="AE859" s="7" t="str">
        <f t="shared" si="13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8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9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0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1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2"/>
        <v/>
      </c>
      <c r="AB860" s="4" t="str">
        <f t="array" ref="AB860">XLOOKUP(X860,'Dados Funil'!A:A,'Dados Funil'!O:O,"")</f>
        <v/>
      </c>
      <c r="AE860" s="7" t="str">
        <f t="shared" si="13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8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9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0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1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2"/>
        <v/>
      </c>
      <c r="AB861" s="4" t="str">
        <f t="array" ref="AB861">XLOOKUP(X861,'Dados Funil'!A:A,'Dados Funil'!O:O,"")</f>
        <v/>
      </c>
      <c r="AE861" s="7" t="str">
        <f t="shared" si="13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8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9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0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1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2"/>
        <v/>
      </c>
      <c r="AB862" s="4" t="str">
        <f t="array" ref="AB862">XLOOKUP(X862,'Dados Funil'!A:A,'Dados Funil'!O:O,"")</f>
        <v/>
      </c>
      <c r="AE862" s="7" t="str">
        <f t="shared" si="13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8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9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0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1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2"/>
        <v/>
      </c>
      <c r="AB863" s="4" t="str">
        <f t="array" ref="AB863">XLOOKUP(X863,'Dados Funil'!A:A,'Dados Funil'!O:O,"")</f>
        <v/>
      </c>
      <c r="AE863" s="7" t="str">
        <f t="shared" si="13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8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9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0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1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2"/>
        <v/>
      </c>
      <c r="AB864" s="4" t="str">
        <f t="array" ref="AB864">XLOOKUP(X864,'Dados Funil'!A:A,'Dados Funil'!O:O,"")</f>
        <v/>
      </c>
      <c r="AE864" s="7" t="str">
        <f t="shared" si="13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8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9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0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1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2"/>
        <v/>
      </c>
      <c r="AB865" s="4" t="str">
        <f t="array" ref="AB865">XLOOKUP(X865,'Dados Funil'!A:A,'Dados Funil'!O:O,"")</f>
        <v/>
      </c>
      <c r="AE865" s="7" t="str">
        <f t="shared" si="13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8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9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0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1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2"/>
        <v/>
      </c>
      <c r="AB866" s="4" t="str">
        <f t="array" ref="AB866">XLOOKUP(X866,'Dados Funil'!A:A,'Dados Funil'!O:O,"")</f>
        <v/>
      </c>
      <c r="AE866" s="7" t="str">
        <f t="shared" si="13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8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9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0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1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2"/>
        <v/>
      </c>
      <c r="AB867" s="4" t="str">
        <f t="array" ref="AB867">XLOOKUP(X867,'Dados Funil'!A:A,'Dados Funil'!O:O,"")</f>
        <v/>
      </c>
      <c r="AE867" s="7" t="str">
        <f t="shared" si="13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8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9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0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1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2"/>
        <v/>
      </c>
      <c r="AB868" s="4" t="str">
        <f t="array" ref="AB868">XLOOKUP(X868,'Dados Funil'!A:A,'Dados Funil'!O:O,"")</f>
        <v/>
      </c>
      <c r="AE868" s="7" t="str">
        <f t="shared" si="13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8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9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0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1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2"/>
        <v/>
      </c>
      <c r="AB869" s="4" t="str">
        <f t="array" ref="AB869">XLOOKUP(X869,'Dados Funil'!A:A,'Dados Funil'!O:O,"")</f>
        <v/>
      </c>
      <c r="AE869" s="7" t="str">
        <f t="shared" si="13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8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9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0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1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2"/>
        <v/>
      </c>
      <c r="AB870" s="4" t="str">
        <f t="array" ref="AB870">XLOOKUP(X870,'Dados Funil'!A:A,'Dados Funil'!O:O,"")</f>
        <v/>
      </c>
      <c r="AE870" s="7" t="str">
        <f t="shared" si="13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8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9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0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1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2"/>
        <v/>
      </c>
      <c r="AB871" s="4" t="str">
        <f t="array" ref="AB871">XLOOKUP(X871,'Dados Funil'!A:A,'Dados Funil'!O:O,"")</f>
        <v/>
      </c>
      <c r="AE871" s="7" t="str">
        <f t="shared" si="13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8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9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0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1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2"/>
        <v/>
      </c>
      <c r="AB872" s="4" t="str">
        <f t="array" ref="AB872">XLOOKUP(X872,'Dados Funil'!A:A,'Dados Funil'!O:O,"")</f>
        <v/>
      </c>
      <c r="AE872" s="7" t="str">
        <f t="shared" si="13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8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9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0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1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2"/>
        <v/>
      </c>
      <c r="AB873" s="4" t="str">
        <f t="array" ref="AB873">XLOOKUP(X873,'Dados Funil'!A:A,'Dados Funil'!O:O,"")</f>
        <v/>
      </c>
      <c r="AE873" s="7" t="str">
        <f t="shared" si="13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8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9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0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1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2"/>
        <v/>
      </c>
      <c r="AB874" s="4" t="str">
        <f t="array" ref="AB874">XLOOKUP(X874,'Dados Funil'!A:A,'Dados Funil'!O:O,"")</f>
        <v/>
      </c>
      <c r="AE874" s="7" t="str">
        <f t="shared" si="13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8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9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0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1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2"/>
        <v/>
      </c>
      <c r="AB875" s="4" t="str">
        <f t="array" ref="AB875">XLOOKUP(X875,'Dados Funil'!A:A,'Dados Funil'!O:O,"")</f>
        <v/>
      </c>
      <c r="AE875" s="7" t="str">
        <f t="shared" si="13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8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9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0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1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2"/>
        <v/>
      </c>
      <c r="AB876" s="4" t="str">
        <f t="array" ref="AB876">XLOOKUP(X876,'Dados Funil'!A:A,'Dados Funil'!O:O,"")</f>
        <v/>
      </c>
      <c r="AE876" s="7" t="str">
        <f t="shared" si="13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8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9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0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1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2"/>
        <v/>
      </c>
      <c r="AB877" s="4" t="str">
        <f t="array" ref="AB877">XLOOKUP(X877,'Dados Funil'!A:A,'Dados Funil'!O:O,"")</f>
        <v/>
      </c>
      <c r="AE877" s="7" t="str">
        <f t="shared" si="13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8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9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0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1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2"/>
        <v/>
      </c>
      <c r="AB878" s="4" t="str">
        <f t="array" ref="AB878">XLOOKUP(X878,'Dados Funil'!A:A,'Dados Funil'!O:O,"")</f>
        <v/>
      </c>
      <c r="AE878" s="7" t="str">
        <f t="shared" si="13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8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9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0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1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2"/>
        <v/>
      </c>
      <c r="AB879" s="4" t="str">
        <f t="array" ref="AB879">XLOOKUP(X879,'Dados Funil'!A:A,'Dados Funil'!O:O,"")</f>
        <v/>
      </c>
      <c r="AE879" s="7" t="str">
        <f t="shared" si="13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8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9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0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1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2"/>
        <v/>
      </c>
      <c r="AB880" s="4" t="str">
        <f t="array" ref="AB880">XLOOKUP(X880,'Dados Funil'!A:A,'Dados Funil'!O:O,"")</f>
        <v/>
      </c>
      <c r="AE880" s="7" t="str">
        <f t="shared" si="13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8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9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0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1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2"/>
        <v/>
      </c>
      <c r="AB881" s="4" t="str">
        <f t="array" ref="AB881">XLOOKUP(X881,'Dados Funil'!A:A,'Dados Funil'!O:O,"")</f>
        <v/>
      </c>
      <c r="AE881" s="7" t="str">
        <f t="shared" si="13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8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9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0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1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2"/>
        <v/>
      </c>
      <c r="AB882" s="4" t="str">
        <f t="array" ref="AB882">XLOOKUP(X882,'Dados Funil'!A:A,'Dados Funil'!O:O,"")</f>
        <v/>
      </c>
      <c r="AE882" s="7" t="str">
        <f t="shared" si="13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8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9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0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1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2"/>
        <v/>
      </c>
      <c r="AB883" s="4" t="str">
        <f t="array" ref="AB883">XLOOKUP(X883,'Dados Funil'!A:A,'Dados Funil'!O:O,"")</f>
        <v/>
      </c>
      <c r="AE883" s="7" t="str">
        <f t="shared" si="13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8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9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0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1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2"/>
        <v/>
      </c>
      <c r="AB884" s="4" t="str">
        <f t="array" ref="AB884">XLOOKUP(X884,'Dados Funil'!A:A,'Dados Funil'!O:O,"")</f>
        <v/>
      </c>
      <c r="AE884" s="7" t="str">
        <f t="shared" si="13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8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9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0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1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2"/>
        <v/>
      </c>
      <c r="AB885" s="4" t="str">
        <f t="array" ref="AB885">XLOOKUP(X885,'Dados Funil'!A:A,'Dados Funil'!O:O,"")</f>
        <v/>
      </c>
      <c r="AE885" s="7" t="str">
        <f t="shared" si="13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8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9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0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1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2"/>
        <v/>
      </c>
      <c r="AB886" s="4" t="str">
        <f t="array" ref="AB886">XLOOKUP(X886,'Dados Funil'!A:A,'Dados Funil'!O:O,"")</f>
        <v/>
      </c>
      <c r="AE886" s="7" t="str">
        <f t="shared" si="13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8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9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0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1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2"/>
        <v/>
      </c>
      <c r="AB887" s="4" t="str">
        <f t="array" ref="AB887">XLOOKUP(X887,'Dados Funil'!A:A,'Dados Funil'!O:O,"")</f>
        <v/>
      </c>
      <c r="AE887" s="7" t="str">
        <f t="shared" si="13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8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9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0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1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2"/>
        <v/>
      </c>
      <c r="AB888" s="4" t="str">
        <f t="array" ref="AB888">XLOOKUP(X888,'Dados Funil'!A:A,'Dados Funil'!O:O,"")</f>
        <v/>
      </c>
      <c r="AE888" s="7" t="str">
        <f t="shared" si="13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8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9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0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1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2"/>
        <v/>
      </c>
      <c r="AB889" s="4" t="str">
        <f t="array" ref="AB889">XLOOKUP(X889,'Dados Funil'!A:A,'Dados Funil'!O:O,"")</f>
        <v/>
      </c>
      <c r="AE889" s="7" t="str">
        <f t="shared" si="13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8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9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0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1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2"/>
        <v/>
      </c>
      <c r="AB890" s="4" t="str">
        <f t="array" ref="AB890">XLOOKUP(X890,'Dados Funil'!A:A,'Dados Funil'!O:O,"")</f>
        <v/>
      </c>
      <c r="AE890" s="7" t="str">
        <f t="shared" si="13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8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9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0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1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2"/>
        <v/>
      </c>
      <c r="AB891" s="4" t="str">
        <f t="array" ref="AB891">XLOOKUP(X891,'Dados Funil'!A:A,'Dados Funil'!O:O,"")</f>
        <v/>
      </c>
      <c r="AE891" s="7" t="str">
        <f t="shared" si="13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8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9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0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1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2"/>
        <v/>
      </c>
      <c r="AB892" s="4" t="str">
        <f t="array" ref="AB892">XLOOKUP(X892,'Dados Funil'!A:A,'Dados Funil'!O:O,"")</f>
        <v/>
      </c>
      <c r="AE892" s="7" t="str">
        <f t="shared" si="13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8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9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0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1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2"/>
        <v/>
      </c>
      <c r="AB893" s="4" t="str">
        <f t="array" ref="AB893">XLOOKUP(X893,'Dados Funil'!A:A,'Dados Funil'!O:O,"")</f>
        <v/>
      </c>
      <c r="AE893" s="7" t="str">
        <f t="shared" si="13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8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9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0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1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2"/>
        <v/>
      </c>
      <c r="AB894" s="4" t="str">
        <f t="array" ref="AB894">XLOOKUP(X894,'Dados Funil'!A:A,'Dados Funil'!O:O,"")</f>
        <v/>
      </c>
      <c r="AE894" s="7" t="str">
        <f t="shared" si="13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8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9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0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1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2"/>
        <v/>
      </c>
      <c r="AB895" s="4" t="str">
        <f t="array" ref="AB895">XLOOKUP(X895,'Dados Funil'!A:A,'Dados Funil'!O:O,"")</f>
        <v/>
      </c>
      <c r="AE895" s="7" t="str">
        <f t="shared" si="13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8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9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0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1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2"/>
        <v/>
      </c>
      <c r="AB896" s="4" t="str">
        <f t="array" ref="AB896">XLOOKUP(X896,'Dados Funil'!A:A,'Dados Funil'!O:O,"")</f>
        <v/>
      </c>
      <c r="AE896" s="7" t="str">
        <f t="shared" si="13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8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9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0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1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2"/>
        <v/>
      </c>
      <c r="AB897" s="4" t="str">
        <f t="array" ref="AB897">XLOOKUP(X897,'Dados Funil'!A:A,'Dados Funil'!O:O,"")</f>
        <v/>
      </c>
      <c r="AE897" s="7" t="str">
        <f t="shared" si="13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8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9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0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1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2"/>
        <v/>
      </c>
      <c r="AB898" s="4" t="str">
        <f t="array" ref="AB898">XLOOKUP(X898,'Dados Funil'!A:A,'Dados Funil'!O:O,"")</f>
        <v/>
      </c>
      <c r="AE898" s="7" t="str">
        <f t="shared" si="13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8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9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0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1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2"/>
        <v/>
      </c>
      <c r="AB899" s="4" t="str">
        <f t="array" ref="AB899">XLOOKUP(X899,'Dados Funil'!A:A,'Dados Funil'!O:O,"")</f>
        <v/>
      </c>
      <c r="AE899" s="7" t="str">
        <f t="shared" si="13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8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9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0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1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2"/>
        <v/>
      </c>
      <c r="AB900" s="4" t="str">
        <f t="array" ref="AB900">XLOOKUP(X900,'Dados Funil'!A:A,'Dados Funil'!O:O,"")</f>
        <v/>
      </c>
      <c r="AE900" s="7" t="str">
        <f t="shared" si="13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8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9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0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1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2"/>
        <v/>
      </c>
      <c r="AB901" s="4" t="str">
        <f t="array" ref="AB901">XLOOKUP(X901,'Dados Funil'!A:A,'Dados Funil'!O:O,"")</f>
        <v/>
      </c>
      <c r="AE901" s="7" t="str">
        <f t="shared" si="13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8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9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0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1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2"/>
        <v/>
      </c>
      <c r="AB902" s="4" t="str">
        <f t="array" ref="AB902">XLOOKUP(X902,'Dados Funil'!A:A,'Dados Funil'!O:O,"")</f>
        <v/>
      </c>
      <c r="AE902" s="7" t="str">
        <f t="shared" si="13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8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9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0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1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2"/>
        <v/>
      </c>
      <c r="AB903" s="4" t="str">
        <f t="array" ref="AB903">XLOOKUP(X903,'Dados Funil'!A:A,'Dados Funil'!O:O,"")</f>
        <v/>
      </c>
      <c r="AE903" s="7" t="str">
        <f t="shared" si="13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8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9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0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1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2"/>
        <v/>
      </c>
      <c r="AB904" s="4" t="str">
        <f t="array" ref="AB904">XLOOKUP(X904,'Dados Funil'!A:A,'Dados Funil'!O:O,"")</f>
        <v/>
      </c>
      <c r="AE904" s="7" t="str">
        <f t="shared" si="13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8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9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0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1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2"/>
        <v/>
      </c>
      <c r="AB905" s="4" t="str">
        <f t="array" ref="AB905">XLOOKUP(X905,'Dados Funil'!A:A,'Dados Funil'!O:O,"")</f>
        <v/>
      </c>
      <c r="AE905" s="7" t="str">
        <f t="shared" si="13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8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9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0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1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2"/>
        <v/>
      </c>
      <c r="AB906" s="4" t="str">
        <f t="array" ref="AB906">XLOOKUP(X906,'Dados Funil'!A:A,'Dados Funil'!O:O,"")</f>
        <v/>
      </c>
      <c r="AE906" s="7" t="str">
        <f t="shared" si="13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8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9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0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1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2"/>
        <v/>
      </c>
      <c r="AB907" s="4" t="str">
        <f t="array" ref="AB907">XLOOKUP(X907,'Dados Funil'!A:A,'Dados Funil'!O:O,"")</f>
        <v/>
      </c>
      <c r="AE907" s="7" t="str">
        <f t="shared" si="13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8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9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0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1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2"/>
        <v/>
      </c>
      <c r="AB908" s="4" t="str">
        <f t="array" ref="AB908">XLOOKUP(X908,'Dados Funil'!A:A,'Dados Funil'!O:O,"")</f>
        <v/>
      </c>
      <c r="AE908" s="7" t="str">
        <f t="shared" si="13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8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9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0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1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2"/>
        <v/>
      </c>
      <c r="AB909" s="4" t="str">
        <f t="array" ref="AB909">XLOOKUP(X909,'Dados Funil'!A:A,'Dados Funil'!O:O,"")</f>
        <v/>
      </c>
      <c r="AE909" s="7" t="str">
        <f t="shared" si="13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8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9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0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1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2"/>
        <v/>
      </c>
      <c r="AB910" s="4" t="str">
        <f t="array" ref="AB910">XLOOKUP(X910,'Dados Funil'!A:A,'Dados Funil'!O:O,"")</f>
        <v/>
      </c>
      <c r="AE910" s="7" t="str">
        <f t="shared" si="13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8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9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0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1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2"/>
        <v/>
      </c>
      <c r="AB911" s="4" t="str">
        <f t="array" ref="AB911">XLOOKUP(X911,'Dados Funil'!A:A,'Dados Funil'!O:O,"")</f>
        <v/>
      </c>
      <c r="AE911" s="7" t="str">
        <f t="shared" si="13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8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9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0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1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2"/>
        <v/>
      </c>
      <c r="AB912" s="4" t="str">
        <f t="array" ref="AB912">XLOOKUP(X912,'Dados Funil'!A:A,'Dados Funil'!O:O,"")</f>
        <v/>
      </c>
      <c r="AE912" s="7" t="str">
        <f t="shared" si="13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8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9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0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1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2"/>
        <v/>
      </c>
      <c r="AB913" s="4" t="str">
        <f t="array" ref="AB913">XLOOKUP(X913,'Dados Funil'!A:A,'Dados Funil'!O:O,"")</f>
        <v/>
      </c>
      <c r="AE913" s="7" t="str">
        <f t="shared" si="13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8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9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0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1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2"/>
        <v/>
      </c>
      <c r="AB914" s="4" t="str">
        <f t="array" ref="AB914">XLOOKUP(X914,'Dados Funil'!A:A,'Dados Funil'!O:O,"")</f>
        <v/>
      </c>
      <c r="AE914" s="7" t="str">
        <f t="shared" si="13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8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9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0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1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2"/>
        <v/>
      </c>
      <c r="AB915" s="4" t="str">
        <f t="array" ref="AB915">XLOOKUP(X915,'Dados Funil'!A:A,'Dados Funil'!O:O,"")</f>
        <v/>
      </c>
      <c r="AE915" s="7" t="str">
        <f t="shared" si="13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8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9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0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1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2"/>
        <v/>
      </c>
      <c r="AB916" s="4" t="str">
        <f t="array" ref="AB916">XLOOKUP(X916,'Dados Funil'!A:A,'Dados Funil'!O:O,"")</f>
        <v/>
      </c>
      <c r="AE916" s="7" t="str">
        <f t="shared" si="13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8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9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0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1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2"/>
        <v/>
      </c>
      <c r="AB917" s="4" t="str">
        <f t="array" ref="AB917">XLOOKUP(X917,'Dados Funil'!A:A,'Dados Funil'!O:O,"")</f>
        <v/>
      </c>
      <c r="AE917" s="7" t="str">
        <f t="shared" si="13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8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9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0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1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2"/>
        <v/>
      </c>
      <c r="AB918" s="4" t="str">
        <f t="array" ref="AB918">XLOOKUP(X918,'Dados Funil'!A:A,'Dados Funil'!O:O,"")</f>
        <v/>
      </c>
      <c r="AE918" s="7" t="str">
        <f t="shared" si="13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8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9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0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1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2"/>
        <v/>
      </c>
      <c r="AB919" s="4" t="str">
        <f t="array" ref="AB919">XLOOKUP(X919,'Dados Funil'!A:A,'Dados Funil'!O:O,"")</f>
        <v/>
      </c>
      <c r="AE919" s="7" t="str">
        <f t="shared" si="13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8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9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0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1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2"/>
        <v/>
      </c>
      <c r="AB920" s="4" t="str">
        <f t="array" ref="AB920">XLOOKUP(X920,'Dados Funil'!A:A,'Dados Funil'!O:O,"")</f>
        <v/>
      </c>
      <c r="AE920" s="7" t="str">
        <f t="shared" si="13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8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9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0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1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2"/>
        <v/>
      </c>
      <c r="AB921" s="4" t="str">
        <f t="array" ref="AB921">XLOOKUP(X921,'Dados Funil'!A:A,'Dados Funil'!O:O,"")</f>
        <v/>
      </c>
      <c r="AE921" s="7" t="str">
        <f t="shared" si="13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8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9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0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1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2"/>
        <v/>
      </c>
      <c r="AB922" s="4" t="str">
        <f t="array" ref="AB922">XLOOKUP(X922,'Dados Funil'!A:A,'Dados Funil'!O:O,"")</f>
        <v/>
      </c>
      <c r="AE922" s="7" t="str">
        <f t="shared" si="13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8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9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0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1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2"/>
        <v/>
      </c>
      <c r="AB923" s="4" t="str">
        <f t="array" ref="AB923">XLOOKUP(X923,'Dados Funil'!A:A,'Dados Funil'!O:O,"")</f>
        <v/>
      </c>
      <c r="AE923" s="7" t="str">
        <f t="shared" si="13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8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9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0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1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2"/>
        <v/>
      </c>
      <c r="AB924" s="4" t="str">
        <f t="array" ref="AB924">XLOOKUP(X924,'Dados Funil'!A:A,'Dados Funil'!O:O,"")</f>
        <v/>
      </c>
      <c r="AE924" s="7" t="str">
        <f t="shared" si="13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8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9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0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1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2"/>
        <v/>
      </c>
      <c r="AB925" s="4" t="str">
        <f t="array" ref="AB925">XLOOKUP(X925,'Dados Funil'!A:A,'Dados Funil'!O:O,"")</f>
        <v/>
      </c>
      <c r="AE925" s="7" t="str">
        <f t="shared" si="13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8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9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0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1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2"/>
        <v/>
      </c>
      <c r="AB926" s="4" t="str">
        <f t="array" ref="AB926">XLOOKUP(X926,'Dados Funil'!A:A,'Dados Funil'!O:O,"")</f>
        <v/>
      </c>
      <c r="AE926" s="7" t="str">
        <f t="shared" si="13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8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9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0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1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2"/>
        <v/>
      </c>
      <c r="AB927" s="4" t="str">
        <f t="array" ref="AB927">XLOOKUP(X927,'Dados Funil'!A:A,'Dados Funil'!O:O,"")</f>
        <v/>
      </c>
      <c r="AE927" s="7" t="str">
        <f t="shared" si="13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8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9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0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1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2"/>
        <v/>
      </c>
      <c r="AB928" s="4" t="str">
        <f t="array" ref="AB928">XLOOKUP(X928,'Dados Funil'!A:A,'Dados Funil'!O:O,"")</f>
        <v/>
      </c>
      <c r="AE928" s="7" t="str">
        <f t="shared" si="13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8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9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0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1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2"/>
        <v/>
      </c>
      <c r="AB929" s="4" t="str">
        <f t="array" ref="AB929">XLOOKUP(X929,'Dados Funil'!A:A,'Dados Funil'!O:O,"")</f>
        <v/>
      </c>
      <c r="AE929" s="7" t="str">
        <f t="shared" si="13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8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9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0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1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2"/>
        <v/>
      </c>
      <c r="AB930" s="4" t="str">
        <f t="array" ref="AB930">XLOOKUP(X930,'Dados Funil'!A:A,'Dados Funil'!O:O,"")</f>
        <v/>
      </c>
      <c r="AE930" s="7" t="str">
        <f t="shared" si="13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8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9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0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1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2"/>
        <v/>
      </c>
      <c r="AB931" s="4" t="str">
        <f t="array" ref="AB931">XLOOKUP(X931,'Dados Funil'!A:A,'Dados Funil'!O:O,"")</f>
        <v/>
      </c>
      <c r="AE931" s="7" t="str">
        <f t="shared" si="13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8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9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0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1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2"/>
        <v/>
      </c>
      <c r="AB932" s="4" t="str">
        <f t="array" ref="AB932">XLOOKUP(X932,'Dados Funil'!A:A,'Dados Funil'!O:O,"")</f>
        <v/>
      </c>
      <c r="AE932" s="7" t="str">
        <f t="shared" si="13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8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9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0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1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2"/>
        <v/>
      </c>
      <c r="AB933" s="4" t="str">
        <f t="array" ref="AB933">XLOOKUP(X933,'Dados Funil'!A:A,'Dados Funil'!O:O,"")</f>
        <v/>
      </c>
      <c r="AE933" s="7" t="str">
        <f t="shared" si="13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8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9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0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1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2"/>
        <v/>
      </c>
      <c r="AB934" s="4" t="str">
        <f t="array" ref="AB934">XLOOKUP(X934,'Dados Funil'!A:A,'Dados Funil'!O:O,"")</f>
        <v/>
      </c>
      <c r="AE934" s="7" t="str">
        <f t="shared" si="13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8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9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0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1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2"/>
        <v/>
      </c>
      <c r="AB935" s="4" t="str">
        <f t="array" ref="AB935">XLOOKUP(X935,'Dados Funil'!A:A,'Dados Funil'!O:O,"")</f>
        <v/>
      </c>
      <c r="AE935" s="7" t="str">
        <f t="shared" si="13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8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9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0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1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2"/>
        <v/>
      </c>
      <c r="AB936" s="4" t="str">
        <f t="array" ref="AB936">XLOOKUP(X936,'Dados Funil'!A:A,'Dados Funil'!O:O,"")</f>
        <v/>
      </c>
      <c r="AE936" s="7" t="str">
        <f t="shared" si="13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8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9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0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1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2"/>
        <v/>
      </c>
      <c r="AB937" s="4" t="str">
        <f t="array" ref="AB937">XLOOKUP(X937,'Dados Funil'!A:A,'Dados Funil'!O:O,"")</f>
        <v/>
      </c>
      <c r="AE937" s="7" t="str">
        <f t="shared" si="13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8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9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0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1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2"/>
        <v/>
      </c>
      <c r="AB938" s="4" t="str">
        <f t="array" ref="AB938">XLOOKUP(X938,'Dados Funil'!A:A,'Dados Funil'!O:O,"")</f>
        <v/>
      </c>
      <c r="AE938" s="7" t="str">
        <f t="shared" si="13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8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9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0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1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2"/>
        <v/>
      </c>
      <c r="AB939" s="4" t="str">
        <f t="array" ref="AB939">XLOOKUP(X939,'Dados Funil'!A:A,'Dados Funil'!O:O,"")</f>
        <v/>
      </c>
      <c r="AE939" s="7" t="str">
        <f t="shared" si="13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8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9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0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1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2"/>
        <v/>
      </c>
      <c r="AB940" s="4" t="str">
        <f t="array" ref="AB940">XLOOKUP(X940,'Dados Funil'!A:A,'Dados Funil'!O:O,"")</f>
        <v/>
      </c>
      <c r="AE940" s="7" t="str">
        <f t="shared" si="13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8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9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0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1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2"/>
        <v/>
      </c>
      <c r="AB941" s="4" t="str">
        <f t="array" ref="AB941">XLOOKUP(X941,'Dados Funil'!A:A,'Dados Funil'!O:O,"")</f>
        <v/>
      </c>
      <c r="AE941" s="7" t="str">
        <f t="shared" si="13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8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9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0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1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2"/>
        <v/>
      </c>
      <c r="AB942" s="4" t="str">
        <f t="array" ref="AB942">XLOOKUP(X942,'Dados Funil'!A:A,'Dados Funil'!O:O,"")</f>
        <v/>
      </c>
      <c r="AE942" s="7" t="str">
        <f t="shared" si="13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8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9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0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1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2"/>
        <v/>
      </c>
      <c r="AB943" s="4" t="str">
        <f t="array" ref="AB943">XLOOKUP(X943,'Dados Funil'!A:A,'Dados Funil'!O:O,"")</f>
        <v/>
      </c>
      <c r="AE943" s="7" t="str">
        <f t="shared" si="13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8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9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0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1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2"/>
        <v/>
      </c>
      <c r="AB944" s="4" t="str">
        <f t="array" ref="AB944">XLOOKUP(X944,'Dados Funil'!A:A,'Dados Funil'!O:O,"")</f>
        <v/>
      </c>
      <c r="AE944" s="7" t="str">
        <f t="shared" si="13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8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9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0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1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2"/>
        <v/>
      </c>
      <c r="AB945" s="4" t="str">
        <f t="array" ref="AB945">XLOOKUP(X945,'Dados Funil'!A:A,'Dados Funil'!O:O,"")</f>
        <v/>
      </c>
      <c r="AE945" s="7" t="str">
        <f t="shared" si="13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8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9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0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1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2"/>
        <v/>
      </c>
      <c r="AB946" s="4" t="str">
        <f t="array" ref="AB946">XLOOKUP(X946,'Dados Funil'!A:A,'Dados Funil'!O:O,"")</f>
        <v/>
      </c>
      <c r="AE946" s="7" t="str">
        <f t="shared" si="13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8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9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0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1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2"/>
        <v/>
      </c>
      <c r="AB947" s="4" t="str">
        <f t="array" ref="AB947">XLOOKUP(X947,'Dados Funil'!A:A,'Dados Funil'!O:O,"")</f>
        <v/>
      </c>
      <c r="AE947" s="7" t="str">
        <f t="shared" si="13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8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9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0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1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2"/>
        <v/>
      </c>
      <c r="AB948" s="4" t="str">
        <f t="array" ref="AB948">XLOOKUP(X948,'Dados Funil'!A:A,'Dados Funil'!O:O,"")</f>
        <v/>
      </c>
      <c r="AE948" s="7" t="str">
        <f t="shared" si="13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8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9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0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1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2"/>
        <v/>
      </c>
      <c r="AB949" s="4" t="str">
        <f t="array" ref="AB949">XLOOKUP(X949,'Dados Funil'!A:A,'Dados Funil'!O:O,"")</f>
        <v/>
      </c>
      <c r="AE949" s="7" t="str">
        <f t="shared" si="13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8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9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0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1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2"/>
        <v/>
      </c>
      <c r="AB950" s="4" t="str">
        <f t="array" ref="AB950">XLOOKUP(X950,'Dados Funil'!A:A,'Dados Funil'!O:O,"")</f>
        <v/>
      </c>
      <c r="AE950" s="7" t="str">
        <f t="shared" si="13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8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9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0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1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2"/>
        <v/>
      </c>
      <c r="AB951" s="4" t="str">
        <f t="array" ref="AB951">XLOOKUP(X951,'Dados Funil'!A:A,'Dados Funil'!O:O,"")</f>
        <v/>
      </c>
      <c r="AE951" s="7" t="str">
        <f t="shared" si="13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8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9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0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1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2"/>
        <v/>
      </c>
      <c r="AB952" s="4" t="str">
        <f t="array" ref="AB952">XLOOKUP(X952,'Dados Funil'!A:A,'Dados Funil'!O:O,"")</f>
        <v/>
      </c>
      <c r="AE952" s="7" t="str">
        <f t="shared" si="13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8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9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0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1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2"/>
        <v/>
      </c>
      <c r="AB953" s="4" t="str">
        <f t="array" ref="AB953">XLOOKUP(X953,'Dados Funil'!A:A,'Dados Funil'!O:O,"")</f>
        <v/>
      </c>
      <c r="AE953" s="7" t="str">
        <f t="shared" si="13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8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9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0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1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2"/>
        <v/>
      </c>
      <c r="AB954" s="4" t="str">
        <f t="array" ref="AB954">XLOOKUP(X954,'Dados Funil'!A:A,'Dados Funil'!O:O,"")</f>
        <v/>
      </c>
      <c r="AE954" s="7" t="str">
        <f t="shared" si="13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8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9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0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1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2"/>
        <v/>
      </c>
      <c r="AB955" s="4" t="str">
        <f t="array" ref="AB955">XLOOKUP(X955,'Dados Funil'!A:A,'Dados Funil'!O:O,"")</f>
        <v/>
      </c>
      <c r="AE955" s="7" t="str">
        <f t="shared" si="13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8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9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0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1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2"/>
        <v/>
      </c>
      <c r="AB956" s="4" t="str">
        <f t="array" ref="AB956">XLOOKUP(X956,'Dados Funil'!A:A,'Dados Funil'!O:O,"")</f>
        <v/>
      </c>
      <c r="AE956" s="7" t="str">
        <f t="shared" si="13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8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9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0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1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2"/>
        <v/>
      </c>
      <c r="AB957" s="4" t="str">
        <f t="array" ref="AB957">XLOOKUP(X957,'Dados Funil'!A:A,'Dados Funil'!O:O,"")</f>
        <v/>
      </c>
      <c r="AE957" s="7" t="str">
        <f t="shared" si="13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8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9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0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1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2"/>
        <v/>
      </c>
      <c r="AB958" s="4" t="str">
        <f t="array" ref="AB958">XLOOKUP(X958,'Dados Funil'!A:A,'Dados Funil'!O:O,"")</f>
        <v/>
      </c>
      <c r="AE958" s="7" t="str">
        <f t="shared" si="13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8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9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0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1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2"/>
        <v/>
      </c>
      <c r="AB959" s="4" t="str">
        <f t="array" ref="AB959">XLOOKUP(X959,'Dados Funil'!A:A,'Dados Funil'!O:O,"")</f>
        <v/>
      </c>
      <c r="AE959" s="7" t="str">
        <f t="shared" si="13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8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9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0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1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2"/>
        <v/>
      </c>
      <c r="AB960" s="4" t="str">
        <f t="array" ref="AB960">XLOOKUP(X960,'Dados Funil'!A:A,'Dados Funil'!O:O,"")</f>
        <v/>
      </c>
      <c r="AE960" s="7" t="str">
        <f t="shared" si="13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8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9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0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1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2"/>
        <v/>
      </c>
      <c r="AB961" s="4" t="str">
        <f t="array" ref="AB961">XLOOKUP(X961,'Dados Funil'!A:A,'Dados Funil'!O:O,"")</f>
        <v/>
      </c>
      <c r="AE961" s="7" t="str">
        <f t="shared" si="13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8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9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0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1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2"/>
        <v/>
      </c>
      <c r="AB962" s="4" t="str">
        <f t="array" ref="AB962">XLOOKUP(X962,'Dados Funil'!A:A,'Dados Funil'!O:O,"")</f>
        <v/>
      </c>
      <c r="AE962" s="7" t="str">
        <f t="shared" si="13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8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9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0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1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2"/>
        <v/>
      </c>
      <c r="AB963" s="4" t="str">
        <f t="array" ref="AB963">XLOOKUP(X963,'Dados Funil'!A:A,'Dados Funil'!O:O,"")</f>
        <v/>
      </c>
      <c r="AE963" s="7" t="str">
        <f t="shared" si="13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8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9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0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1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2"/>
        <v/>
      </c>
      <c r="AB964" s="4" t="str">
        <f t="array" ref="AB964">XLOOKUP(X964,'Dados Funil'!A:A,'Dados Funil'!O:O,"")</f>
        <v/>
      </c>
      <c r="AE964" s="7" t="str">
        <f t="shared" si="13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8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9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0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1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2"/>
        <v/>
      </c>
      <c r="AB965" s="4" t="str">
        <f t="array" ref="AB965">XLOOKUP(X965,'Dados Funil'!A:A,'Dados Funil'!O:O,"")</f>
        <v/>
      </c>
      <c r="AE965" s="7" t="str">
        <f t="shared" si="13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8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9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0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1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2"/>
        <v/>
      </c>
      <c r="AB966" s="4" t="str">
        <f t="array" ref="AB966">XLOOKUP(X966,'Dados Funil'!A:A,'Dados Funil'!O:O,"")</f>
        <v/>
      </c>
      <c r="AE966" s="7" t="str">
        <f t="shared" si="13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8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9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0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1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2"/>
        <v/>
      </c>
      <c r="AB967" s="4" t="str">
        <f t="array" ref="AB967">XLOOKUP(X967,'Dados Funil'!A:A,'Dados Funil'!O:O,"")</f>
        <v/>
      </c>
      <c r="AE967" s="7" t="str">
        <f t="shared" si="13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8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9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0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1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2"/>
        <v/>
      </c>
      <c r="AB968" s="4" t="str">
        <f t="array" ref="AB968">XLOOKUP(X968,'Dados Funil'!A:A,'Dados Funil'!O:O,"")</f>
        <v/>
      </c>
      <c r="AE968" s="7" t="str">
        <f t="shared" si="13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8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9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0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1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2"/>
        <v/>
      </c>
      <c r="AB969" s="4" t="str">
        <f t="array" ref="AB969">XLOOKUP(X969,'Dados Funil'!A:A,'Dados Funil'!O:O,"")</f>
        <v/>
      </c>
      <c r="AE969" s="7" t="str">
        <f t="shared" si="13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8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9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0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1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2"/>
        <v/>
      </c>
      <c r="AB970" s="4" t="str">
        <f t="array" ref="AB970">XLOOKUP(X970,'Dados Funil'!A:A,'Dados Funil'!O:O,"")</f>
        <v/>
      </c>
      <c r="AE970" s="7" t="str">
        <f t="shared" si="13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8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9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0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1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2"/>
        <v/>
      </c>
      <c r="AB971" s="4" t="str">
        <f t="array" ref="AB971">XLOOKUP(X971,'Dados Funil'!A:A,'Dados Funil'!O:O,"")</f>
        <v/>
      </c>
      <c r="AE971" s="7" t="str">
        <f t="shared" si="13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8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9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0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1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2"/>
        <v/>
      </c>
      <c r="AB972" s="4" t="str">
        <f t="array" ref="AB972">XLOOKUP(X972,'Dados Funil'!A:A,'Dados Funil'!O:O,"")</f>
        <v/>
      </c>
      <c r="AE972" s="7" t="str">
        <f t="shared" si="13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8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9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0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1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2"/>
        <v/>
      </c>
      <c r="AB973" s="4" t="str">
        <f t="array" ref="AB973">XLOOKUP(X973,'Dados Funil'!A:A,'Dados Funil'!O:O,"")</f>
        <v/>
      </c>
      <c r="AE973" s="7" t="str">
        <f t="shared" si="13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8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9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0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1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2"/>
        <v/>
      </c>
      <c r="AB974" s="4" t="str">
        <f t="array" ref="AB974">XLOOKUP(X974,'Dados Funil'!A:A,'Dados Funil'!O:O,"")</f>
        <v/>
      </c>
      <c r="AE974" s="7" t="str">
        <f t="shared" si="13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8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9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0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1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2"/>
        <v/>
      </c>
      <c r="AB975" s="4" t="str">
        <f t="array" ref="AB975">XLOOKUP(X975,'Dados Funil'!A:A,'Dados Funil'!O:O,"")</f>
        <v/>
      </c>
      <c r="AE975" s="7" t="str">
        <f t="shared" si="13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8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9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0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1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2"/>
        <v/>
      </c>
      <c r="AB976" s="4" t="str">
        <f t="array" ref="AB976">XLOOKUP(X976,'Dados Funil'!A:A,'Dados Funil'!O:O,"")</f>
        <v/>
      </c>
      <c r="AE976" s="7" t="str">
        <f t="shared" si="13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8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9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0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1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2"/>
        <v/>
      </c>
      <c r="AB977" s="4" t="str">
        <f t="array" ref="AB977">XLOOKUP(X977,'Dados Funil'!A:A,'Dados Funil'!O:O,"")</f>
        <v/>
      </c>
      <c r="AE977" s="7" t="str">
        <f t="shared" si="13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8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9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0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1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2"/>
        <v/>
      </c>
      <c r="AB978" s="4" t="str">
        <f t="array" ref="AB978">XLOOKUP(X978,'Dados Funil'!A:A,'Dados Funil'!O:O,"")</f>
        <v/>
      </c>
      <c r="AE978" s="7" t="str">
        <f t="shared" si="13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8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9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0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1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2"/>
        <v/>
      </c>
      <c r="AB979" s="4" t="str">
        <f t="array" ref="AB979">XLOOKUP(X979,'Dados Funil'!A:A,'Dados Funil'!O:O,"")</f>
        <v/>
      </c>
      <c r="AE979" s="7" t="str">
        <f t="shared" si="13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8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9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0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1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2"/>
        <v/>
      </c>
      <c r="AB980" s="4" t="str">
        <f t="array" ref="AB980">XLOOKUP(X980,'Dados Funil'!A:A,'Dados Funil'!O:O,"")</f>
        <v/>
      </c>
      <c r="AE980" s="7" t="str">
        <f t="shared" si="13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8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9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0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1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2"/>
        <v/>
      </c>
      <c r="AB981" s="4" t="str">
        <f t="array" ref="AB981">XLOOKUP(X981,'Dados Funil'!A:A,'Dados Funil'!O:O,"")</f>
        <v/>
      </c>
      <c r="AE981" s="7" t="str">
        <f t="shared" si="13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8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9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0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1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2"/>
        <v/>
      </c>
      <c r="AB982" s="4" t="str">
        <f t="array" ref="AB982">XLOOKUP(X982,'Dados Funil'!A:A,'Dados Funil'!O:O,"")</f>
        <v/>
      </c>
      <c r="AE982" s="7" t="str">
        <f t="shared" si="13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8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9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0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1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2"/>
        <v/>
      </c>
      <c r="AB983" s="4" t="str">
        <f t="array" ref="AB983">XLOOKUP(X983,'Dados Funil'!A:A,'Dados Funil'!O:O,"")</f>
        <v/>
      </c>
      <c r="AE983" s="7" t="str">
        <f t="shared" si="13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8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9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0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1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2"/>
        <v/>
      </c>
      <c r="AB984" s="4" t="str">
        <f t="array" ref="AB984">XLOOKUP(X984,'Dados Funil'!A:A,'Dados Funil'!O:O,"")</f>
        <v/>
      </c>
      <c r="AE984" s="7" t="str">
        <f t="shared" si="13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8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9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0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1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2"/>
        <v/>
      </c>
      <c r="AB985" s="4" t="str">
        <f t="array" ref="AB985">XLOOKUP(X985,'Dados Funil'!A:A,'Dados Funil'!O:O,"")</f>
        <v/>
      </c>
      <c r="AE985" s="7" t="str">
        <f t="shared" si="13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8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9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0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1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2"/>
        <v/>
      </c>
      <c r="AB986" s="4" t="str">
        <f t="array" ref="AB986">XLOOKUP(X986,'Dados Funil'!A:A,'Dados Funil'!O:O,"")</f>
        <v/>
      </c>
      <c r="AE986" s="7" t="str">
        <f t="shared" si="13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8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9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0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1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2"/>
        <v/>
      </c>
      <c r="AB987" s="4" t="str">
        <f t="array" ref="AB987">XLOOKUP(X987,'Dados Funil'!A:A,'Dados Funil'!O:O,"")</f>
        <v/>
      </c>
      <c r="AE987" s="7" t="str">
        <f t="shared" si="13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8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9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0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1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2"/>
        <v/>
      </c>
      <c r="AB988" s="4" t="str">
        <f t="array" ref="AB988">XLOOKUP(X988,'Dados Funil'!A:A,'Dados Funil'!O:O,"")</f>
        <v/>
      </c>
      <c r="AE988" s="7" t="str">
        <f t="shared" si="13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8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9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0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1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2"/>
        <v/>
      </c>
      <c r="AB989" s="4" t="str">
        <f t="array" ref="AB989">XLOOKUP(X989,'Dados Funil'!A:A,'Dados Funil'!O:O,"")</f>
        <v/>
      </c>
      <c r="AE989" s="7" t="str">
        <f t="shared" si="13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8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9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0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1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2"/>
        <v/>
      </c>
      <c r="AB990" s="4" t="str">
        <f t="array" ref="AB990">XLOOKUP(X990,'Dados Funil'!A:A,'Dados Funil'!O:O,"")</f>
        <v/>
      </c>
      <c r="AE990" s="7" t="str">
        <f t="shared" si="13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8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9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0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1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2"/>
        <v/>
      </c>
      <c r="AB991" s="4" t="str">
        <f t="array" ref="AB991">XLOOKUP(X991,'Dados Funil'!A:A,'Dados Funil'!O:O,"")</f>
        <v/>
      </c>
      <c r="AE991" s="7" t="str">
        <f t="shared" si="13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8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9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0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1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2"/>
        <v/>
      </c>
      <c r="AB992" s="4" t="str">
        <f t="array" ref="AB992">XLOOKUP(X992,'Dados Funil'!A:A,'Dados Funil'!O:O,"")</f>
        <v/>
      </c>
      <c r="AE992" s="7" t="str">
        <f t="shared" si="13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8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9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0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1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2"/>
        <v/>
      </c>
      <c r="AB993" s="4" t="str">
        <f t="array" ref="AB993">XLOOKUP(X993,'Dados Funil'!A:A,'Dados Funil'!O:O,"")</f>
        <v/>
      </c>
      <c r="AE993" s="7" t="str">
        <f t="shared" si="13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8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9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0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1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2"/>
        <v/>
      </c>
      <c r="AB994" s="4" t="str">
        <f t="array" ref="AB994">XLOOKUP(X994,'Dados Funil'!A:A,'Dados Funil'!O:O,"")</f>
        <v/>
      </c>
      <c r="AE994" s="7" t="str">
        <f t="shared" si="13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8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9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0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1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2"/>
        <v/>
      </c>
      <c r="AB995" s="4" t="str">
        <f t="array" ref="AB995">XLOOKUP(X995,'Dados Funil'!A:A,'Dados Funil'!O:O,"")</f>
        <v/>
      </c>
      <c r="AE995" s="7" t="str">
        <f t="shared" si="13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8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9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0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1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2"/>
        <v/>
      </c>
      <c r="AB996" s="4" t="str">
        <f t="array" ref="AB996">XLOOKUP(X996,'Dados Funil'!A:A,'Dados Funil'!O:O,"")</f>
        <v/>
      </c>
      <c r="AE996" s="7" t="str">
        <f t="shared" si="13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8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9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0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1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2"/>
        <v/>
      </c>
      <c r="AB997" s="4" t="str">
        <f t="array" ref="AB997">XLOOKUP(X997,'Dados Funil'!A:A,'Dados Funil'!O:O,"")</f>
        <v/>
      </c>
      <c r="AE997" s="7" t="str">
        <f t="shared" si="13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8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9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0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1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2"/>
        <v/>
      </c>
      <c r="AB998" s="4" t="str">
        <f t="array" ref="AB998">XLOOKUP(X998,'Dados Funil'!A:A,'Dados Funil'!O:O,"")</f>
        <v/>
      </c>
      <c r="AE998" s="7" t="str">
        <f t="shared" si="13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8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9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0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1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2"/>
        <v/>
      </c>
      <c r="AB999" s="4" t="str">
        <f t="array" ref="AB999">XLOOKUP(X999,'Dados Funil'!A:A,'Dados Funil'!O:O,"")</f>
        <v/>
      </c>
      <c r="AE999" s="7" t="str">
        <f t="shared" si="13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8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9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0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1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2"/>
        <v/>
      </c>
      <c r="AB1000" s="4" t="str">
        <f t="array" ref="AB1000">XLOOKUP(X1000,'Dados Funil'!A:A,'Dados Funil'!O:O,"")</f>
        <v/>
      </c>
      <c r="AE1000" s="7" t="str">
        <f t="shared" si="13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</v>
      </c>
      <c r="B1" s="1" t="s">
        <v>101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102</v>
      </c>
      <c r="B1" s="15" t="s">
        <v>103</v>
      </c>
      <c r="C1" s="15" t="s">
        <v>104</v>
      </c>
      <c r="D1" s="15" t="s">
        <v>105</v>
      </c>
      <c r="E1" s="16" t="s">
        <v>106</v>
      </c>
      <c r="F1" s="15" t="s">
        <v>107</v>
      </c>
      <c r="G1" s="15" t="s">
        <v>108</v>
      </c>
      <c r="H1" s="17" t="s">
        <v>109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110</v>
      </c>
      <c r="N1" s="15" t="s">
        <v>111</v>
      </c>
      <c r="O1" s="15" t="s">
        <v>112</v>
      </c>
      <c r="P1" s="15" t="s">
        <v>113</v>
      </c>
      <c r="Q1" s="15" t="s">
        <v>114</v>
      </c>
      <c r="R1" s="15" t="s">
        <v>115</v>
      </c>
      <c r="S1" s="15" t="s">
        <v>116</v>
      </c>
      <c r="T1" s="15" t="s">
        <v>117</v>
      </c>
      <c r="U1" s="15" t="s">
        <v>118</v>
      </c>
      <c r="V1" s="15" t="s">
        <v>119</v>
      </c>
      <c r="W1" s="15" t="s">
        <v>120</v>
      </c>
      <c r="X1" s="15" t="s">
        <v>121</v>
      </c>
      <c r="Y1" s="15" t="s">
        <v>122</v>
      </c>
      <c r="Z1" s="15" t="s">
        <v>123</v>
      </c>
      <c r="AA1" s="15" t="s">
        <v>124</v>
      </c>
      <c r="AB1" s="15" t="s">
        <v>125</v>
      </c>
      <c r="AC1" s="15" t="s">
        <v>126</v>
      </c>
      <c r="AD1" s="15" t="s">
        <v>127</v>
      </c>
      <c r="AE1" s="15" t="s">
        <v>128</v>
      </c>
      <c r="AF1" s="15" t="s">
        <v>129</v>
      </c>
      <c r="AG1" s="15" t="s">
        <v>130</v>
      </c>
      <c r="AH1" s="15" t="s">
        <v>131</v>
      </c>
      <c r="AI1" s="15" t="s">
        <v>132</v>
      </c>
      <c r="AJ1" s="15" t="s">
        <v>133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134</v>
      </c>
      <c r="AP1" s="15" t="s">
        <v>135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"),"[IM] Form Facebook Ads")</f>
        <v>[IM] Form Facebook Ads</v>
      </c>
      <c r="B2" s="18">
        <f>IFERROR(__xludf.DUMMYFUNCTION("""COMPUTED_VALUE"""),261.85483870967727)</f>
        <v>261.8548387</v>
      </c>
      <c r="C2" s="19">
        <f>IFERROR(__xludf.DUMMYFUNCTION("""COMPUTED_VALUE"""),307.0)</f>
        <v>307</v>
      </c>
      <c r="D2" s="20">
        <f>IFERROR(__xludf.DUMMYFUNCTION("""COMPUTED_VALUE"""),45.14516129032273)</f>
        <v>45.14516129</v>
      </c>
      <c r="E2" s="21">
        <f>IFERROR(__xludf.DUMMYFUNCTION("""COMPUTED_VALUE"""),0.17240529719741368)</f>
        <v>0.1724052972</v>
      </c>
      <c r="F2" s="22">
        <f>IFERROR(__xludf.DUMMYFUNCTION("""COMPUTED_VALUE"""),0.8)</f>
        <v>0.8</v>
      </c>
      <c r="G2" s="22">
        <f>IFERROR(__xludf.DUMMYFUNCTION("""COMPUTED_VALUE"""),0.755700325732899)</f>
        <v>0.7557003257</v>
      </c>
      <c r="H2" s="23">
        <f>IFERROR(__xludf.DUMMYFUNCTION("""COMPUTED_VALUE"""),-4.4299674267101015)</f>
        <v>-4.429967427</v>
      </c>
      <c r="I2" s="18">
        <f>IFERROR(__xludf.DUMMYFUNCTION("""COMPUTED_VALUE"""),209.48387096774184)</f>
        <v>209.483871</v>
      </c>
      <c r="J2" s="19">
        <f>IFERROR(__xludf.DUMMYFUNCTION("""COMPUTED_VALUE"""),232.0)</f>
        <v>232</v>
      </c>
      <c r="K2" s="20">
        <f>IFERROR(__xludf.DUMMYFUNCTION("""COMPUTED_VALUE"""),22.516129032258164)</f>
        <v>22.51612903</v>
      </c>
      <c r="L2" s="21">
        <f>IFERROR(__xludf.DUMMYFUNCTION("""COMPUTED_VALUE"""),0.10748383122882713)</f>
        <v>0.1074838312</v>
      </c>
      <c r="M2" s="24">
        <f>IFERROR(__xludf.DUMMYFUNCTION("""COMPUTED_VALUE"""),0.34)</f>
        <v>0.34</v>
      </c>
      <c r="N2" s="22">
        <f>IFERROR(__xludf.DUMMYFUNCTION("""COMPUTED_VALUE"""),0.23706896551724138)</f>
        <v>0.2370689655</v>
      </c>
      <c r="O2" s="25">
        <f>IFERROR(__xludf.DUMMYFUNCTION("""COMPUTED_VALUE"""),-10.293103448275865)</f>
        <v>-10.29310345</v>
      </c>
      <c r="P2" s="18">
        <f>IFERROR(__xludf.DUMMYFUNCTION("""COMPUTED_VALUE"""),71.43399999999998)</f>
        <v>71.434</v>
      </c>
      <c r="Q2" s="19">
        <f>IFERROR(__xludf.DUMMYFUNCTION("""COMPUTED_VALUE"""),55.0)</f>
        <v>55</v>
      </c>
      <c r="R2" s="20">
        <f>IFERROR(__xludf.DUMMYFUNCTION("""COMPUTED_VALUE"""),-16.433999999999983)</f>
        <v>-16.434</v>
      </c>
      <c r="S2" s="26">
        <f>IFERROR(__xludf.DUMMYFUNCTION("""COMPUTED_VALUE"""),-0.2300585155528178)</f>
        <v>-0.2300585156</v>
      </c>
      <c r="T2" s="22">
        <f>IFERROR(__xludf.DUMMYFUNCTION("""COMPUTED_VALUE"""),0.16)</f>
        <v>0.16</v>
      </c>
      <c r="U2" s="22">
        <f>IFERROR(__xludf.DUMMYFUNCTION("""COMPUTED_VALUE"""),0.07272727272727272)</f>
        <v>0.07272727273</v>
      </c>
      <c r="V2" s="23">
        <f>IFERROR(__xludf.DUMMYFUNCTION("""COMPUTED_VALUE"""),-8.727272727272728)</f>
        <v>-8.727272727</v>
      </c>
      <c r="W2" s="18">
        <f>IFERROR(__xludf.DUMMYFUNCTION("""COMPUTED_VALUE"""),11.429439999999998)</f>
        <v>11.42944</v>
      </c>
      <c r="X2" s="19">
        <f>IFERROR(__xludf.DUMMYFUNCTION("""COMPUTED_VALUE"""),4.0)</f>
        <v>4</v>
      </c>
      <c r="Y2" s="20">
        <f>IFERROR(__xludf.DUMMYFUNCTION("""COMPUTED_VALUE"""),-7.429439999999998)</f>
        <v>-7.42944</v>
      </c>
      <c r="Z2" s="27">
        <f>IFERROR(__xludf.DUMMYFUNCTION("""COMPUTED_VALUE"""),-0.6500265979785536)</f>
        <v>-0.650026598</v>
      </c>
      <c r="AA2" s="18">
        <f>IFERROR(__xludf.DUMMYFUNCTION("""COMPUTED_VALUE"""),29000.0)</f>
        <v>29000</v>
      </c>
      <c r="AB2" s="19">
        <f>IFERROR(__xludf.DUMMYFUNCTION("""COMPUTED_VALUE"""),32744.0)</f>
        <v>32744</v>
      </c>
      <c r="AC2" s="20">
        <f>IFERROR(__xludf.DUMMYFUNCTION("""COMPUTED_VALUE"""),3744.0)</f>
        <v>3744</v>
      </c>
      <c r="AD2" s="27">
        <f>IFERROR(__xludf.DUMMYFUNCTION("""COMPUTED_VALUE"""),0.12910344827586206)</f>
        <v>0.1291034483</v>
      </c>
      <c r="AE2" s="18">
        <f>IFERROR(__xludf.DUMMYFUNCTION("""COMPUTED_VALUE"""),255761.77407999997)</f>
        <v>255761.7741</v>
      </c>
      <c r="AF2" s="19">
        <f>IFERROR(__xludf.DUMMYFUNCTION("""COMPUTED_VALUE"""),130976.0)</f>
        <v>130976</v>
      </c>
      <c r="AG2" s="20">
        <f>IFERROR(__xludf.DUMMYFUNCTION("""COMPUTED_VALUE"""),-124785.77407999997)</f>
        <v>-124785.7741</v>
      </c>
      <c r="AH2" s="28">
        <f>IFERROR(__xludf.DUMMYFUNCTION("""COMPUTED_VALUE"""),-0.48789845366402607)</f>
        <v>-0.4878984537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"),35521.445161290474)</f>
        <v>35521.44516</v>
      </c>
      <c r="AJ2" s="29">
        <f>IFERROR(__xludf.DUMMYFUNCTION("""COMPUTED_VALUE"""),-235027.19999999998)</f>
        <v>-235027.2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"),4640.0)</f>
        <v>4640</v>
      </c>
      <c r="AL2" s="30">
        <f>IFERROR(__xludf.DUMMYFUNCTION("""COMPUTED_VALUE"""),2381.3818181818183)</f>
        <v>2381.381818</v>
      </c>
      <c r="AM2" s="29">
        <f t="shared" ref="AM2:AM16" si="1">AL2-AK2</f>
        <v>-2258.618182</v>
      </c>
      <c r="AN2" s="31">
        <f t="shared" ref="AN2:AN16" si="2">AM2/AK2</f>
        <v>-0.4867711599</v>
      </c>
      <c r="AO2" s="12">
        <f t="shared" ref="AO2:AO16" si="3">J2*(N2-M2)*AK2</f>
        <v>-110803.2</v>
      </c>
      <c r="AP2" s="12">
        <f t="shared" ref="AP2:AP16" si="4">J2*N2*AM2</f>
        <v>-124224</v>
      </c>
      <c r="AQ2" s="12">
        <f>SUMIFS(AP2:AP16,AP2:AP16,"&lt;"&amp;0)</f>
        <v>-362364.3498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IFERROR(__xludf.DUMMYFUNCTION("""COMPUTED_VALUE"""),"[SKL] Midia Paga - Quente")</f>
        <v>[SKL] Midia Paga - Quente</v>
      </c>
      <c r="B3" s="18">
        <f>IFERROR(__xludf.DUMMYFUNCTION("""COMPUTED_VALUE"""),471.61290322580624)</f>
        <v>471.6129032</v>
      </c>
      <c r="C3" s="19">
        <f>IFERROR(__xludf.DUMMYFUNCTION("""COMPUTED_VALUE"""),395.0)</f>
        <v>395</v>
      </c>
      <c r="D3" s="20">
        <f>IFERROR(__xludf.DUMMYFUNCTION("""COMPUTED_VALUE"""),-76.61290322580624)</f>
        <v>-76.61290323</v>
      </c>
      <c r="E3" s="21">
        <f>IFERROR(__xludf.DUMMYFUNCTION("""COMPUTED_VALUE"""),-0.16244870041039633)</f>
        <v>-0.1624487004</v>
      </c>
      <c r="F3" s="22">
        <f>IFERROR(__xludf.DUMMYFUNCTION("""COMPUTED_VALUE"""),0.8)</f>
        <v>0.8</v>
      </c>
      <c r="G3" s="22">
        <f>IFERROR(__xludf.DUMMYFUNCTION("""COMPUTED_VALUE"""),0.8)</f>
        <v>0.8</v>
      </c>
      <c r="H3" s="23">
        <f>IFERROR(__xludf.DUMMYFUNCTION("""COMPUTED_VALUE"""),0.0)</f>
        <v>0</v>
      </c>
      <c r="I3" s="18">
        <f>IFERROR(__xludf.DUMMYFUNCTION("""COMPUTED_VALUE"""),377.29032258064495)</f>
        <v>377.2903226</v>
      </c>
      <c r="J3" s="19">
        <f>IFERROR(__xludf.DUMMYFUNCTION("""COMPUTED_VALUE"""),316.0)</f>
        <v>316</v>
      </c>
      <c r="K3" s="20">
        <f>IFERROR(__xludf.DUMMYFUNCTION("""COMPUTED_VALUE"""),-61.290322580644954)</f>
        <v>-61.29032258</v>
      </c>
      <c r="L3" s="21">
        <f>IFERROR(__xludf.DUMMYFUNCTION("""COMPUTED_VALUE"""),-0.16244870041039625)</f>
        <v>-0.1624487004</v>
      </c>
      <c r="M3" s="24">
        <f>IFERROR(__xludf.DUMMYFUNCTION("""COMPUTED_VALUE"""),0.18939393939393942)</f>
        <v>0.1893939394</v>
      </c>
      <c r="N3" s="22">
        <f>IFERROR(__xludf.DUMMYFUNCTION("""COMPUTED_VALUE"""),0.17088607594936708)</f>
        <v>0.1708860759</v>
      </c>
      <c r="O3" s="25">
        <f>IFERROR(__xludf.DUMMYFUNCTION("""COMPUTED_VALUE"""),-1.8507863444572337)</f>
        <v>-1.850786344</v>
      </c>
      <c r="P3" s="18">
        <f>IFERROR(__xludf.DUMMYFUNCTION("""COMPUTED_VALUE"""),71.66666666666666)</f>
        <v>71.66666667</v>
      </c>
      <c r="Q3" s="19">
        <f>IFERROR(__xludf.DUMMYFUNCTION("""COMPUTED_VALUE"""),54.0)</f>
        <v>54</v>
      </c>
      <c r="R3" s="20">
        <f>IFERROR(__xludf.DUMMYFUNCTION("""COMPUTED_VALUE"""),-17.666666666666657)</f>
        <v>-17.66666667</v>
      </c>
      <c r="S3" s="26">
        <f>IFERROR(__xludf.DUMMYFUNCTION("""COMPUTED_VALUE"""),-0.24651162790697664)</f>
        <v>-0.2465116279</v>
      </c>
      <c r="T3" s="22">
        <f>IFERROR(__xludf.DUMMYFUNCTION("""COMPUTED_VALUE"""),0.2)</f>
        <v>0.2</v>
      </c>
      <c r="U3" s="22">
        <f>IFERROR(__xludf.DUMMYFUNCTION("""COMPUTED_VALUE"""),0.07407407407407407)</f>
        <v>0.07407407407</v>
      </c>
      <c r="V3" s="23">
        <f>IFERROR(__xludf.DUMMYFUNCTION("""COMPUTED_VALUE"""),-12.592592592592593)</f>
        <v>-12.59259259</v>
      </c>
      <c r="W3" s="18">
        <f>IFERROR(__xludf.DUMMYFUNCTION("""COMPUTED_VALUE"""),14.333333333333332)</f>
        <v>14.33333333</v>
      </c>
      <c r="X3" s="19">
        <f>IFERROR(__xludf.DUMMYFUNCTION("""COMPUTED_VALUE"""),4.0)</f>
        <v>4</v>
      </c>
      <c r="Y3" s="20">
        <f>IFERROR(__xludf.DUMMYFUNCTION("""COMPUTED_VALUE"""),-10.333333333333332)</f>
        <v>-10.33333333</v>
      </c>
      <c r="Z3" s="27">
        <f>IFERROR(__xludf.DUMMYFUNCTION("""COMPUTED_VALUE"""),-0.7209302325581395)</f>
        <v>-0.7209302326</v>
      </c>
      <c r="AA3" s="18">
        <f>IFERROR(__xludf.DUMMYFUNCTION("""COMPUTED_VALUE"""),16431.0)</f>
        <v>16431</v>
      </c>
      <c r="AB3" s="19">
        <f>IFERROR(__xludf.DUMMYFUNCTION("""COMPUTED_VALUE"""),10393.25)</f>
        <v>10393.25</v>
      </c>
      <c r="AC3" s="20">
        <f>IFERROR(__xludf.DUMMYFUNCTION("""COMPUTED_VALUE"""),-6037.75)</f>
        <v>-6037.75</v>
      </c>
      <c r="AD3" s="27">
        <f>IFERROR(__xludf.DUMMYFUNCTION("""COMPUTED_VALUE"""),-0.36746089708477875)</f>
        <v>-0.3674608971</v>
      </c>
      <c r="AE3" s="18">
        <f>IFERROR(__xludf.DUMMYFUNCTION("""COMPUTED_VALUE"""),181728.85163636366)</f>
        <v>181728.8516</v>
      </c>
      <c r="AF3" s="19">
        <f>IFERROR(__xludf.DUMMYFUNCTION("""COMPUTED_VALUE"""),41573.0)</f>
        <v>41573</v>
      </c>
      <c r="AG3" s="20">
        <f>IFERROR(__xludf.DUMMYFUNCTION("""COMPUTED_VALUE"""),-140155.85163636366)</f>
        <v>-140155.8516</v>
      </c>
      <c r="AH3" s="28">
        <f>IFERROR(__xludf.DUMMYFUNCTION("""COMPUTED_VALUE"""),-0.7712361046379863)</f>
        <v>-0.7712361046</v>
      </c>
      <c r="AI3" s="29">
        <f>IFERROR(__xludf.DUMMYFUNCTION("""COMPUTED_VALUE"""),-38146.26099706733)</f>
        <v>-38146.261</v>
      </c>
      <c r="AJ3" s="29">
        <f>IFERROR(__xludf.DUMMYFUNCTION("""COMPUTED_VALUE"""),-155101.09090909094)</f>
        <v>-155101.0909</v>
      </c>
      <c r="AK3" s="4">
        <f>IFERROR(__xludf.DUMMYFUNCTION("""COMPUTED_VALUE"""),3286.2000000000003)</f>
        <v>3286.2</v>
      </c>
      <c r="AL3" s="30">
        <f>IFERROR(__xludf.DUMMYFUNCTION("""COMPUTED_VALUE"""),769.8703703703703)</f>
        <v>769.8703704</v>
      </c>
      <c r="AM3" s="29">
        <f t="shared" si="1"/>
        <v>-2516.32963</v>
      </c>
      <c r="AN3" s="31">
        <f t="shared" si="2"/>
        <v>-0.7657262582</v>
      </c>
      <c r="AO3" s="12">
        <f t="shared" si="3"/>
        <v>-19219.29091</v>
      </c>
      <c r="AP3" s="12">
        <f t="shared" si="4"/>
        <v>-135881.8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IFERROR(__xludf.DUMMYFUNCTION("""COMPUTED_VALUE"""),"[SKL] Outros")</f>
        <v>[SKL] Outros</v>
      </c>
      <c r="B4" s="18">
        <f>IFERROR(__xludf.DUMMYFUNCTION("""COMPUTED_VALUE"""),230.03467741935475)</f>
        <v>230.0346774</v>
      </c>
      <c r="C4" s="19">
        <f>IFERROR(__xludf.DUMMYFUNCTION("""COMPUTED_VALUE"""),56.0)</f>
        <v>56</v>
      </c>
      <c r="D4" s="20">
        <f>IFERROR(__xludf.DUMMYFUNCTION("""COMPUTED_VALUE"""),-174.03467741935475)</f>
        <v>-174.0346774</v>
      </c>
      <c r="E4" s="21">
        <f>IFERROR(__xludf.DUMMYFUNCTION("""COMPUTED_VALUE"""),-0.7565584431519791)</f>
        <v>-0.7565584432</v>
      </c>
      <c r="F4" s="22">
        <f>IFERROR(__xludf.DUMMYFUNCTION("""COMPUTED_VALUE"""),0.8247809762202754)</f>
        <v>0.8247809762</v>
      </c>
      <c r="G4" s="22">
        <f>IFERROR(__xludf.DUMMYFUNCTION("""COMPUTED_VALUE"""),0.8928571428571429)</f>
        <v>0.8928571429</v>
      </c>
      <c r="H4" s="23">
        <f>IFERROR(__xludf.DUMMYFUNCTION("""COMPUTED_VALUE"""),6.807616663686755)</f>
        <v>6.807616664</v>
      </c>
      <c r="I4" s="18">
        <f>IFERROR(__xludf.DUMMYFUNCTION("""COMPUTED_VALUE"""),189.72822580645155)</f>
        <v>189.7282258</v>
      </c>
      <c r="J4" s="19">
        <f>IFERROR(__xludf.DUMMYFUNCTION("""COMPUTED_VALUE"""),50.0)</f>
        <v>50</v>
      </c>
      <c r="K4" s="20">
        <f>IFERROR(__xludf.DUMMYFUNCTION("""COMPUTED_VALUE"""),-139.72822580645155)</f>
        <v>-139.7282258</v>
      </c>
      <c r="L4" s="21">
        <f>IFERROR(__xludf.DUMMYFUNCTION("""COMPUTED_VALUE"""),-0.7364651475157589)</f>
        <v>-0.7364651475</v>
      </c>
      <c r="M4" s="24">
        <f>IFERROR(__xludf.DUMMYFUNCTION("""COMPUTED_VALUE"""),0.26251896813353565)</f>
        <v>0.2625189681</v>
      </c>
      <c r="N4" s="22">
        <f>IFERROR(__xludf.DUMMYFUNCTION("""COMPUTED_VALUE"""),0.46)</f>
        <v>0.46</v>
      </c>
      <c r="O4" s="25">
        <f>IFERROR(__xludf.DUMMYFUNCTION("""COMPUTED_VALUE"""),19.74810318664644)</f>
        <v>19.74810319</v>
      </c>
      <c r="P4" s="18">
        <f>IFERROR(__xludf.DUMMYFUNCTION("""COMPUTED_VALUE"""),49.95374999999999)</f>
        <v>49.95375</v>
      </c>
      <c r="Q4" s="19">
        <f>IFERROR(__xludf.DUMMYFUNCTION("""COMPUTED_VALUE"""),23.0)</f>
        <v>23</v>
      </c>
      <c r="R4" s="20">
        <f>IFERROR(__xludf.DUMMYFUNCTION("""COMPUTED_VALUE"""),-26.953749999999992)</f>
        <v>-26.95375</v>
      </c>
      <c r="S4" s="26">
        <f>IFERROR(__xludf.DUMMYFUNCTION("""COMPUTED_VALUE"""),-0.5395741060480944)</f>
        <v>-0.539574106</v>
      </c>
      <c r="T4" s="22">
        <f>IFERROR(__xludf.DUMMYFUNCTION("""COMPUTED_VALUE"""),0.2138728323699422)</f>
        <v>0.2138728324</v>
      </c>
      <c r="U4" s="22">
        <f>IFERROR(__xludf.DUMMYFUNCTION("""COMPUTED_VALUE"""),0.17391304347826086)</f>
        <v>0.1739130435</v>
      </c>
      <c r="V4" s="23">
        <f>IFERROR(__xludf.DUMMYFUNCTION("""COMPUTED_VALUE"""),-3.995978889168134)</f>
        <v>-3.995978889</v>
      </c>
      <c r="W4" s="18">
        <f>IFERROR(__xludf.DUMMYFUNCTION("""COMPUTED_VALUE"""),10.68375)</f>
        <v>10.68375</v>
      </c>
      <c r="X4" s="19">
        <f>IFERROR(__xludf.DUMMYFUNCTION("""COMPUTED_VALUE"""),4.0)</f>
        <v>4</v>
      </c>
      <c r="Y4" s="20">
        <f>IFERROR(__xludf.DUMMYFUNCTION("""COMPUTED_VALUE"""),-6.68375)</f>
        <v>-6.68375</v>
      </c>
      <c r="Z4" s="27">
        <f>IFERROR(__xludf.DUMMYFUNCTION("""COMPUTED_VALUE"""),-0.6255996255996256)</f>
        <v>-0.6255996256</v>
      </c>
      <c r="AA4" s="18">
        <f>IFERROR(__xludf.DUMMYFUNCTION("""COMPUTED_VALUE"""),19940.0)</f>
        <v>19940</v>
      </c>
      <c r="AB4" s="19">
        <f>IFERROR(__xludf.DUMMYFUNCTION("""COMPUTED_VALUE"""),21109.0)</f>
        <v>21109</v>
      </c>
      <c r="AC4" s="20">
        <f>IFERROR(__xludf.DUMMYFUNCTION("""COMPUTED_VALUE"""),1169.0)</f>
        <v>1169</v>
      </c>
      <c r="AD4" s="27">
        <f>IFERROR(__xludf.DUMMYFUNCTION("""COMPUTED_VALUE"""),0.0586258776328987)</f>
        <v>0.05862587763</v>
      </c>
      <c r="AE4" s="18">
        <f>IFERROR(__xludf.DUMMYFUNCTION("""COMPUTED_VALUE"""),164384.7618)</f>
        <v>164384.7618</v>
      </c>
      <c r="AF4" s="19">
        <f>IFERROR(__xludf.DUMMYFUNCTION("""COMPUTED_VALUE"""),84436.0)</f>
        <v>84436</v>
      </c>
      <c r="AG4" s="20">
        <f>IFERROR(__xludf.DUMMYFUNCTION("""COMPUTED_VALUE"""),-79948.76180000001)</f>
        <v>-79948.7618</v>
      </c>
      <c r="AH4" s="28">
        <f>IFERROR(__xludf.DUMMYFUNCTION("""COMPUTED_VALUE"""),-0.4863514167892903)</f>
        <v>-0.4863514168</v>
      </c>
      <c r="AI4" s="29">
        <f>IFERROR(__xludf.DUMMYFUNCTION("""COMPUTED_VALUE"""),-156432.0036957266)</f>
        <v>-156432.0037</v>
      </c>
      <c r="AJ4" s="29">
        <f>IFERROR(__xludf.DUMMYFUNCTION("""COMPUTED_VALUE"""),28458.761760242793)</f>
        <v>28458.76176</v>
      </c>
      <c r="AK4" s="4">
        <f>IFERROR(__xludf.DUMMYFUNCTION("""COMPUTED_VALUE"""),4264.624277456647)</f>
        <v>4264.624277</v>
      </c>
      <c r="AL4" s="30">
        <f>IFERROR(__xludf.DUMMYFUNCTION("""COMPUTED_VALUE"""),3671.1304347826085)</f>
        <v>3671.130435</v>
      </c>
      <c r="AM4" s="29">
        <f t="shared" si="1"/>
        <v>-593.4938427</v>
      </c>
      <c r="AN4" s="31">
        <f t="shared" si="2"/>
        <v>-0.1391667364</v>
      </c>
      <c r="AO4" s="12">
        <f t="shared" si="3"/>
        <v>42109.12014</v>
      </c>
      <c r="AP4" s="12">
        <f t="shared" si="4"/>
        <v>-13650.35838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IFERROR(__xludf.DUMMYFUNCTION("""COMPUTED_VALUE"""),"[SKL] CRM - WhatsApp")</f>
        <v>[SKL] CRM - WhatsApp</v>
      </c>
      <c r="B5" s="18">
        <f>IFERROR(__xludf.DUMMYFUNCTION("""COMPUTED_VALUE"""),267.50322580645144)</f>
        <v>267.5032258</v>
      </c>
      <c r="C5" s="19">
        <f>IFERROR(__xludf.DUMMYFUNCTION("""COMPUTED_VALUE"""),215.0)</f>
        <v>215</v>
      </c>
      <c r="D5" s="20">
        <f>IFERROR(__xludf.DUMMYFUNCTION("""COMPUTED_VALUE"""),-52.50322580645144)</f>
        <v>-52.50322581</v>
      </c>
      <c r="E5" s="21">
        <f>IFERROR(__xludf.DUMMYFUNCTION("""COMPUTED_VALUE"""),-0.19627137447845014)</f>
        <v>-0.1962713745</v>
      </c>
      <c r="F5" s="22">
        <f>IFERROR(__xludf.DUMMYFUNCTION("""COMPUTED_VALUE"""),0.861008610086101)</f>
        <v>0.8610086101</v>
      </c>
      <c r="G5" s="22">
        <f>IFERROR(__xludf.DUMMYFUNCTION("""COMPUTED_VALUE"""),0.8372093023255814)</f>
        <v>0.8372093023</v>
      </c>
      <c r="H5" s="23">
        <f>IFERROR(__xludf.DUMMYFUNCTION("""COMPUTED_VALUE"""),-2.379930776051953)</f>
        <v>-2.379930776</v>
      </c>
      <c r="I5" s="18">
        <f>IFERROR(__xludf.DUMMYFUNCTION("""COMPUTED_VALUE"""),230.32258064516117)</f>
        <v>230.3225806</v>
      </c>
      <c r="J5" s="19">
        <f>IFERROR(__xludf.DUMMYFUNCTION("""COMPUTED_VALUE"""),180.0)</f>
        <v>180</v>
      </c>
      <c r="K5" s="20">
        <f>IFERROR(__xludf.DUMMYFUNCTION("""COMPUTED_VALUE"""),-50.32258064516117)</f>
        <v>-50.32258065</v>
      </c>
      <c r="L5" s="21">
        <f>IFERROR(__xludf.DUMMYFUNCTION("""COMPUTED_VALUE"""),-0.21848739495798278)</f>
        <v>-0.218487395</v>
      </c>
      <c r="M5" s="24">
        <f>IFERROR(__xludf.DUMMYFUNCTION("""COMPUTED_VALUE"""),0.2014285714285714)</f>
        <v>0.2014285714</v>
      </c>
      <c r="N5" s="22">
        <f>IFERROR(__xludf.DUMMYFUNCTION("""COMPUTED_VALUE"""),0.14444444444444443)</f>
        <v>0.1444444444</v>
      </c>
      <c r="O5" s="25">
        <f>IFERROR(__xludf.DUMMYFUNCTION("""COMPUTED_VALUE"""),-5.698412698412697)</f>
        <v>-5.698412698</v>
      </c>
      <c r="P5" s="18">
        <f>IFERROR(__xludf.DUMMYFUNCTION("""COMPUTED_VALUE"""),46.529999999999994)</f>
        <v>46.53</v>
      </c>
      <c r="Q5" s="19">
        <f>IFERROR(__xludf.DUMMYFUNCTION("""COMPUTED_VALUE"""),26.0)</f>
        <v>26</v>
      </c>
      <c r="R5" s="20">
        <f>IFERROR(__xludf.DUMMYFUNCTION("""COMPUTED_VALUE"""),-20.529999999999994)</f>
        <v>-20.53</v>
      </c>
      <c r="S5" s="26">
        <f>IFERROR(__xludf.DUMMYFUNCTION("""COMPUTED_VALUE"""),-0.44122071781646244)</f>
        <v>-0.4412207178</v>
      </c>
      <c r="T5" s="22">
        <f>IFERROR(__xludf.DUMMYFUNCTION("""COMPUTED_VALUE"""),0.14893617021276595)</f>
        <v>0.1489361702</v>
      </c>
      <c r="U5" s="22">
        <f>IFERROR(__xludf.DUMMYFUNCTION("""COMPUTED_VALUE"""),0.038461538461538464)</f>
        <v>0.03846153846</v>
      </c>
      <c r="V5" s="23">
        <f>IFERROR(__xludf.DUMMYFUNCTION("""COMPUTED_VALUE"""),-11.047463175122749)</f>
        <v>-11.04746318</v>
      </c>
      <c r="W5" s="18">
        <f>IFERROR(__xludf.DUMMYFUNCTION("""COMPUTED_VALUE"""),6.929999999999998)</f>
        <v>6.93</v>
      </c>
      <c r="X5" s="19">
        <f>IFERROR(__xludf.DUMMYFUNCTION("""COMPUTED_VALUE"""),1.0)</f>
        <v>1</v>
      </c>
      <c r="Y5" s="20">
        <f>IFERROR(__xludf.DUMMYFUNCTION("""COMPUTED_VALUE"""),-5.929999999999998)</f>
        <v>-5.93</v>
      </c>
      <c r="Z5" s="27">
        <f>IFERROR(__xludf.DUMMYFUNCTION("""COMPUTED_VALUE"""),-0.8556998556998556)</f>
        <v>-0.8556998557</v>
      </c>
      <c r="AA5" s="18">
        <f>IFERROR(__xludf.DUMMYFUNCTION("""COMPUTED_VALUE"""),14171.0)</f>
        <v>14171</v>
      </c>
      <c r="AB5" s="19">
        <f>IFERROR(__xludf.DUMMYFUNCTION("""COMPUTED_VALUE"""),13800.0)</f>
        <v>13800</v>
      </c>
      <c r="AC5" s="20">
        <f>IFERROR(__xludf.DUMMYFUNCTION("""COMPUTED_VALUE"""),-371.0)</f>
        <v>-371</v>
      </c>
      <c r="AD5" s="27">
        <f>IFERROR(__xludf.DUMMYFUNCTION("""COMPUTED_VALUE"""),-0.026180227224613647)</f>
        <v>-0.02618022722</v>
      </c>
      <c r="AE5" s="18">
        <f>IFERROR(__xludf.DUMMYFUNCTION("""COMPUTED_VALUE"""),75778.57224)</f>
        <v>75778.57224</v>
      </c>
      <c r="AF5" s="19">
        <f>IFERROR(__xludf.DUMMYFUNCTION("""COMPUTED_VALUE"""),13800.0)</f>
        <v>13800</v>
      </c>
      <c r="AG5" s="20">
        <f>IFERROR(__xludf.DUMMYFUNCTION("""COMPUTED_VALUE"""),-61978.572239999994)</f>
        <v>-61978.57224</v>
      </c>
      <c r="AH5" s="28">
        <f>IFERROR(__xludf.DUMMYFUNCTION("""COMPUTED_VALUE"""),-0.8178904723053674)</f>
        <v>-0.8178904723</v>
      </c>
      <c r="AI5" s="29">
        <f>IFERROR(__xludf.DUMMYFUNCTION("""COMPUTED_VALUE"""),-21393.638709677365)</f>
        <v>-21393.63871</v>
      </c>
      <c r="AJ5" s="29">
        <f>IFERROR(__xludf.DUMMYFUNCTION("""COMPUTED_VALUE"""),-62723.39999999999)</f>
        <v>-62723.4</v>
      </c>
      <c r="AK5" s="4">
        <f>IFERROR(__xludf.DUMMYFUNCTION("""COMPUTED_VALUE"""),2110.574468085106)</f>
        <v>2110.574468</v>
      </c>
      <c r="AL5" s="30">
        <f>IFERROR(__xludf.DUMMYFUNCTION("""COMPUTED_VALUE"""),530.7692307692307)</f>
        <v>530.7692308</v>
      </c>
      <c r="AM5" s="29">
        <f t="shared" si="1"/>
        <v>-1579.805237</v>
      </c>
      <c r="AN5" s="31">
        <f t="shared" si="2"/>
        <v>-0.7485190697</v>
      </c>
      <c r="AO5" s="12">
        <f t="shared" si="3"/>
        <v>-21648.46383</v>
      </c>
      <c r="AP5" s="12">
        <f t="shared" si="4"/>
        <v>-41074.93617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CRM - Email")</f>
        <v>[SKL] CRM - Email</v>
      </c>
      <c r="B6" s="18">
        <f>IFERROR(__xludf.DUMMYFUNCTION("""COMPUTED_VALUE"""),180.11225806451603)</f>
        <v>180.1122581</v>
      </c>
      <c r="C6" s="19">
        <f>IFERROR(__xludf.DUMMYFUNCTION("""COMPUTED_VALUE"""),55.0)</f>
        <v>55</v>
      </c>
      <c r="D6" s="20">
        <f>IFERROR(__xludf.DUMMYFUNCTION("""COMPUTED_VALUE"""),-125.11225806451603)</f>
        <v>-125.1122581</v>
      </c>
      <c r="E6" s="21">
        <f>IFERROR(__xludf.DUMMYFUNCTION("""COMPUTED_VALUE"""),-0.6946348872029628)</f>
        <v>-0.6946348872</v>
      </c>
      <c r="F6" s="22">
        <f>IFERROR(__xludf.DUMMYFUNCTION("""COMPUTED_VALUE"""),0.7950310559006212)</f>
        <v>0.7950310559</v>
      </c>
      <c r="G6" s="22">
        <f>IFERROR(__xludf.DUMMYFUNCTION("""COMPUTED_VALUE"""),0.7636363636363637)</f>
        <v>0.7636363636</v>
      </c>
      <c r="H6" s="23">
        <f>IFERROR(__xludf.DUMMYFUNCTION("""COMPUTED_VALUE"""),-3.1394692264257507)</f>
        <v>-3.139469226</v>
      </c>
      <c r="I6" s="18">
        <f>IFERROR(__xludf.DUMMYFUNCTION("""COMPUTED_VALUE"""),143.19483870967736)</f>
        <v>143.1948387</v>
      </c>
      <c r="J6" s="19">
        <f>IFERROR(__xludf.DUMMYFUNCTION("""COMPUTED_VALUE"""),42.0)</f>
        <v>42</v>
      </c>
      <c r="K6" s="20">
        <f>IFERROR(__xludf.DUMMYFUNCTION("""COMPUTED_VALUE"""),-101.19483870967736)</f>
        <v>-101.1948387</v>
      </c>
      <c r="L6" s="21">
        <f>IFERROR(__xludf.DUMMYFUNCTION("""COMPUTED_VALUE"""),-0.7066933391003459)</f>
        <v>-0.7066933391</v>
      </c>
      <c r="M6" s="24">
        <f>IFERROR(__xludf.DUMMYFUNCTION("""COMPUTED_VALUE"""),0.19140625)</f>
        <v>0.19140625</v>
      </c>
      <c r="N6" s="22">
        <f>IFERROR(__xludf.DUMMYFUNCTION("""COMPUTED_VALUE"""),0.2857142857142857)</f>
        <v>0.2857142857</v>
      </c>
      <c r="O6" s="25">
        <f>IFERROR(__xludf.DUMMYFUNCTION("""COMPUTED_VALUE"""),9.43080357142857)</f>
        <v>9.430803571</v>
      </c>
      <c r="P6" s="18">
        <f>IFERROR(__xludf.DUMMYFUNCTION("""COMPUTED_VALUE"""),27.488999999999997)</f>
        <v>27.489</v>
      </c>
      <c r="Q6" s="19">
        <f>IFERROR(__xludf.DUMMYFUNCTION("""COMPUTED_VALUE"""),12.0)</f>
        <v>12</v>
      </c>
      <c r="R6" s="20">
        <f>IFERROR(__xludf.DUMMYFUNCTION("""COMPUTED_VALUE"""),-15.488999999999997)</f>
        <v>-15.489</v>
      </c>
      <c r="S6" s="26">
        <f>IFERROR(__xludf.DUMMYFUNCTION("""COMPUTED_VALUE"""),-0.5634617483356978)</f>
        <v>-0.5634617483</v>
      </c>
      <c r="T6" s="22">
        <f>IFERROR(__xludf.DUMMYFUNCTION("""COMPUTED_VALUE"""),0.18)</f>
        <v>0.18</v>
      </c>
      <c r="U6" s="22">
        <f>IFERROR(__xludf.DUMMYFUNCTION("""COMPUTED_VALUE"""),0.08333333333333333)</f>
        <v>0.08333333333</v>
      </c>
      <c r="V6" s="23">
        <f>IFERROR(__xludf.DUMMYFUNCTION("""COMPUTED_VALUE"""),-9.666666666666666)</f>
        <v>-9.666666667</v>
      </c>
      <c r="W6" s="18">
        <f>IFERROR(__xludf.DUMMYFUNCTION("""COMPUTED_VALUE"""),4.948019999999999)</f>
        <v>4.94802</v>
      </c>
      <c r="X6" s="19">
        <f>IFERROR(__xludf.DUMMYFUNCTION("""COMPUTED_VALUE"""),1.0)</f>
        <v>1</v>
      </c>
      <c r="Y6" s="20">
        <f>IFERROR(__xludf.DUMMYFUNCTION("""COMPUTED_VALUE"""),-3.9480199999999988)</f>
        <v>-3.94802</v>
      </c>
      <c r="Z6" s="27">
        <f>IFERROR(__xludf.DUMMYFUNCTION("""COMPUTED_VALUE"""),-0.797898957562823)</f>
        <v>-0.7978989576</v>
      </c>
      <c r="AA6" s="18">
        <f>IFERROR(__xludf.DUMMYFUNCTION("""COMPUTED_VALUE"""),14970.0)</f>
        <v>14970</v>
      </c>
      <c r="AB6" s="19">
        <f>IFERROR(__xludf.DUMMYFUNCTION("""COMPUTED_VALUE"""),21900.0)</f>
        <v>21900</v>
      </c>
      <c r="AC6" s="20">
        <f>IFERROR(__xludf.DUMMYFUNCTION("""COMPUTED_VALUE"""),6930.0)</f>
        <v>6930</v>
      </c>
      <c r="AD6" s="27">
        <f>IFERROR(__xludf.DUMMYFUNCTION("""COMPUTED_VALUE"""),0.46292585170340683)</f>
        <v>0.4629258517</v>
      </c>
      <c r="AE6" s="18">
        <f>IFERROR(__xludf.DUMMYFUNCTION("""COMPUTED_VALUE"""),57156.54023519999)</f>
        <v>57156.54024</v>
      </c>
      <c r="AF6" s="19">
        <f>IFERROR(__xludf.DUMMYFUNCTION("""COMPUTED_VALUE"""),21900.0)</f>
        <v>21900</v>
      </c>
      <c r="AG6" s="20">
        <f>IFERROR(__xludf.DUMMYFUNCTION("""COMPUTED_VALUE"""),-35256.54023519999)</f>
        <v>-35256.54024</v>
      </c>
      <c r="AH6" s="28">
        <f>IFERROR(__xludf.DUMMYFUNCTION("""COMPUTED_VALUE"""),-0.6168417488203243)</f>
        <v>-0.6168417488</v>
      </c>
      <c r="AI6" s="29">
        <f>IFERROR(__xludf.DUMMYFUNCTION("""COMPUTED_VALUE"""),0.0)</f>
        <v>0</v>
      </c>
      <c r="AJ6" s="29">
        <f>IFERROR(__xludf.DUMMYFUNCTION("""COMPUTED_VALUE"""),21900.0)</f>
        <v>21900</v>
      </c>
      <c r="AK6" s="4">
        <f>IFERROR(__xludf.DUMMYFUNCTION("""COMPUTED_VALUE"""),2694.5999999999995)</f>
        <v>2694.6</v>
      </c>
      <c r="AL6" s="30">
        <f>IFERROR(__xludf.DUMMYFUNCTION("""COMPUTED_VALUE"""),1825.0)</f>
        <v>1825</v>
      </c>
      <c r="AM6" s="29">
        <f t="shared" si="1"/>
        <v>-869.6</v>
      </c>
      <c r="AN6" s="31">
        <f t="shared" si="2"/>
        <v>-0.3227195131</v>
      </c>
      <c r="AO6" s="12">
        <f t="shared" si="3"/>
        <v>10673.14219</v>
      </c>
      <c r="AP6" s="12">
        <f t="shared" si="4"/>
        <v>-10435.2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IFERROR(__xludf.DUMMYFUNCTION("""COMPUTED_VALUE"""),"[SKL] Site")</f>
        <v>[SKL] Site</v>
      </c>
      <c r="B7" s="18">
        <f>IFERROR(__xludf.DUMMYFUNCTION("""COMPUTED_VALUE"""),114.61290322580639)</f>
        <v>114.6129032</v>
      </c>
      <c r="C7" s="19">
        <f>IFERROR(__xludf.DUMMYFUNCTION("""COMPUTED_VALUE"""),87.0)</f>
        <v>87</v>
      </c>
      <c r="D7" s="20">
        <f>IFERROR(__xludf.DUMMYFUNCTION("""COMPUTED_VALUE"""),-27.61290322580639)</f>
        <v>-27.61290323</v>
      </c>
      <c r="E7" s="21">
        <f>IFERROR(__xludf.DUMMYFUNCTION("""COMPUTED_VALUE"""),-0.24092316352378232)</f>
        <v>-0.2409231635</v>
      </c>
      <c r="F7" s="22">
        <f>IFERROR(__xludf.DUMMYFUNCTION("""COMPUTED_VALUE"""),0.8007968127490039)</f>
        <v>0.8007968127</v>
      </c>
      <c r="G7" s="22">
        <f>IFERROR(__xludf.DUMMYFUNCTION("""COMPUTED_VALUE"""),0.7816091954022989)</f>
        <v>0.7816091954</v>
      </c>
      <c r="H7" s="23">
        <f>IFERROR(__xludf.DUMMYFUNCTION("""COMPUTED_VALUE"""),-1.9187617346705044)</f>
        <v>-1.918761735</v>
      </c>
      <c r="I7" s="18">
        <f>IFERROR(__xludf.DUMMYFUNCTION("""COMPUTED_VALUE"""),91.7816476031358)</f>
        <v>91.7816476</v>
      </c>
      <c r="J7" s="19">
        <f>IFERROR(__xludf.DUMMYFUNCTION("""COMPUTED_VALUE"""),68.0)</f>
        <v>68</v>
      </c>
      <c r="K7" s="20">
        <f>IFERROR(__xludf.DUMMYFUNCTION("""COMPUTED_VALUE"""),-23.781647603135795)</f>
        <v>-23.7816476</v>
      </c>
      <c r="L7" s="21">
        <f>IFERROR(__xludf.DUMMYFUNCTION("""COMPUTED_VALUE"""),-0.2591111428503412)</f>
        <v>-0.2591111429</v>
      </c>
      <c r="M7" s="24">
        <f>IFERROR(__xludf.DUMMYFUNCTION("""COMPUTED_VALUE"""),0.21393034825870647)</f>
        <v>0.2139303483</v>
      </c>
      <c r="N7" s="22">
        <f>IFERROR(__xludf.DUMMYFUNCTION("""COMPUTED_VALUE"""),0.16176470588235295)</f>
        <v>0.1617647059</v>
      </c>
      <c r="O7" s="25">
        <f>IFERROR(__xludf.DUMMYFUNCTION("""COMPUTED_VALUE"""),-5.216564237635351)</f>
        <v>-5.216564238</v>
      </c>
      <c r="P7" s="18">
        <f>IFERROR(__xludf.DUMMYFUNCTION("""COMPUTED_VALUE"""),19.69262948207171)</f>
        <v>19.69262948</v>
      </c>
      <c r="Q7" s="19">
        <f>IFERROR(__xludf.DUMMYFUNCTION("""COMPUTED_VALUE"""),11.0)</f>
        <v>11</v>
      </c>
      <c r="R7" s="20">
        <f>IFERROR(__xludf.DUMMYFUNCTION("""COMPUTED_VALUE"""),-8.692629482071709)</f>
        <v>-8.692629482</v>
      </c>
      <c r="S7" s="26">
        <f>IFERROR(__xludf.DUMMYFUNCTION("""COMPUTED_VALUE"""),-0.4414153777678868)</f>
        <v>-0.4414153778</v>
      </c>
      <c r="T7" s="22">
        <f>IFERROR(__xludf.DUMMYFUNCTION("""COMPUTED_VALUE"""),0.20930232558139536)</f>
        <v>0.2093023256</v>
      </c>
      <c r="U7" s="22">
        <f>IFERROR(__xludf.DUMMYFUNCTION("""COMPUTED_VALUE"""),0.2727272727272727)</f>
        <v>0.2727272727</v>
      </c>
      <c r="V7" s="23">
        <f>IFERROR(__xludf.DUMMYFUNCTION("""COMPUTED_VALUE"""),6.342494714587735)</f>
        <v>6.342494715</v>
      </c>
      <c r="W7" s="18">
        <f>IFERROR(__xludf.DUMMYFUNCTION("""COMPUTED_VALUE"""),4.121713147410357)</f>
        <v>4.121713147</v>
      </c>
      <c r="X7" s="19">
        <f>IFERROR(__xludf.DUMMYFUNCTION("""COMPUTED_VALUE"""),3.0)</f>
        <v>3</v>
      </c>
      <c r="Y7" s="20">
        <f>IFERROR(__xludf.DUMMYFUNCTION("""COMPUTED_VALUE"""),-1.1217131474103574)</f>
        <v>-1.121713147</v>
      </c>
      <c r="Z7" s="27">
        <f>IFERROR(__xludf.DUMMYFUNCTION("""COMPUTED_VALUE"""),-0.2721473104248222)</f>
        <v>-0.2721473104</v>
      </c>
      <c r="AA7" s="18">
        <f>IFERROR(__xludf.DUMMYFUNCTION("""COMPUTED_VALUE"""),17555.0)</f>
        <v>17555</v>
      </c>
      <c r="AB7" s="19">
        <f>IFERROR(__xludf.DUMMYFUNCTION("""COMPUTED_VALUE"""),11251.5)</f>
        <v>11251.5</v>
      </c>
      <c r="AC7" s="20">
        <f>IFERROR(__xludf.DUMMYFUNCTION("""COMPUTED_VALUE"""),-6303.5)</f>
        <v>-6303.5</v>
      </c>
      <c r="AD7" s="27">
        <f>IFERROR(__xludf.DUMMYFUNCTION("""COMPUTED_VALUE"""),-0.3590714896041014)</f>
        <v>-0.3590714896</v>
      </c>
      <c r="AE7" s="18">
        <f>IFERROR(__xludf.DUMMYFUNCTION("""COMPUTED_VALUE"""),55833.0410438247)</f>
        <v>55833.04104</v>
      </c>
      <c r="AF7" s="19">
        <f>IFERROR(__xludf.DUMMYFUNCTION("""COMPUTED_VALUE"""),33754.5)</f>
        <v>33754.5</v>
      </c>
      <c r="AG7" s="20">
        <f>IFERROR(__xludf.DUMMYFUNCTION("""COMPUTED_VALUE"""),-22078.541043824698)</f>
        <v>-22078.54104</v>
      </c>
      <c r="AH7" s="28">
        <f>IFERROR(__xludf.DUMMYFUNCTION("""COMPUTED_VALUE"""),-0.39543862614423453)</f>
        <v>-0.3954386261</v>
      </c>
      <c r="AI7" s="29">
        <f>IFERROR(__xludf.DUMMYFUNCTION("""COMPUTED_VALUE"""),0.0)</f>
        <v>0</v>
      </c>
      <c r="AJ7" s="29">
        <f>IFERROR(__xludf.DUMMYFUNCTION("""COMPUTED_VALUE"""),33754.5)</f>
        <v>33754.5</v>
      </c>
      <c r="AK7" s="4">
        <f>IFERROR(__xludf.DUMMYFUNCTION("""COMPUTED_VALUE"""),3674.3023255813955)</f>
        <v>3674.302326</v>
      </c>
      <c r="AL7" s="30">
        <f>IFERROR(__xludf.DUMMYFUNCTION("""COMPUTED_VALUE"""),3068.590909090909)</f>
        <v>3068.590909</v>
      </c>
      <c r="AM7" s="29">
        <f t="shared" si="1"/>
        <v>-605.7114165</v>
      </c>
      <c r="AN7" s="31">
        <f t="shared" si="2"/>
        <v>-0.1648507289</v>
      </c>
      <c r="AO7" s="12">
        <f t="shared" si="3"/>
        <v>-13033.71919</v>
      </c>
      <c r="AP7" s="12">
        <f t="shared" si="4"/>
        <v>-6662.825581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IFERROR(__xludf.DUMMYFUNCTION("""COMPUTED_VALUE"""),"[SKL] Social")</f>
        <v>[SKL] Social</v>
      </c>
      <c r="B8" s="18">
        <f>IFERROR(__xludf.DUMMYFUNCTION("""COMPUTED_VALUE"""),219.35483870967732)</f>
        <v>219.3548387</v>
      </c>
      <c r="C8" s="19">
        <f>IFERROR(__xludf.DUMMYFUNCTION("""COMPUTED_VALUE"""),70.0)</f>
        <v>70</v>
      </c>
      <c r="D8" s="20">
        <f>IFERROR(__xludf.DUMMYFUNCTION("""COMPUTED_VALUE"""),-149.35483870967732)</f>
        <v>-149.3548387</v>
      </c>
      <c r="E8" s="21">
        <f>IFERROR(__xludf.DUMMYFUNCTION("""COMPUTED_VALUE"""),-0.6808823529411764)</f>
        <v>-0.6808823529</v>
      </c>
      <c r="F8" s="22">
        <f>IFERROR(__xludf.DUMMYFUNCTION("""COMPUTED_VALUE"""),0.7569528415961305)</f>
        <v>0.7569528416</v>
      </c>
      <c r="G8" s="22">
        <f>IFERROR(__xludf.DUMMYFUNCTION("""COMPUTED_VALUE"""),0.8)</f>
        <v>0.8</v>
      </c>
      <c r="H8" s="23">
        <f>IFERROR(__xludf.DUMMYFUNCTION("""COMPUTED_VALUE"""),4.304715840386953)</f>
        <v>4.30471584</v>
      </c>
      <c r="I8" s="18">
        <f>IFERROR(__xludf.DUMMYFUNCTION("""COMPUTED_VALUE"""),166.04126847915114)</f>
        <v>166.0412685</v>
      </c>
      <c r="J8" s="19">
        <f>IFERROR(__xludf.DUMMYFUNCTION("""COMPUTED_VALUE"""),56.0)</f>
        <v>56</v>
      </c>
      <c r="K8" s="20">
        <f>IFERROR(__xludf.DUMMYFUNCTION("""COMPUTED_VALUE"""),-110.04126847915114)</f>
        <v>-110.0412685</v>
      </c>
      <c r="L8" s="21">
        <f>IFERROR(__xludf.DUMMYFUNCTION("""COMPUTED_VALUE"""),-0.6627344484119525)</f>
        <v>-0.6627344484</v>
      </c>
      <c r="M8" s="24">
        <f>IFERROR(__xludf.DUMMYFUNCTION("""COMPUTED_VALUE"""),0.16134185303514376)</f>
        <v>0.161341853</v>
      </c>
      <c r="N8" s="22">
        <f>IFERROR(__xludf.DUMMYFUNCTION("""COMPUTED_VALUE"""),0.26785714285714285)</f>
        <v>0.2678571429</v>
      </c>
      <c r="O8" s="25">
        <f>IFERROR(__xludf.DUMMYFUNCTION("""COMPUTED_VALUE"""),10.65152898219991)</f>
        <v>10.65152898</v>
      </c>
      <c r="P8" s="18">
        <f>IFERROR(__xludf.DUMMYFUNCTION("""COMPUTED_VALUE"""),26.86819830713421)</f>
        <v>26.86819831</v>
      </c>
      <c r="Q8" s="19">
        <f>IFERROR(__xludf.DUMMYFUNCTION("""COMPUTED_VALUE"""),15.0)</f>
        <v>15</v>
      </c>
      <c r="R8" s="20">
        <f>IFERROR(__xludf.DUMMYFUNCTION("""COMPUTED_VALUE"""),-11.868198307134211)</f>
        <v>-11.86819831</v>
      </c>
      <c r="S8" s="26">
        <f>IFERROR(__xludf.DUMMYFUNCTION("""COMPUTED_VALUE"""),-0.4417191719171915)</f>
        <v>-0.4417191719</v>
      </c>
      <c r="T8" s="22">
        <f>IFERROR(__xludf.DUMMYFUNCTION("""COMPUTED_VALUE"""),0.11881188118811879)</f>
        <v>0.1188118812</v>
      </c>
      <c r="U8" s="22">
        <f>IFERROR(__xludf.DUMMYFUNCTION("""COMPUTED_VALUE"""),0.13333333333333333)</f>
        <v>0.1333333333</v>
      </c>
      <c r="V8" s="23">
        <f>IFERROR(__xludf.DUMMYFUNCTION("""COMPUTED_VALUE"""),1.452145214521454)</f>
        <v>1.452145215</v>
      </c>
      <c r="W8" s="18">
        <f>IFERROR(__xludf.DUMMYFUNCTION("""COMPUTED_VALUE"""),3.192261185006045)</f>
        <v>3.192261185</v>
      </c>
      <c r="X8" s="19">
        <f>IFERROR(__xludf.DUMMYFUNCTION("""COMPUTED_VALUE"""),2.0)</f>
        <v>2</v>
      </c>
      <c r="Y8" s="20">
        <f>IFERROR(__xludf.DUMMYFUNCTION("""COMPUTED_VALUE"""),-1.192261185006045)</f>
        <v>-1.192261185</v>
      </c>
      <c r="Z8" s="27">
        <f>IFERROR(__xludf.DUMMYFUNCTION("""COMPUTED_VALUE"""),-0.3734848484848483)</f>
        <v>-0.3734848485</v>
      </c>
      <c r="AA8" s="18">
        <f>IFERROR(__xludf.DUMMYFUNCTION("""COMPUTED_VALUE"""),17000.0)</f>
        <v>17000</v>
      </c>
      <c r="AB8" s="19">
        <f>IFERROR(__xludf.DUMMYFUNCTION("""COMPUTED_VALUE"""),4548.5)</f>
        <v>4548.5</v>
      </c>
      <c r="AC8" s="20">
        <f>IFERROR(__xludf.DUMMYFUNCTION("""COMPUTED_VALUE"""),-12451.5)</f>
        <v>-12451.5</v>
      </c>
      <c r="AD8" s="27">
        <f>IFERROR(__xludf.DUMMYFUNCTION("""COMPUTED_VALUE"""),-0.7324411764705883)</f>
        <v>-0.7324411765</v>
      </c>
      <c r="AE8" s="18">
        <f>IFERROR(__xludf.DUMMYFUNCTION("""COMPUTED_VALUE"""),41875.50181378476)</f>
        <v>41875.50181</v>
      </c>
      <c r="AF8" s="19">
        <f>IFERROR(__xludf.DUMMYFUNCTION("""COMPUTED_VALUE"""),9097.0)</f>
        <v>9097</v>
      </c>
      <c r="AG8" s="20">
        <f>IFERROR(__xludf.DUMMYFUNCTION("""COMPUTED_VALUE"""),-32778.50181378476)</f>
        <v>-32778.50181</v>
      </c>
      <c r="AH8" s="28">
        <f>IFERROR(__xludf.DUMMYFUNCTION("""COMPUTED_VALUE"""),-0.7827608122655282)</f>
        <v>-0.7827608123</v>
      </c>
      <c r="AI8" s="29">
        <f>IFERROR(__xludf.DUMMYFUNCTION("""COMPUTED_VALUE"""),0.0)</f>
        <v>0</v>
      </c>
      <c r="AJ8" s="29">
        <f>IFERROR(__xludf.DUMMYFUNCTION("""COMPUTED_VALUE"""),9097.0)</f>
        <v>9097</v>
      </c>
      <c r="AK8" s="4">
        <f>IFERROR(__xludf.DUMMYFUNCTION("""COMPUTED_VALUE"""),2019.8019801980197)</f>
        <v>2019.80198</v>
      </c>
      <c r="AL8" s="30">
        <f>IFERROR(__xludf.DUMMYFUNCTION("""COMPUTED_VALUE"""),606.4666666666667)</f>
        <v>606.4666667</v>
      </c>
      <c r="AM8" s="29">
        <f t="shared" si="1"/>
        <v>-1413.335314</v>
      </c>
      <c r="AN8" s="31">
        <f t="shared" si="2"/>
        <v>-0.6997395425</v>
      </c>
      <c r="AO8" s="12">
        <f t="shared" si="3"/>
        <v>12047.82843</v>
      </c>
      <c r="AP8" s="12">
        <f t="shared" si="4"/>
        <v>-21200.0297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Chat")</f>
        <v>[SKL] Chat</v>
      </c>
      <c r="B9" s="18">
        <f>IFERROR(__xludf.DUMMYFUNCTION("""COMPUTED_VALUE"""),13.117419354838704)</f>
        <v>13.11741935</v>
      </c>
      <c r="C9" s="19">
        <f>IFERROR(__xludf.DUMMYFUNCTION("""COMPUTED_VALUE"""),13.0)</f>
        <v>13</v>
      </c>
      <c r="D9" s="20">
        <f>IFERROR(__xludf.DUMMYFUNCTION("""COMPUTED_VALUE"""),-0.11741935483870414)</f>
        <v>-0.1174193548</v>
      </c>
      <c r="E9" s="21">
        <f>IFERROR(__xludf.DUMMYFUNCTION("""COMPUTED_VALUE"""),-0.00895140664961595)</f>
        <v>-0.00895140665</v>
      </c>
      <c r="F9" s="22">
        <f>IFERROR(__xludf.DUMMYFUNCTION("""COMPUTED_VALUE"""),0.608695652173913)</f>
        <v>0.6086956522</v>
      </c>
      <c r="G9" s="22">
        <f>IFERROR(__xludf.DUMMYFUNCTION("""COMPUTED_VALUE"""),0.3076923076923077)</f>
        <v>0.3076923077</v>
      </c>
      <c r="H9" s="23">
        <f>IFERROR(__xludf.DUMMYFUNCTION("""COMPUTED_VALUE"""),-30.100334448160528)</f>
        <v>-30.10033445</v>
      </c>
      <c r="I9" s="18">
        <f>IFERROR(__xludf.DUMMYFUNCTION("""COMPUTED_VALUE"""),7.9845161290322535)</f>
        <v>7.984516129</v>
      </c>
      <c r="J9" s="19">
        <f>IFERROR(__xludf.DUMMYFUNCTION("""COMPUTED_VALUE"""),4.0)</f>
        <v>4</v>
      </c>
      <c r="K9" s="20">
        <f>IFERROR(__xludf.DUMMYFUNCTION("""COMPUTED_VALUE"""),-3.9845161290322535)</f>
        <v>-3.984516129</v>
      </c>
      <c r="L9" s="21">
        <f>IFERROR(__xludf.DUMMYFUNCTION("""COMPUTED_VALUE"""),-0.4990303813833223)</f>
        <v>-0.4990303814</v>
      </c>
      <c r="M9" s="24">
        <f>IFERROR(__xludf.DUMMYFUNCTION("""COMPUTED_VALUE"""),0.36)</f>
        <v>0.36</v>
      </c>
      <c r="N9" s="22">
        <f>IFERROR(__xludf.DUMMYFUNCTION("""COMPUTED_VALUE"""),0.5)</f>
        <v>0.5</v>
      </c>
      <c r="O9" s="25">
        <f>IFERROR(__xludf.DUMMYFUNCTION("""COMPUTED_VALUE"""),14.000000000000002)</f>
        <v>14</v>
      </c>
      <c r="P9" s="18">
        <f>IFERROR(__xludf.DUMMYFUNCTION("""COMPUTED_VALUE"""),2.882879999999999)</f>
        <v>2.88288</v>
      </c>
      <c r="Q9" s="19">
        <f>IFERROR(__xludf.DUMMYFUNCTION("""COMPUTED_VALUE"""),2.0)</f>
        <v>2</v>
      </c>
      <c r="R9" s="20">
        <f>IFERROR(__xludf.DUMMYFUNCTION("""COMPUTED_VALUE"""),-0.8828799999999992)</f>
        <v>-0.88288</v>
      </c>
      <c r="S9" s="26">
        <f>IFERROR(__xludf.DUMMYFUNCTION("""COMPUTED_VALUE"""),-0.3062493062493061)</f>
        <v>-0.3062493062</v>
      </c>
      <c r="T9" s="22">
        <f>IFERROR(__xludf.DUMMYFUNCTION("""COMPUTED_VALUE"""),0.3)</f>
        <v>0.3</v>
      </c>
      <c r="U9" s="22">
        <f>IFERROR(__xludf.DUMMYFUNCTION("""COMPUTED_VALUE"""),0.0)</f>
        <v>0</v>
      </c>
      <c r="V9" s="23">
        <f>IFERROR(__xludf.DUMMYFUNCTION("""COMPUTED_VALUE"""),-30.0)</f>
        <v>-30</v>
      </c>
      <c r="W9" s="18">
        <f>IFERROR(__xludf.DUMMYFUNCTION("""COMPUTED_VALUE"""),0.8648639999999997)</f>
        <v>0.864864</v>
      </c>
      <c r="X9" s="19">
        <f>IFERROR(__xludf.DUMMYFUNCTION("""COMPUTED_VALUE"""),0.0)</f>
        <v>0</v>
      </c>
      <c r="Y9" s="20">
        <f>IFERROR(__xludf.DUMMYFUNCTION("""COMPUTED_VALUE"""),-0.8648639999999997)</f>
        <v>-0.864864</v>
      </c>
      <c r="Z9" s="27">
        <f>IFERROR(__xludf.DUMMYFUNCTION("""COMPUTED_VALUE"""),-1.0)</f>
        <v>-1</v>
      </c>
      <c r="AA9" s="18">
        <f>IFERROR(__xludf.DUMMYFUNCTION("""COMPUTED_VALUE"""),15392.0)</f>
        <v>15392</v>
      </c>
      <c r="AB9" s="19">
        <f>IFERROR(__xludf.DUMMYFUNCTION("""COMPUTED_VALUE"""),0.0)</f>
        <v>0</v>
      </c>
      <c r="AC9" s="20">
        <f>IFERROR(__xludf.DUMMYFUNCTION("""COMPUTED_VALUE"""),-15392.0)</f>
        <v>-15392</v>
      </c>
      <c r="AD9" s="27">
        <f>IFERROR(__xludf.DUMMYFUNCTION("""COMPUTED_VALUE"""),-1.0)</f>
        <v>-1</v>
      </c>
      <c r="AE9" s="18">
        <f>IFERROR(__xludf.DUMMYFUNCTION("""COMPUTED_VALUE"""),10272.013000703997)</f>
        <v>10272.013</v>
      </c>
      <c r="AF9" s="19">
        <f>IFERROR(__xludf.DUMMYFUNCTION("""COMPUTED_VALUE"""),0.0)</f>
        <v>0</v>
      </c>
      <c r="AG9" s="20">
        <f>IFERROR(__xludf.DUMMYFUNCTION("""COMPUTED_VALUE"""),-10272.013000703997)</f>
        <v>-10272.013</v>
      </c>
      <c r="AH9" s="28">
        <f>IFERROR(__xludf.DUMMYFUNCTION("""COMPUTED_VALUE"""),-1.0)</f>
        <v>-1</v>
      </c>
      <c r="AI9" s="29">
        <f>IFERROR(__xludf.DUMMYFUNCTION("""COMPUTED_VALUE"""),0.0)</f>
        <v>0</v>
      </c>
      <c r="AJ9" s="29">
        <f>IFERROR(__xludf.DUMMYFUNCTION("""COMPUTED_VALUE"""),0.0)</f>
        <v>0</v>
      </c>
      <c r="AK9" s="4">
        <f>IFERROR(__xludf.DUMMYFUNCTION("""COMPUTED_VALUE"""),4617.599999999999)</f>
        <v>4617.6</v>
      </c>
      <c r="AL9" s="30">
        <f>IFERROR(__xludf.DUMMYFUNCTION("""COMPUTED_VALUE"""),0.0)</f>
        <v>0</v>
      </c>
      <c r="AM9" s="29">
        <f t="shared" si="1"/>
        <v>-4617.6</v>
      </c>
      <c r="AN9" s="31">
        <f t="shared" si="2"/>
        <v>-1</v>
      </c>
      <c r="AO9" s="12">
        <f t="shared" si="3"/>
        <v>2585.856</v>
      </c>
      <c r="AP9" s="12">
        <f t="shared" si="4"/>
        <v>-9235.2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Form G4 Facebook Ads - K")</f>
        <v>[IM] Form G4 Facebook Ads - K</v>
      </c>
      <c r="B10" s="18"/>
      <c r="C10" s="19">
        <f>IFERROR(__xludf.DUMMYFUNCTION("""COMPUTED_VALUE"""),0.0)</f>
        <v>0</v>
      </c>
      <c r="D10" s="20">
        <f>IFERROR(__xludf.DUMMYFUNCTION("""COMPUTED_VALUE"""),0.0)</f>
        <v>0</v>
      </c>
      <c r="E10" s="21" t="str">
        <f>IFERROR(__xludf.DUMMYFUNCTION("""COMPUTED_VALUE"""),"")</f>
        <v/>
      </c>
      <c r="F10" s="22"/>
      <c r="G10" s="22" t="str">
        <f>IFERROR(__xludf.DUMMYFUNCTION("""COMPUTED_VALUE"""),"")</f>
        <v/>
      </c>
      <c r="H10" s="23" t="str">
        <f>IFERROR(__xludf.DUMMYFUNCTION("""COMPUTED_VALUE"""),"")</f>
        <v/>
      </c>
      <c r="I10" s="18"/>
      <c r="J10" s="19">
        <f>IFERROR(__xludf.DUMMYFUNCTION("""COMPUTED_VALUE"""),0.0)</f>
        <v>0</v>
      </c>
      <c r="K10" s="20">
        <f>IFERROR(__xludf.DUMMYFUNCTION("""COMPUTED_VALUE"""),0.0)</f>
        <v>0</v>
      </c>
      <c r="L10" s="21" t="str">
        <f>IFERROR(__xludf.DUMMYFUNCTION("""COMPUTED_VALUE"""),"")</f>
        <v/>
      </c>
      <c r="M10" s="24"/>
      <c r="N10" s="22" t="str">
        <f>IFERROR(__xludf.DUMMYFUNCTION("""COMPUTED_VALUE"""),"")</f>
        <v/>
      </c>
      <c r="O10" s="25" t="str">
        <f>IFERROR(__xludf.DUMMYFUNCTION("""COMPUTED_VALUE"""),"")</f>
        <v/>
      </c>
      <c r="P10" s="18"/>
      <c r="Q10" s="19">
        <f>IFERROR(__xludf.DUMMYFUNCTION("""COMPUTED_VALUE"""),4.0)</f>
        <v>4</v>
      </c>
      <c r="R10" s="20">
        <f>IFERROR(__xludf.DUMMYFUNCTION("""COMPUTED_VALUE"""),4.0)</f>
        <v>4</v>
      </c>
      <c r="S10" s="26" t="str">
        <f>IFERROR(__xludf.DUMMYFUNCTION("""COMPUTED_VALUE"""),"")</f>
        <v/>
      </c>
      <c r="T10" s="22"/>
      <c r="U10" s="22">
        <f>IFERROR(__xludf.DUMMYFUNCTION("""COMPUTED_VALUE"""),0.25)</f>
        <v>0.25</v>
      </c>
      <c r="V10" s="23" t="str">
        <f>IFERROR(__xludf.DUMMYFUNCTION("""COMPUTED_VALUE"""),"")</f>
        <v/>
      </c>
      <c r="W10" s="18"/>
      <c r="X10" s="19">
        <f>IFERROR(__xludf.DUMMYFUNCTION("""COMPUTED_VALUE"""),1.0)</f>
        <v>1</v>
      </c>
      <c r="Y10" s="20">
        <f>IFERROR(__xludf.DUMMYFUNCTION("""COMPUTED_VALUE"""),1.0)</f>
        <v>1</v>
      </c>
      <c r="Z10" s="27" t="str">
        <f>IFERROR(__xludf.DUMMYFUNCTION("""COMPUTED_VALUE"""),"")</f>
        <v/>
      </c>
      <c r="AA10" s="18"/>
      <c r="AB10" s="19">
        <f>IFERROR(__xludf.DUMMYFUNCTION("""COMPUTED_VALUE"""),1697.0)</f>
        <v>1697</v>
      </c>
      <c r="AC10" s="20">
        <f>IFERROR(__xludf.DUMMYFUNCTION("""COMPUTED_VALUE"""),1697.0)</f>
        <v>1697</v>
      </c>
      <c r="AD10" s="27" t="str">
        <f>IFERROR(__xludf.DUMMYFUNCTION("""COMPUTED_VALUE"""),"")</f>
        <v/>
      </c>
      <c r="AE10" s="18"/>
      <c r="AF10" s="19">
        <f>IFERROR(__xludf.DUMMYFUNCTION("""COMPUTED_VALUE"""),1697.0)</f>
        <v>1697</v>
      </c>
      <c r="AG10" s="20">
        <f>IFERROR(__xludf.DUMMYFUNCTION("""COMPUTED_VALUE"""),1697.0)</f>
        <v>1697</v>
      </c>
      <c r="AH10" s="28" t="str">
        <f>IFERROR(__xludf.DUMMYFUNCTION("""COMPUTED_VALUE"""),"")</f>
        <v/>
      </c>
      <c r="AI10" s="29">
        <f>IFERROR(__xludf.DUMMYFUNCTION("""COMPUTED_VALUE"""),0.0)</f>
        <v>0</v>
      </c>
      <c r="AJ10" s="29">
        <f>IFERROR(__xludf.DUMMYFUNCTION("""COMPUTED_VALUE"""),0.0)</f>
        <v>0</v>
      </c>
      <c r="AK10" s="4"/>
      <c r="AL10" s="30">
        <f>IFERROR(__xludf.DUMMYFUNCTION("""COMPUTED_VALUE"""),424.25)</f>
        <v>424.25</v>
      </c>
      <c r="AM10" s="29">
        <f t="shared" si="1"/>
        <v>424.25</v>
      </c>
      <c r="AN10" s="31" t="str">
        <f t="shared" si="2"/>
        <v>#DIV/0!</v>
      </c>
      <c r="AO10" s="12">
        <f t="shared" si="3"/>
        <v>0</v>
      </c>
      <c r="AP10" s="12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Midia Paga - Frio")</f>
        <v>[SKL] Midia Paga - Frio</v>
      </c>
      <c r="B11" s="18"/>
      <c r="C11" s="19">
        <f>IFERROR(__xludf.DUMMYFUNCTION("""COMPUTED_VALUE"""),0.0)</f>
        <v>0</v>
      </c>
      <c r="D11" s="20">
        <f>IFERROR(__xludf.DUMMYFUNCTION("""COMPUTED_VALUE"""),0.0)</f>
        <v>0</v>
      </c>
      <c r="E11" s="21" t="str">
        <f>IFERROR(__xludf.DUMMYFUNCTION("""COMPUTED_VALUE"""),"")</f>
        <v/>
      </c>
      <c r="F11" s="22"/>
      <c r="G11" s="22" t="str">
        <f>IFERROR(__xludf.DUMMYFUNCTION("""COMPUTED_VALUE"""),"")</f>
        <v/>
      </c>
      <c r="H11" s="23" t="str">
        <f>IFERROR(__xludf.DUMMYFUNCTION("""COMPUTED_VALUE"""),"")</f>
        <v/>
      </c>
      <c r="I11" s="18"/>
      <c r="J11" s="19">
        <f>IFERROR(__xludf.DUMMYFUNCTION("""COMPUTED_VALUE"""),0.0)</f>
        <v>0</v>
      </c>
      <c r="K11" s="20">
        <f>IFERROR(__xludf.DUMMYFUNCTION("""COMPUTED_VALUE"""),0.0)</f>
        <v>0</v>
      </c>
      <c r="L11" s="21" t="str">
        <f>IFERROR(__xludf.DUMMYFUNCTION("""COMPUTED_VALUE"""),"")</f>
        <v/>
      </c>
      <c r="M11" s="24"/>
      <c r="N11" s="22" t="str">
        <f>IFERROR(__xludf.DUMMYFUNCTION("""COMPUTED_VALUE"""),"")</f>
        <v/>
      </c>
      <c r="O11" s="25" t="str">
        <f>IFERROR(__xludf.DUMMYFUNCTION("""COMPUTED_VALUE"""),"")</f>
        <v/>
      </c>
      <c r="P11" s="18"/>
      <c r="Q11" s="19">
        <f>IFERROR(__xludf.DUMMYFUNCTION("""COMPUTED_VALUE"""),8.0)</f>
        <v>8</v>
      </c>
      <c r="R11" s="20">
        <f>IFERROR(__xludf.DUMMYFUNCTION("""COMPUTED_VALUE"""),8.0)</f>
        <v>8</v>
      </c>
      <c r="S11" s="26" t="str">
        <f>IFERROR(__xludf.DUMMYFUNCTION("""COMPUTED_VALUE"""),"")</f>
        <v/>
      </c>
      <c r="T11" s="22"/>
      <c r="U11" s="22">
        <f>IFERROR(__xludf.DUMMYFUNCTION("""COMPUTED_VALUE"""),0.0)</f>
        <v>0</v>
      </c>
      <c r="V11" s="23" t="str">
        <f>IFERROR(__xludf.DUMMYFUNCTION("""COMPUTED_VALUE"""),"")</f>
        <v/>
      </c>
      <c r="W11" s="18"/>
      <c r="X11" s="19">
        <f>IFERROR(__xludf.DUMMYFUNCTION("""COMPUTED_VALUE"""),0.0)</f>
        <v>0</v>
      </c>
      <c r="Y11" s="20">
        <f>IFERROR(__xludf.DUMMYFUNCTION("""COMPUTED_VALUE"""),0.0)</f>
        <v>0</v>
      </c>
      <c r="Z11" s="27" t="str">
        <f>IFERROR(__xludf.DUMMYFUNCTION("""COMPUTED_VALUE"""),"")</f>
        <v/>
      </c>
      <c r="AA11" s="18"/>
      <c r="AB11" s="19">
        <f>IFERROR(__xludf.DUMMYFUNCTION("""COMPUTED_VALUE"""),0.0)</f>
        <v>0</v>
      </c>
      <c r="AC11" s="20">
        <f>IFERROR(__xludf.DUMMYFUNCTION("""COMPUTED_VALUE"""),0.0)</f>
        <v>0</v>
      </c>
      <c r="AD11" s="27" t="str">
        <f>IFERROR(__xludf.DUMMYFUNCTION("""COMPUTED_VALUE"""),"")</f>
        <v/>
      </c>
      <c r="AE11" s="18"/>
      <c r="AF11" s="19">
        <f>IFERROR(__xludf.DUMMYFUNCTION("""COMPUTED_VALUE"""),0.0)</f>
        <v>0</v>
      </c>
      <c r="AG11" s="20">
        <f>IFERROR(__xludf.DUMMYFUNCTION("""COMPUTED_VALUE"""),0.0)</f>
        <v>0</v>
      </c>
      <c r="AH11" s="28" t="str">
        <f>IFERROR(__xludf.DUMMYFUNCTION("""COMPUTED_VALUE"""),"")</f>
        <v/>
      </c>
      <c r="AI11" s="29">
        <f>IFERROR(__xludf.DUMMYFUNCTION("""COMPUTED_VALUE"""),0.0)</f>
        <v>0</v>
      </c>
      <c r="AJ11" s="29">
        <f>IFERROR(__xludf.DUMMYFUNCTION("""COMPUTED_VALUE"""),0.0)</f>
        <v>0</v>
      </c>
      <c r="AK11" s="4"/>
      <c r="AL11" s="30">
        <f>IFERROR(__xludf.DUMMYFUNCTION("""COMPUTED_VALUE"""),0.0)</f>
        <v>0</v>
      </c>
      <c r="AM11" s="29">
        <f t="shared" si="1"/>
        <v>0</v>
      </c>
      <c r="AN11" s="31" t="str">
        <f t="shared" si="2"/>
        <v>#DIV/0!</v>
      </c>
      <c r="AO11" s="12">
        <f t="shared" si="3"/>
        <v>0</v>
      </c>
      <c r="AP11" s="12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G4 - K Instagram")</f>
        <v>Form G4 - K Instagram</v>
      </c>
      <c r="B12" s="18"/>
      <c r="C12" s="19">
        <f>IFERROR(__xludf.DUMMYFUNCTION("""COMPUTED_VALUE"""),0.0)</f>
        <v>0</v>
      </c>
      <c r="D12" s="20">
        <f>IFERROR(__xludf.DUMMYFUNCTION("""COMPUTED_VALUE"""),0.0)</f>
        <v>0</v>
      </c>
      <c r="E12" s="21" t="str">
        <f>IFERROR(__xludf.DUMMYFUNCTION("""COMPUTED_VALUE"""),"")</f>
        <v/>
      </c>
      <c r="F12" s="22"/>
      <c r="G12" s="22" t="str">
        <f>IFERROR(__xludf.DUMMYFUNCTION("""COMPUTED_VALUE"""),"")</f>
        <v/>
      </c>
      <c r="H12" s="23" t="str">
        <f>IFERROR(__xludf.DUMMYFUNCTION("""COMPUTED_VALUE"""),"")</f>
        <v/>
      </c>
      <c r="I12" s="18"/>
      <c r="J12" s="19">
        <f>IFERROR(__xludf.DUMMYFUNCTION("""COMPUTED_VALUE"""),0.0)</f>
        <v>0</v>
      </c>
      <c r="K12" s="20">
        <f>IFERROR(__xludf.DUMMYFUNCTION("""COMPUTED_VALUE"""),0.0)</f>
        <v>0</v>
      </c>
      <c r="L12" s="21" t="str">
        <f>IFERROR(__xludf.DUMMYFUNCTION("""COMPUTED_VALUE"""),"")</f>
        <v/>
      </c>
      <c r="M12" s="24"/>
      <c r="N12" s="22" t="str">
        <f>IFERROR(__xludf.DUMMYFUNCTION("""COMPUTED_VALUE"""),"")</f>
        <v/>
      </c>
      <c r="O12" s="25" t="str">
        <f>IFERROR(__xludf.DUMMYFUNCTION("""COMPUTED_VALUE"""),"")</f>
        <v/>
      </c>
      <c r="P12" s="18"/>
      <c r="Q12" s="19">
        <f>IFERROR(__xludf.DUMMYFUNCTION("""COMPUTED_VALUE"""),4.0)</f>
        <v>4</v>
      </c>
      <c r="R12" s="20">
        <f>IFERROR(__xludf.DUMMYFUNCTION("""COMPUTED_VALUE"""),4.0)</f>
        <v>4</v>
      </c>
      <c r="S12" s="26" t="str">
        <f>IFERROR(__xludf.DUMMYFUNCTION("""COMPUTED_VALUE"""),"")</f>
        <v/>
      </c>
      <c r="T12" s="22"/>
      <c r="U12" s="22">
        <f>IFERROR(__xludf.DUMMYFUNCTION("""COMPUTED_VALUE"""),0.0)</f>
        <v>0</v>
      </c>
      <c r="V12" s="23" t="str">
        <f>IFERROR(__xludf.DUMMYFUNCTION("""COMPUTED_VALUE"""),"")</f>
        <v/>
      </c>
      <c r="W12" s="18"/>
      <c r="X12" s="19">
        <f>IFERROR(__xludf.DUMMYFUNCTION("""COMPUTED_VALUE"""),0.0)</f>
        <v>0</v>
      </c>
      <c r="Y12" s="20">
        <f>IFERROR(__xludf.DUMMYFUNCTION("""COMPUTED_VALUE"""),0.0)</f>
        <v>0</v>
      </c>
      <c r="Z12" s="27" t="str">
        <f>IFERROR(__xludf.DUMMYFUNCTION("""COMPUTED_VALUE"""),"")</f>
        <v/>
      </c>
      <c r="AA12" s="18"/>
      <c r="AB12" s="19">
        <f>IFERROR(__xludf.DUMMYFUNCTION("""COMPUTED_VALUE"""),0.0)</f>
        <v>0</v>
      </c>
      <c r="AC12" s="20">
        <f>IFERROR(__xludf.DUMMYFUNCTION("""COMPUTED_VALUE"""),0.0)</f>
        <v>0</v>
      </c>
      <c r="AD12" s="27" t="str">
        <f>IFERROR(__xludf.DUMMYFUNCTION("""COMPUTED_VALUE"""),"")</f>
        <v/>
      </c>
      <c r="AE12" s="18"/>
      <c r="AF12" s="19">
        <f>IFERROR(__xludf.DUMMYFUNCTION("""COMPUTED_VALUE"""),0.0)</f>
        <v>0</v>
      </c>
      <c r="AG12" s="20">
        <f>IFERROR(__xludf.DUMMYFUNCTION("""COMPUTED_VALUE"""),0.0)</f>
        <v>0</v>
      </c>
      <c r="AH12" s="28" t="str">
        <f>IFERROR(__xludf.DUMMYFUNCTION("""COMPUTED_VALUE"""),"")</f>
        <v/>
      </c>
      <c r="AI12" s="29">
        <f>IFERROR(__xludf.DUMMYFUNCTION("""COMPUTED_VALUE"""),0.0)</f>
        <v>0</v>
      </c>
      <c r="AJ12" s="29">
        <f>IFERROR(__xludf.DUMMYFUNCTION("""COMPUTED_VALUE"""),0.0)</f>
        <v>0</v>
      </c>
      <c r="AK12" s="4"/>
      <c r="AL12" s="30">
        <f>IFERROR(__xludf.DUMMYFUNCTION("""COMPUTED_VALUE"""),0.0)</f>
        <v>0</v>
      </c>
      <c r="AM12" s="29">
        <f t="shared" si="1"/>
        <v>0</v>
      </c>
      <c r="AN12" s="31" t="str">
        <f t="shared" si="2"/>
        <v>#DIV/0!</v>
      </c>
      <c r="AO12" s="12">
        <f t="shared" si="3"/>
        <v>0</v>
      </c>
      <c r="AP12" s="12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Outros")</f>
        <v>Form G4 - K Outros</v>
      </c>
      <c r="B13" s="18"/>
      <c r="C13" s="19">
        <f>IFERROR(__xludf.DUMMYFUNCTION("""COMPUTED_VALUE"""),0.0)</f>
        <v>0</v>
      </c>
      <c r="D13" s="20">
        <f>IFERROR(__xludf.DUMMYFUNCTION("""COMPUTED_VALUE"""),0.0)</f>
        <v>0</v>
      </c>
      <c r="E13" s="21" t="str">
        <f>IFERROR(__xludf.DUMMYFUNCTION("""COMPUTED_VALUE"""),"")</f>
        <v/>
      </c>
      <c r="F13" s="22"/>
      <c r="G13" s="22" t="str">
        <f>IFERROR(__xludf.DUMMYFUNCTION("""COMPUTED_VALUE"""),"")</f>
        <v/>
      </c>
      <c r="H13" s="23" t="str">
        <f>IFERROR(__xludf.DUMMYFUNCTION("""COMPUTED_VALUE"""),"")</f>
        <v/>
      </c>
      <c r="I13" s="18"/>
      <c r="J13" s="19">
        <f>IFERROR(__xludf.DUMMYFUNCTION("""COMPUTED_VALUE"""),0.0)</f>
        <v>0</v>
      </c>
      <c r="K13" s="20">
        <f>IFERROR(__xludf.DUMMYFUNCTION("""COMPUTED_VALUE"""),0.0)</f>
        <v>0</v>
      </c>
      <c r="L13" s="21" t="str">
        <f>IFERROR(__xludf.DUMMYFUNCTION("""COMPUTED_VALUE"""),"")</f>
        <v/>
      </c>
      <c r="M13" s="24"/>
      <c r="N13" s="22" t="str">
        <f>IFERROR(__xludf.DUMMYFUNCTION("""COMPUTED_VALUE"""),"")</f>
        <v/>
      </c>
      <c r="O13" s="25" t="str">
        <f>IFERROR(__xludf.DUMMYFUNCTION("""COMPUTED_VALUE"""),"")</f>
        <v/>
      </c>
      <c r="P13" s="18"/>
      <c r="Q13" s="19">
        <f>IFERROR(__xludf.DUMMYFUNCTION("""COMPUTED_VALUE"""),3.0)</f>
        <v>3</v>
      </c>
      <c r="R13" s="20">
        <f>IFERROR(__xludf.DUMMYFUNCTION("""COMPUTED_VALUE"""),3.0)</f>
        <v>3</v>
      </c>
      <c r="S13" s="26" t="str">
        <f>IFERROR(__xludf.DUMMYFUNCTION("""COMPUTED_VALUE"""),"")</f>
        <v/>
      </c>
      <c r="T13" s="22"/>
      <c r="U13" s="22">
        <f>IFERROR(__xludf.DUMMYFUNCTION("""COMPUTED_VALUE"""),0.0)</f>
        <v>0</v>
      </c>
      <c r="V13" s="23" t="str">
        <f>IFERROR(__xludf.DUMMYFUNCTION("""COMPUTED_VALUE"""),"")</f>
        <v/>
      </c>
      <c r="W13" s="18"/>
      <c r="X13" s="19">
        <f>IFERROR(__xludf.DUMMYFUNCTION("""COMPUTED_VALUE"""),0.0)</f>
        <v>0</v>
      </c>
      <c r="Y13" s="20">
        <f>IFERROR(__xludf.DUMMYFUNCTION("""COMPUTED_VALUE"""),0.0)</f>
        <v>0</v>
      </c>
      <c r="Z13" s="27" t="str">
        <f>IFERROR(__xludf.DUMMYFUNCTION("""COMPUTED_VALUE"""),"")</f>
        <v/>
      </c>
      <c r="AA13" s="18"/>
      <c r="AB13" s="19">
        <f>IFERROR(__xludf.DUMMYFUNCTION("""COMPUTED_VALUE"""),0.0)</f>
        <v>0</v>
      </c>
      <c r="AC13" s="20">
        <f>IFERROR(__xludf.DUMMYFUNCTION("""COMPUTED_VALUE"""),0.0)</f>
        <v>0</v>
      </c>
      <c r="AD13" s="27" t="str">
        <f>IFERROR(__xludf.DUMMYFUNCTION("""COMPUTED_VALUE"""),"")</f>
        <v/>
      </c>
      <c r="AE13" s="18"/>
      <c r="AF13" s="19">
        <f>IFERROR(__xludf.DUMMYFUNCTION("""COMPUTED_VALUE"""),0.0)</f>
        <v>0</v>
      </c>
      <c r="AG13" s="20">
        <f>IFERROR(__xludf.DUMMYFUNCTION("""COMPUTED_VALUE"""),0.0)</f>
        <v>0</v>
      </c>
      <c r="AH13" s="28" t="str">
        <f>IFERROR(__xludf.DUMMYFUNCTION("""COMPUTED_VALUE"""),"")</f>
        <v/>
      </c>
      <c r="AI13" s="29">
        <f>IFERROR(__xludf.DUMMYFUNCTION("""COMPUTED_VALUE"""),0.0)</f>
        <v>0</v>
      </c>
      <c r="AJ13" s="29">
        <f>IFERROR(__xludf.DUMMYFUNCTION("""COMPUTED_VALUE"""),0.0)</f>
        <v>0</v>
      </c>
      <c r="AK13" s="4"/>
      <c r="AL13" s="30">
        <f>IFERROR(__xludf.DUMMYFUNCTION("""COMPUTED_VALUE"""),0.0)</f>
        <v>0</v>
      </c>
      <c r="AM13" s="29">
        <f t="shared" si="1"/>
        <v>0</v>
      </c>
      <c r="AN13" s="31" t="str">
        <f t="shared" si="2"/>
        <v>#DIV/0!</v>
      </c>
      <c r="AO13" s="12">
        <f t="shared" si="3"/>
        <v>0</v>
      </c>
      <c r="AP13" s="12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Incompleto Instagram")</f>
        <v>Form G4 Incompleto Instagram</v>
      </c>
      <c r="B14" s="18"/>
      <c r="C14" s="19">
        <f>IFERROR(__xludf.DUMMYFUNCTION("""COMPUTED_VALUE"""),0.0)</f>
        <v>0</v>
      </c>
      <c r="D14" s="20">
        <f>IFERROR(__xludf.DUMMYFUNCTION("""COMPUTED_VALUE"""),0.0)</f>
        <v>0</v>
      </c>
      <c r="E14" s="21" t="str">
        <f>IFERROR(__xludf.DUMMYFUNCTION("""COMPUTED_VALUE"""),"")</f>
        <v/>
      </c>
      <c r="F14" s="22"/>
      <c r="G14" s="22" t="str">
        <f>IFERROR(__xludf.DUMMYFUNCTION("""COMPUTED_VALUE"""),"")</f>
        <v/>
      </c>
      <c r="H14" s="23" t="str">
        <f>IFERROR(__xludf.DUMMYFUNCTION("""COMPUTED_VALUE"""),"")</f>
        <v/>
      </c>
      <c r="I14" s="18"/>
      <c r="J14" s="19">
        <f>IFERROR(__xludf.DUMMYFUNCTION("""COMPUTED_VALUE"""),0.0)</f>
        <v>0</v>
      </c>
      <c r="K14" s="20">
        <f>IFERROR(__xludf.DUMMYFUNCTION("""COMPUTED_VALUE"""),0.0)</f>
        <v>0</v>
      </c>
      <c r="L14" s="21" t="str">
        <f>IFERROR(__xludf.DUMMYFUNCTION("""COMPUTED_VALUE"""),"")</f>
        <v/>
      </c>
      <c r="M14" s="24"/>
      <c r="N14" s="22" t="str">
        <f>IFERROR(__xludf.DUMMYFUNCTION("""COMPUTED_VALUE"""),"")</f>
        <v/>
      </c>
      <c r="O14" s="25" t="str">
        <f>IFERROR(__xludf.DUMMYFUNCTION("""COMPUTED_VALUE"""),"")</f>
        <v/>
      </c>
      <c r="P14" s="18"/>
      <c r="Q14" s="19">
        <f>IFERROR(__xludf.DUMMYFUNCTION("""COMPUTED_VALUE"""),4.0)</f>
        <v>4</v>
      </c>
      <c r="R14" s="20">
        <f>IFERROR(__xludf.DUMMYFUNCTION("""COMPUTED_VALUE"""),4.0)</f>
        <v>4</v>
      </c>
      <c r="S14" s="26" t="str">
        <f>IFERROR(__xludf.DUMMYFUNCTION("""COMPUTED_VALUE"""),"")</f>
        <v/>
      </c>
      <c r="T14" s="22"/>
      <c r="U14" s="22">
        <f>IFERROR(__xludf.DUMMYFUNCTION("""COMPUTED_VALUE"""),0.0)</f>
        <v>0</v>
      </c>
      <c r="V14" s="23" t="str">
        <f>IFERROR(__xludf.DUMMYFUNCTION("""COMPUTED_VALUE"""),"")</f>
        <v/>
      </c>
      <c r="W14" s="18"/>
      <c r="X14" s="19">
        <f>IFERROR(__xludf.DUMMYFUNCTION("""COMPUTED_VALUE"""),0.0)</f>
        <v>0</v>
      </c>
      <c r="Y14" s="20">
        <f>IFERROR(__xludf.DUMMYFUNCTION("""COMPUTED_VALUE"""),0.0)</f>
        <v>0</v>
      </c>
      <c r="Z14" s="27" t="str">
        <f>IFERROR(__xludf.DUMMYFUNCTION("""COMPUTED_VALUE"""),"")</f>
        <v/>
      </c>
      <c r="AA14" s="18"/>
      <c r="AB14" s="19">
        <f>IFERROR(__xludf.DUMMYFUNCTION("""COMPUTED_VALUE"""),0.0)</f>
        <v>0</v>
      </c>
      <c r="AC14" s="20">
        <f>IFERROR(__xludf.DUMMYFUNCTION("""COMPUTED_VALUE"""),0.0)</f>
        <v>0</v>
      </c>
      <c r="AD14" s="27" t="str">
        <f>IFERROR(__xludf.DUMMYFUNCTION("""COMPUTED_VALUE"""),"")</f>
        <v/>
      </c>
      <c r="AE14" s="18"/>
      <c r="AF14" s="19">
        <f>IFERROR(__xludf.DUMMYFUNCTION("""COMPUTED_VALUE"""),0.0)</f>
        <v>0</v>
      </c>
      <c r="AG14" s="20">
        <f>IFERROR(__xludf.DUMMYFUNCTION("""COMPUTED_VALUE"""),0.0)</f>
        <v>0</v>
      </c>
      <c r="AH14" s="28" t="str">
        <f>IFERROR(__xludf.DUMMYFUNCTION("""COMPUTED_VALUE"""),"")</f>
        <v/>
      </c>
      <c r="AI14" s="29">
        <f>IFERROR(__xludf.DUMMYFUNCTION("""COMPUTED_VALUE"""),0.0)</f>
        <v>0</v>
      </c>
      <c r="AJ14" s="29">
        <f>IFERROR(__xludf.DUMMYFUNCTION("""COMPUTED_VALUE"""),0.0)</f>
        <v>0</v>
      </c>
      <c r="AK14" s="4"/>
      <c r="AL14" s="30">
        <f>IFERROR(__xludf.DUMMYFUNCTION("""COMPUTED_VALUE"""),0.0)</f>
        <v>0</v>
      </c>
      <c r="AM14" s="29">
        <f t="shared" si="1"/>
        <v>0</v>
      </c>
      <c r="AN14" s="31" t="str">
        <f t="shared" si="2"/>
        <v>#DIV/0!</v>
      </c>
      <c r="AO14" s="12">
        <f t="shared" si="3"/>
        <v>0</v>
      </c>
      <c r="AP14" s="12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Incompleto Outros")</f>
        <v>Form G4 Incompleto Outros</v>
      </c>
      <c r="B15" s="18"/>
      <c r="C15" s="19">
        <f>IFERROR(__xludf.DUMMYFUNCTION("""COMPUTED_VALUE"""),0.0)</f>
        <v>0</v>
      </c>
      <c r="D15" s="20">
        <f>IFERROR(__xludf.DUMMYFUNCTION("""COMPUTED_VALUE"""),0.0)</f>
        <v>0</v>
      </c>
      <c r="E15" s="21" t="str">
        <f>IFERROR(__xludf.DUMMYFUNCTION("""COMPUTED_VALUE"""),"")</f>
        <v/>
      </c>
      <c r="F15" s="22"/>
      <c r="G15" s="22" t="str">
        <f>IFERROR(__xludf.DUMMYFUNCTION("""COMPUTED_VALUE"""),"")</f>
        <v/>
      </c>
      <c r="H15" s="23" t="str">
        <f>IFERROR(__xludf.DUMMYFUNCTION("""COMPUTED_VALUE"""),"")</f>
        <v/>
      </c>
      <c r="I15" s="18"/>
      <c r="J15" s="19">
        <f>IFERROR(__xludf.DUMMYFUNCTION("""COMPUTED_VALUE"""),0.0)</f>
        <v>0</v>
      </c>
      <c r="K15" s="20">
        <f>IFERROR(__xludf.DUMMYFUNCTION("""COMPUTED_VALUE"""),0.0)</f>
        <v>0</v>
      </c>
      <c r="L15" s="21" t="str">
        <f>IFERROR(__xludf.DUMMYFUNCTION("""COMPUTED_VALUE"""),"")</f>
        <v/>
      </c>
      <c r="M15" s="24"/>
      <c r="N15" s="22" t="str">
        <f>IFERROR(__xludf.DUMMYFUNCTION("""COMPUTED_VALUE"""),"")</f>
        <v/>
      </c>
      <c r="O15" s="25" t="str">
        <f>IFERROR(__xludf.DUMMYFUNCTION("""COMPUTED_VALUE"""),"")</f>
        <v/>
      </c>
      <c r="P15" s="18"/>
      <c r="Q15" s="19">
        <f>IFERROR(__xludf.DUMMYFUNCTION("""COMPUTED_VALUE"""),1.0)</f>
        <v>1</v>
      </c>
      <c r="R15" s="20">
        <f>IFERROR(__xludf.DUMMYFUNCTION("""COMPUTED_VALUE"""),1.0)</f>
        <v>1</v>
      </c>
      <c r="S15" s="26" t="str">
        <f>IFERROR(__xludf.DUMMYFUNCTION("""COMPUTED_VALUE"""),"")</f>
        <v/>
      </c>
      <c r="T15" s="22"/>
      <c r="U15" s="22">
        <f>IFERROR(__xludf.DUMMYFUNCTION("""COMPUTED_VALUE"""),0.0)</f>
        <v>0</v>
      </c>
      <c r="V15" s="23" t="str">
        <f>IFERROR(__xludf.DUMMYFUNCTION("""COMPUTED_VALUE"""),"")</f>
        <v/>
      </c>
      <c r="W15" s="18"/>
      <c r="X15" s="19">
        <f>IFERROR(__xludf.DUMMYFUNCTION("""COMPUTED_VALUE"""),0.0)</f>
        <v>0</v>
      </c>
      <c r="Y15" s="20">
        <f>IFERROR(__xludf.DUMMYFUNCTION("""COMPUTED_VALUE"""),0.0)</f>
        <v>0</v>
      </c>
      <c r="Z15" s="27" t="str">
        <f>IFERROR(__xludf.DUMMYFUNCTION("""COMPUTED_VALUE"""),"")</f>
        <v/>
      </c>
      <c r="AA15" s="18"/>
      <c r="AB15" s="19">
        <f>IFERROR(__xludf.DUMMYFUNCTION("""COMPUTED_VALUE"""),0.0)</f>
        <v>0</v>
      </c>
      <c r="AC15" s="20">
        <f>IFERROR(__xludf.DUMMYFUNCTION("""COMPUTED_VALUE"""),0.0)</f>
        <v>0</v>
      </c>
      <c r="AD15" s="27" t="str">
        <f>IFERROR(__xludf.DUMMYFUNCTION("""COMPUTED_VALUE"""),"")</f>
        <v/>
      </c>
      <c r="AE15" s="18"/>
      <c r="AF15" s="19">
        <f>IFERROR(__xludf.DUMMYFUNCTION("""COMPUTED_VALUE"""),0.0)</f>
        <v>0</v>
      </c>
      <c r="AG15" s="20">
        <f>IFERROR(__xludf.DUMMYFUNCTION("""COMPUTED_VALUE"""),0.0)</f>
        <v>0</v>
      </c>
      <c r="AH15" s="28" t="str">
        <f>IFERROR(__xludf.DUMMYFUNCTION("""COMPUTED_VALUE"""),"")</f>
        <v/>
      </c>
      <c r="AI15" s="29">
        <f>IFERROR(__xludf.DUMMYFUNCTION("""COMPUTED_VALUE"""),0.0)</f>
        <v>0</v>
      </c>
      <c r="AJ15" s="29">
        <f>IFERROR(__xludf.DUMMYFUNCTION("""COMPUTED_VALUE"""),0.0)</f>
        <v>0</v>
      </c>
      <c r="AK15" s="4"/>
      <c r="AL15" s="30">
        <f>IFERROR(__xludf.DUMMYFUNCTION("""COMPUTED_VALUE"""),0.0)</f>
        <v>0</v>
      </c>
      <c r="AM15" s="29">
        <f t="shared" si="1"/>
        <v>0</v>
      </c>
      <c r="AN15" s="31" t="str">
        <f t="shared" si="2"/>
        <v>#DIV/0!</v>
      </c>
      <c r="AO15" s="12">
        <f t="shared" si="3"/>
        <v>0</v>
      </c>
      <c r="AP15" s="12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/>
      <c r="B16" s="18"/>
      <c r="C16" s="19"/>
      <c r="D16" s="20"/>
      <c r="E16" s="21"/>
      <c r="F16" s="22"/>
      <c r="G16" s="22"/>
      <c r="H16" s="23"/>
      <c r="I16" s="18"/>
      <c r="J16" s="19"/>
      <c r="K16" s="20"/>
      <c r="L16" s="21"/>
      <c r="M16" s="24"/>
      <c r="N16" s="22"/>
      <c r="O16" s="25"/>
      <c r="P16" s="18"/>
      <c r="Q16" s="19"/>
      <c r="R16" s="20"/>
      <c r="S16" s="26"/>
      <c r="T16" s="22"/>
      <c r="U16" s="22"/>
      <c r="V16" s="23"/>
      <c r="W16" s="18"/>
      <c r="X16" s="19"/>
      <c r="Y16" s="20"/>
      <c r="Z16" s="27"/>
      <c r="AA16" s="18"/>
      <c r="AB16" s="19"/>
      <c r="AC16" s="20"/>
      <c r="AD16" s="27"/>
      <c r="AE16" s="18"/>
      <c r="AF16" s="19"/>
      <c r="AG16" s="20"/>
      <c r="AH16" s="28"/>
      <c r="AI16" s="29"/>
      <c r="AJ16" s="29"/>
      <c r="AK16" s="4"/>
      <c r="AL16" s="30"/>
      <c r="AM16" s="29">
        <f t="shared" si="1"/>
        <v>0</v>
      </c>
      <c r="AN16" s="31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18"/>
      <c r="C17" s="19"/>
      <c r="D17" s="20"/>
      <c r="E17" s="21"/>
      <c r="F17" s="22"/>
      <c r="G17" s="22"/>
      <c r="H17" s="23"/>
      <c r="I17" s="18"/>
      <c r="J17" s="19"/>
      <c r="K17" s="20"/>
      <c r="L17" s="21"/>
      <c r="M17" s="24"/>
      <c r="N17" s="22"/>
      <c r="O17" s="25"/>
      <c r="P17" s="18"/>
      <c r="Q17" s="19"/>
      <c r="R17" s="20"/>
      <c r="S17" s="26"/>
      <c r="T17" s="22"/>
      <c r="U17" s="22"/>
      <c r="V17" s="23"/>
      <c r="W17" s="18"/>
      <c r="X17" s="19"/>
      <c r="Y17" s="20"/>
      <c r="Z17" s="27"/>
      <c r="AA17" s="18"/>
      <c r="AB17" s="19"/>
      <c r="AC17" s="20"/>
      <c r="AD17" s="27"/>
      <c r="AE17" s="18"/>
      <c r="AF17" s="19"/>
      <c r="AG17" s="20"/>
      <c r="AH17" s="28"/>
      <c r="AI17" s="29"/>
      <c r="AJ17" s="29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18"/>
      <c r="C18" s="19"/>
      <c r="D18" s="20"/>
      <c r="E18" s="21"/>
      <c r="F18" s="22"/>
      <c r="G18" s="22"/>
      <c r="H18" s="23"/>
      <c r="I18" s="18"/>
      <c r="J18" s="19"/>
      <c r="K18" s="20"/>
      <c r="L18" s="21"/>
      <c r="M18" s="24"/>
      <c r="N18" s="22"/>
      <c r="O18" s="25"/>
      <c r="P18" s="18"/>
      <c r="Q18" s="19"/>
      <c r="R18" s="20"/>
      <c r="S18" s="26"/>
      <c r="T18" s="22"/>
      <c r="U18" s="22"/>
      <c r="V18" s="23"/>
      <c r="W18" s="18"/>
      <c r="X18" s="19"/>
      <c r="Y18" s="20"/>
      <c r="Z18" s="27"/>
      <c r="AA18" s="18"/>
      <c r="AB18" s="19"/>
      <c r="AC18" s="20"/>
      <c r="AD18" s="27"/>
      <c r="AE18" s="18"/>
      <c r="AF18" s="19"/>
      <c r="AG18" s="20"/>
      <c r="AH18" s="28"/>
      <c r="AI18" s="29"/>
      <c r="AJ18" s="29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8"/>
      <c r="C19" s="19"/>
      <c r="D19" s="20"/>
      <c r="E19" s="21"/>
      <c r="F19" s="22"/>
      <c r="G19" s="22"/>
      <c r="H19" s="23"/>
      <c r="I19" s="18"/>
      <c r="J19" s="19"/>
      <c r="K19" s="20"/>
      <c r="L19" s="21"/>
      <c r="M19" s="24"/>
      <c r="N19" s="22"/>
      <c r="O19" s="25"/>
      <c r="P19" s="18"/>
      <c r="Q19" s="19"/>
      <c r="R19" s="20"/>
      <c r="S19" s="26"/>
      <c r="T19" s="22"/>
      <c r="U19" s="22"/>
      <c r="V19" s="23"/>
      <c r="W19" s="18"/>
      <c r="X19" s="19"/>
      <c r="Y19" s="20"/>
      <c r="Z19" s="27"/>
      <c r="AA19" s="18"/>
      <c r="AB19" s="19"/>
      <c r="AC19" s="20"/>
      <c r="AD19" s="27"/>
      <c r="AE19" s="18"/>
      <c r="AF19" s="19"/>
      <c r="AG19" s="20"/>
      <c r="AH19" s="28"/>
      <c r="AI19" s="29"/>
      <c r="AJ19" s="29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IFERROR(__xludf.DUMMYFUNCTION("""COMPUTED_VALUE"""),329.58064516129014)</f>
        <v>329.5806452</v>
      </c>
      <c r="C2" s="11">
        <f>IFERROR(__xludf.DUMMYFUNCTION("""COMPUTED_VALUE"""),330.0)</f>
        <v>330</v>
      </c>
      <c r="D2" s="11">
        <f>IFERROR(__xludf.DUMMYFUNCTION("""COMPUTED_VALUE"""),0.41935483870986445)</f>
        <v>0.4193548387</v>
      </c>
      <c r="E2" s="10">
        <f>IFERROR(__xludf.DUMMYFUNCTION("""COMPUTED_VALUE"""),0.0012723891553299213)</f>
        <v>0.001272389155</v>
      </c>
      <c r="F2" s="10">
        <f>IFERROR(__xludf.DUMMYFUNCTION("""COMPUTED_VALUE"""),0.814661134163209)</f>
        <v>0.8146611342</v>
      </c>
      <c r="G2" s="10">
        <f>IFERROR(__xludf.DUMMYFUNCTION("""COMPUTED_VALUE"""),0.7484848484848485)</f>
        <v>0.7484848485</v>
      </c>
      <c r="H2" s="35">
        <f>IFERROR(__xludf.DUMMYFUNCTION("""COMPUTED_VALUE"""),-6.617628567836043)</f>
        <v>-6.617628568</v>
      </c>
      <c r="I2" s="11">
        <f>IFERROR(__xludf.DUMMYFUNCTION("""COMPUTED_VALUE"""),268.49654218533874)</f>
        <v>268.4965422</v>
      </c>
      <c r="J2" s="11">
        <f>IFERROR(__xludf.DUMMYFUNCTION("""COMPUTED_VALUE"""),247.0)</f>
        <v>247</v>
      </c>
      <c r="K2" s="11">
        <f>IFERROR(__xludf.DUMMYFUNCTION("""COMPUTED_VALUE"""),-21.49654218533874)</f>
        <v>-21.49654219</v>
      </c>
      <c r="L2" s="10">
        <f>IFERROR(__xludf.DUMMYFUNCTION("""COMPUTED_VALUE"""),-0.08006264069687732)</f>
        <v>-0.0800626407</v>
      </c>
      <c r="M2" s="10">
        <f>IFERROR(__xludf.DUMMYFUNCTION("""COMPUTED_VALUE"""),0.3047987616099072)</f>
        <v>0.3047987616</v>
      </c>
      <c r="N2" s="10">
        <f>IFERROR(__xludf.DUMMYFUNCTION("""COMPUTED_VALUE"""),0.27530364372469635)</f>
        <v>0.2753036437</v>
      </c>
      <c r="O2" s="35">
        <f>IFERROR(__xludf.DUMMYFUNCTION("""COMPUTED_VALUE"""),-2.9495117885210864)</f>
        <v>-2.949511789</v>
      </c>
      <c r="P2" s="11">
        <f>IFERROR(__xludf.DUMMYFUNCTION("""COMPUTED_VALUE"""),81.83741355463346)</f>
        <v>81.83741355</v>
      </c>
      <c r="Q2" s="11">
        <f>IFERROR(__xludf.DUMMYFUNCTION("""COMPUTED_VALUE"""),68.0)</f>
        <v>68</v>
      </c>
      <c r="R2" s="11">
        <f>IFERROR(__xludf.DUMMYFUNCTION("""COMPUTED_VALUE"""),-13.837413554633457)</f>
        <v>-13.83741355</v>
      </c>
      <c r="S2" s="10">
        <f>IFERROR(__xludf.DUMMYFUNCTION("""COMPUTED_VALUE"""),-0.16908419943398875)</f>
        <v>-0.1690841994</v>
      </c>
      <c r="T2" s="11">
        <f>IFERROR(__xludf.DUMMYFUNCTION("""COMPUTED_VALUE"""),302865.5147197787)</f>
        <v>302865.5147</v>
      </c>
      <c r="U2" s="36">
        <f>IFERROR(__xludf.DUMMYFUNCTION("""COMPUTED_VALUE"""),1128.0052705882358)</f>
        <v>1128.005271</v>
      </c>
      <c r="V2" s="36">
        <f>IFERROR(__xludf.DUMMYFUNCTION("""COMPUTED_VALUE"""),-24248.212884484452)</f>
        <v>-24248.21288</v>
      </c>
      <c r="W2" s="10">
        <f>IFERROR(__xludf.DUMMYFUNCTION("""COMPUTED_VALUE"""),-0.08006264069687732)</f>
        <v>-0.0800626407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IFERROR(__xludf.DUMMYFUNCTION("""COMPUTED_VALUE"""),71.29032258064512)</f>
        <v>71.29032258</v>
      </c>
      <c r="C3" s="11">
        <f>IFERROR(__xludf.DUMMYFUNCTION("""COMPUTED_VALUE"""),74.0)</f>
        <v>74</v>
      </c>
      <c r="D3" s="11">
        <f>IFERROR(__xludf.DUMMYFUNCTION("""COMPUTED_VALUE"""),2.7096774193548754)</f>
        <v>2.709677419</v>
      </c>
      <c r="E3" s="10">
        <f>IFERROR(__xludf.DUMMYFUNCTION("""COMPUTED_VALUE"""),0.03800904977375619)</f>
        <v>0.03800904977</v>
      </c>
      <c r="F3" s="10">
        <f>IFERROR(__xludf.DUMMYFUNCTION("""COMPUTED_VALUE"""),0.8)</f>
        <v>0.8</v>
      </c>
      <c r="G3" s="10">
        <f>IFERROR(__xludf.DUMMYFUNCTION("""COMPUTED_VALUE"""),0.8243243243243243)</f>
        <v>0.8243243243</v>
      </c>
      <c r="H3" s="35">
        <f>IFERROR(__xludf.DUMMYFUNCTION("""COMPUTED_VALUE"""),2.43243243243243)</f>
        <v>2.432432432</v>
      </c>
      <c r="I3" s="11">
        <f>IFERROR(__xludf.DUMMYFUNCTION("""COMPUTED_VALUE"""),57.0322580645161)</f>
        <v>57.03225806</v>
      </c>
      <c r="J3" s="11">
        <f>IFERROR(__xludf.DUMMYFUNCTION("""COMPUTED_VALUE"""),61.0)</f>
        <v>61</v>
      </c>
      <c r="K3" s="11">
        <f>IFERROR(__xludf.DUMMYFUNCTION("""COMPUTED_VALUE"""),3.9677419354839003)</f>
        <v>3.967741935</v>
      </c>
      <c r="L3" s="10">
        <f>IFERROR(__xludf.DUMMYFUNCTION("""COMPUTED_VALUE"""),0.06957013574660688)</f>
        <v>0.06957013575</v>
      </c>
      <c r="M3" s="10">
        <f>IFERROR(__xludf.DUMMYFUNCTION("""COMPUTED_VALUE"""),0.30859728506787343)</f>
        <v>0.3085972851</v>
      </c>
      <c r="N3" s="10">
        <f>IFERROR(__xludf.DUMMYFUNCTION("""COMPUTED_VALUE"""),0.3114754098360656)</f>
        <v>0.3114754098</v>
      </c>
      <c r="O3" s="35">
        <f>IFERROR(__xludf.DUMMYFUNCTION("""COMPUTED_VALUE"""),0.28781247681921585)</f>
        <v>0.2878124768</v>
      </c>
      <c r="P3" s="11">
        <f>IFERROR(__xludf.DUMMYFUNCTION("""COMPUTED_VALUE"""),17.599999999999998)</f>
        <v>17.6</v>
      </c>
      <c r="Q3" s="11">
        <f>IFERROR(__xludf.DUMMYFUNCTION("""COMPUTED_VALUE"""),19.0)</f>
        <v>19</v>
      </c>
      <c r="R3" s="11">
        <f>IFERROR(__xludf.DUMMYFUNCTION("""COMPUTED_VALUE"""),1.4000000000000021)</f>
        <v>1.4</v>
      </c>
      <c r="S3" s="10">
        <f>IFERROR(__xludf.DUMMYFUNCTION("""COMPUTED_VALUE"""),0.07954545454545468)</f>
        <v>0.07954545455</v>
      </c>
      <c r="T3" s="11">
        <f>IFERROR(__xludf.DUMMYFUNCTION("""COMPUTED_VALUE"""),62004.0658944)</f>
        <v>62004.06589</v>
      </c>
      <c r="U3" s="36">
        <f>IFERROR(__xludf.DUMMYFUNCTION("""COMPUTED_VALUE"""),1087.1753635330322)</f>
        <v>1087.175364</v>
      </c>
      <c r="V3" s="36">
        <f>IFERROR(__xludf.DUMMYFUNCTION("""COMPUTED_VALUE"""),4313.6312811149655)</f>
        <v>4313.631281</v>
      </c>
      <c r="W3" s="10">
        <f>IFERROR(__xludf.DUMMYFUNCTION("""COMPUTED_VALUE"""),0.06957013574660686)</f>
        <v>0.06957013575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IFERROR(__xludf.DUMMYFUNCTION("""COMPUTED_VALUE"""),1250.3225806451608)</f>
        <v>1250.322581</v>
      </c>
      <c r="C4" s="11">
        <f>IFERROR(__xludf.DUMMYFUNCTION("""COMPUTED_VALUE"""),947.0)</f>
        <v>947</v>
      </c>
      <c r="D4" s="11">
        <f>IFERROR(__xludf.DUMMYFUNCTION("""COMPUTED_VALUE"""),-303.32258064516077)</f>
        <v>-303.3225806</v>
      </c>
      <c r="E4" s="10">
        <f>IFERROR(__xludf.DUMMYFUNCTION("""COMPUTED_VALUE"""),-0.2425954592363258)</f>
        <v>-0.2425954592</v>
      </c>
      <c r="F4" s="10">
        <f>IFERROR(__xludf.DUMMYFUNCTION("""COMPUTED_VALUE"""),0.7882218697919465)</f>
        <v>0.7882218698</v>
      </c>
      <c r="G4" s="10">
        <f>IFERROR(__xludf.DUMMYFUNCTION("""COMPUTED_VALUE"""),0.8796198521647307)</f>
        <v>0.8796198522</v>
      </c>
      <c r="H4" s="35">
        <f>IFERROR(__xludf.DUMMYFUNCTION("""COMPUTED_VALUE"""),9.139798237278418)</f>
        <v>9.139798237</v>
      </c>
      <c r="I4" s="11">
        <f>IFERROR(__xludf.DUMMYFUNCTION("""COMPUTED_VALUE"""),985.5316023592205)</f>
        <v>985.5316024</v>
      </c>
      <c r="J4" s="11">
        <f>IFERROR(__xludf.DUMMYFUNCTION("""COMPUTED_VALUE"""),833.0)</f>
        <v>833</v>
      </c>
      <c r="K4" s="11">
        <f>IFERROR(__xludf.DUMMYFUNCTION("""COMPUTED_VALUE"""),-152.53160235922053)</f>
        <v>-152.5316024</v>
      </c>
      <c r="L4" s="10">
        <f>IFERROR(__xludf.DUMMYFUNCTION("""COMPUTED_VALUE"""),-0.15477088912631706)</f>
        <v>-0.1547708891</v>
      </c>
      <c r="M4" s="10">
        <f>IFERROR(__xludf.DUMMYFUNCTION("""COMPUTED_VALUE"""),0.366544922676706)</f>
        <v>0.3665449227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IFERROR(__xludf.DUMMYFUNCTION("""COMPUTED_VALUE"""),361.2416049822107)</f>
        <v>361.241605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IFERROR(__xludf.DUMMYFUNCTION("""COMPUTED_VALUE"""),1506746.286993485)</f>
        <v>1506746.287</v>
      </c>
      <c r="U4" s="36">
        <f>IFERROR(__xludf.DUMMYFUNCTION("""COMPUTED_VALUE"""),1528.866535975662)</f>
        <v>1528.866536</v>
      </c>
      <c r="V4" s="36">
        <f>IFERROR(__xludf.DUMMYFUNCTION("""COMPUTED_VALUE"""),-403615.2997057589)</f>
        <v>-403615.2997</v>
      </c>
      <c r="W4" s="10">
        <f>IFERROR(__xludf.DUMMYFUNCTION("""COMPUTED_VALUE"""),-0.267872105071598)</f>
        <v>-0.2678721051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IFERROR(__xludf.DUMMYFUNCTION("""COMPUTED_VALUE"""),767.7419354838706)</f>
        <v>767.7419355</v>
      </c>
      <c r="C5" s="11">
        <f>IFERROR(__xludf.DUMMYFUNCTION("""COMPUTED_VALUE"""),708.0)</f>
        <v>708</v>
      </c>
      <c r="D5" s="11">
        <f>IFERROR(__xludf.DUMMYFUNCTION("""COMPUTED_VALUE"""),-59.741935483870634)</f>
        <v>-59.74193548</v>
      </c>
      <c r="E5" s="10">
        <f>IFERROR(__xludf.DUMMYFUNCTION("""COMPUTED_VALUE"""),-0.07781512605041976)</f>
        <v>-0.07781512605</v>
      </c>
      <c r="F5" s="10">
        <f>IFERROR(__xludf.DUMMYFUNCTION("""COMPUTED_VALUE"""),0.7999999999999999)</f>
        <v>0.8</v>
      </c>
      <c r="G5" s="10">
        <f>IFERROR(__xludf.DUMMYFUNCTION("""COMPUTED_VALUE"""),0.7669491525423728)</f>
        <v>0.7669491525</v>
      </c>
      <c r="H5" s="35">
        <f>IFERROR(__xludf.DUMMYFUNCTION("""COMPUTED_VALUE"""),-3.3050847457627097)</f>
        <v>-3.305084746</v>
      </c>
      <c r="I5" s="11">
        <f>IFERROR(__xludf.DUMMYFUNCTION("""COMPUTED_VALUE"""),614.1935483870965)</f>
        <v>614.1935484</v>
      </c>
      <c r="J5" s="11">
        <f>IFERROR(__xludf.DUMMYFUNCTION("""COMPUTED_VALUE"""),543.0)</f>
        <v>543</v>
      </c>
      <c r="K5" s="11">
        <f>IFERROR(__xludf.DUMMYFUNCTION("""COMPUTED_VALUE"""),-71.19354838709648)</f>
        <v>-71.19354839</v>
      </c>
      <c r="L5" s="10">
        <f>IFERROR(__xludf.DUMMYFUNCTION("""COMPUTED_VALUE"""),-0.11591386554621808)</f>
        <v>-0.1159138655</v>
      </c>
      <c r="M5" s="10">
        <f>IFERROR(__xludf.DUMMYFUNCTION("""COMPUTED_VALUE"""),0.3630014081802471)</f>
        <v>0.3630014082</v>
      </c>
      <c r="N5" s="10">
        <f>IFERROR(__xludf.DUMMYFUNCTION("""COMPUTED_VALUE"""),0.3425414364640884)</f>
        <v>0.3425414365</v>
      </c>
      <c r="O5" s="35">
        <f>IFERROR(__xludf.DUMMYFUNCTION("""COMPUTED_VALUE"""),-2.0459971716158707)</f>
        <v>-2.045997172</v>
      </c>
      <c r="P5" s="11">
        <f>IFERROR(__xludf.DUMMYFUNCTION("""COMPUTED_VALUE"""),222.95312295973878)</f>
        <v>222.953123</v>
      </c>
      <c r="Q5" s="11">
        <f>IFERROR(__xludf.DUMMYFUNCTION("""COMPUTED_VALUE"""),186.0)</f>
        <v>186</v>
      </c>
      <c r="R5" s="11">
        <f>IFERROR(__xludf.DUMMYFUNCTION("""COMPUTED_VALUE"""),-36.95312295973878)</f>
        <v>-36.95312296</v>
      </c>
      <c r="S5" s="10">
        <f>IFERROR(__xludf.DUMMYFUNCTION("""COMPUTED_VALUE"""),-0.1657439127525109)</f>
        <v>-0.1657439128</v>
      </c>
      <c r="T5" s="11">
        <f>IFERROR(__xludf.DUMMYFUNCTION("""COMPUTED_VALUE"""),867075.2347926005)</f>
        <v>867075.2348</v>
      </c>
      <c r="U5" s="36">
        <f>IFERROR(__xludf.DUMMYFUNCTION("""COMPUTED_VALUE"""),1411.7296364795498)</f>
        <v>1411.729636</v>
      </c>
      <c r="V5" s="36">
        <f>IFERROR(__xludf.DUMMYFUNCTION("""COMPUTED_VALUE"""),-100506.04218420495)</f>
        <v>-100506.0422</v>
      </c>
      <c r="W5" s="10">
        <f>IFERROR(__xludf.DUMMYFUNCTION("""COMPUTED_VALUE"""),-0.11591386554621806)</f>
        <v>-0.1159138655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IFERROR(__xludf.DUMMYFUNCTION("""COMPUTED_VALUE"""),159.0)</f>
        <v>159</v>
      </c>
      <c r="D6" s="9"/>
      <c r="E6" s="9"/>
      <c r="F6" s="9"/>
      <c r="G6" s="10">
        <f>IFERROR(__xludf.DUMMYFUNCTION("""COMPUTED_VALUE"""),0.8679245283018868)</f>
        <v>0.8679245283</v>
      </c>
      <c r="H6" s="9"/>
      <c r="I6" s="9"/>
      <c r="J6" s="11">
        <f>IFERROR(__xludf.DUMMYFUNCTION("""COMPUTED_VALUE"""),138.0)</f>
        <v>138</v>
      </c>
      <c r="K6" s="9"/>
      <c r="L6" s="9"/>
      <c r="M6" s="10">
        <f>IFERROR(__xludf.DUMMYFUNCTION("""COMPUTED_VALUE"""),0.3630014081802471)</f>
        <v>0.3630014082</v>
      </c>
      <c r="N6" s="10">
        <f>IFERROR(__xludf.DUMMYFUNCTION("""COMPUTED_VALUE"""),0.4057971014492754)</f>
        <v>0.4057971014</v>
      </c>
      <c r="O6" s="35">
        <f>IFERROR(__xludf.DUMMYFUNCTION("""COMPUTED_VALUE"""),4.279569326902827)</f>
        <v>4.279569327</v>
      </c>
      <c r="P6" s="9"/>
      <c r="Q6" s="11">
        <f>IFERROR(__xludf.DUMMYFUNCTION("""COMPUTED_VALUE"""),56.0)</f>
        <v>56</v>
      </c>
      <c r="R6" s="9"/>
      <c r="S6" s="9"/>
      <c r="T6" s="9"/>
      <c r="U6" s="36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1">
        <f>IFERROR(__xludf.DUMMYFUNCTION("""COMPUTED_VALUE"""),133.0)</f>
        <v>133</v>
      </c>
      <c r="D7" s="9"/>
      <c r="E7" s="9"/>
      <c r="F7" s="9"/>
      <c r="G7" s="10">
        <f>IFERROR(__xludf.DUMMYFUNCTION("""COMPUTED_VALUE"""),0.849624060150376)</f>
        <v>0.8496240602</v>
      </c>
      <c r="H7" s="9"/>
      <c r="I7" s="9"/>
      <c r="J7" s="11">
        <f>IFERROR(__xludf.DUMMYFUNCTION("""COMPUTED_VALUE"""),113.0)</f>
        <v>113</v>
      </c>
      <c r="K7" s="9"/>
      <c r="L7" s="9"/>
      <c r="M7" s="9"/>
      <c r="N7" s="10">
        <f>IFERROR(__xludf.DUMMYFUNCTION("""COMPUTED_VALUE"""),0.40707964601769914)</f>
        <v>0.407079646</v>
      </c>
      <c r="O7" s="9"/>
      <c r="P7" s="9"/>
      <c r="Q7" s="11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IFERROR(__xludf.DUMMYFUNCTION("""COMPUTED_VALUE"""),143.0)</f>
        <v>143</v>
      </c>
      <c r="D8" s="9"/>
      <c r="E8" s="9"/>
      <c r="F8" s="9"/>
      <c r="G8" s="10">
        <f>IFERROR(__xludf.DUMMYFUNCTION("""COMPUTED_VALUE"""),0.8321678321678322)</f>
        <v>0.8321678322</v>
      </c>
      <c r="H8" s="9"/>
      <c r="I8" s="9"/>
      <c r="J8" s="11">
        <f>IFERROR(__xludf.DUMMYFUNCTION("""COMPUTED_VALUE"""),119.0)</f>
        <v>119</v>
      </c>
      <c r="K8" s="9"/>
      <c r="L8" s="9"/>
      <c r="M8" s="10">
        <f>IFERROR(__xludf.DUMMYFUNCTION("""COMPUTED_VALUE"""),0.3630014081802471)</f>
        <v>0.3630014082</v>
      </c>
      <c r="N8" s="10">
        <f>IFERROR(__xludf.DUMMYFUNCTION("""COMPUTED_VALUE"""),0.3865546218487395)</f>
        <v>0.3865546218</v>
      </c>
      <c r="O8" s="35">
        <f>IFERROR(__xludf.DUMMYFUNCTION("""COMPUTED_VALUE"""),2.355321366849239)</f>
        <v>2.355321367</v>
      </c>
      <c r="P8" s="9"/>
      <c r="Q8" s="11">
        <f>IFERROR(__xludf.DUMMYFUNCTION("""COMPUTED_VALUE"""),46.0)</f>
        <v>46</v>
      </c>
      <c r="R8" s="9"/>
      <c r="S8" s="9"/>
      <c r="T8" s="9"/>
      <c r="U8" s="36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1">
        <f>IFERROR(__xludf.DUMMYFUNCTION("""COMPUTED_VALUE"""),152.0)</f>
        <v>152</v>
      </c>
      <c r="D9" s="9"/>
      <c r="E9" s="9"/>
      <c r="F9" s="9"/>
      <c r="G9" s="10">
        <f>IFERROR(__xludf.DUMMYFUNCTION("""COMPUTED_VALUE"""),0.7894736842105263)</f>
        <v>0.7894736842</v>
      </c>
      <c r="H9" s="9"/>
      <c r="I9" s="9"/>
      <c r="J9" s="11">
        <f>IFERROR(__xludf.DUMMYFUNCTION("""COMPUTED_VALUE"""),120.0)</f>
        <v>120</v>
      </c>
      <c r="K9" s="9"/>
      <c r="L9" s="9"/>
      <c r="M9" s="10">
        <f>IFERROR(__xludf.DUMMYFUNCTION("""COMPUTED_VALUE"""),0.3630014081802471)</f>
        <v>0.3630014082</v>
      </c>
      <c r="N9" s="10">
        <f>IFERROR(__xludf.DUMMYFUNCTION("""COMPUTED_VALUE"""),0.375)</f>
        <v>0.375</v>
      </c>
      <c r="O9" s="35">
        <f>IFERROR(__xludf.DUMMYFUNCTION("""COMPUTED_VALUE"""),1.199859181975288)</f>
        <v>1.199859182</v>
      </c>
      <c r="P9" s="9"/>
      <c r="Q9" s="11">
        <f>IFERROR(__xludf.DUMMYFUNCTION("""COMPUTED_VALUE"""),45.0)</f>
        <v>45</v>
      </c>
      <c r="R9" s="9"/>
      <c r="S9" s="9"/>
      <c r="T9" s="9"/>
      <c r="U9" s="36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1">
        <f>IFERROR(__xludf.DUMMYFUNCTION("""COMPUTED_VALUE"""),134.0)</f>
        <v>134</v>
      </c>
      <c r="D10" s="9"/>
      <c r="E10" s="9"/>
      <c r="F10" s="9"/>
      <c r="G10" s="10">
        <f>IFERROR(__xludf.DUMMYFUNCTION("""COMPUTED_VALUE"""),0.8507462686567164)</f>
        <v>0.8507462687</v>
      </c>
      <c r="H10" s="9"/>
      <c r="I10" s="9"/>
      <c r="J10" s="11">
        <f>IFERROR(__xludf.DUMMYFUNCTION("""COMPUTED_VALUE"""),114.0)</f>
        <v>114</v>
      </c>
      <c r="K10" s="9"/>
      <c r="L10" s="9"/>
      <c r="M10" s="10">
        <f>IFERROR(__xludf.DUMMYFUNCTION("""COMPUTED_VALUE"""),0.3630014081802471)</f>
        <v>0.3630014082</v>
      </c>
      <c r="N10" s="10">
        <f>IFERROR(__xludf.DUMMYFUNCTION("""COMPUTED_VALUE"""),0.38596491228070173)</f>
        <v>0.3859649123</v>
      </c>
      <c r="O10" s="35">
        <f>IFERROR(__xludf.DUMMYFUNCTION("""COMPUTED_VALUE"""),2.296350410045461)</f>
        <v>2.29635041</v>
      </c>
      <c r="P10" s="9"/>
      <c r="Q10" s="11">
        <f>IFERROR(__xludf.DUMMYFUNCTION("""COMPUTED_VALUE"""),44.0)</f>
        <v>44</v>
      </c>
      <c r="R10" s="9"/>
      <c r="S10" s="9"/>
      <c r="T10" s="9"/>
      <c r="U10" s="36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IFERROR(__xludf.DUMMYFUNCTION("""COMPUTED_VALUE"""),145.0)</f>
        <v>145</v>
      </c>
      <c r="D11" s="9"/>
      <c r="E11" s="9"/>
      <c r="F11" s="9"/>
      <c r="G11" s="10">
        <f>IFERROR(__xludf.DUMMYFUNCTION("""COMPUTED_VALUE"""),0.8068965517241379)</f>
        <v>0.8068965517</v>
      </c>
      <c r="H11" s="9"/>
      <c r="I11" s="9"/>
      <c r="J11" s="11">
        <f>IFERROR(__xludf.DUMMYFUNCTION("""COMPUTED_VALUE"""),117.0)</f>
        <v>117</v>
      </c>
      <c r="K11" s="9"/>
      <c r="L11" s="9"/>
      <c r="M11" s="10">
        <f>IFERROR(__xludf.DUMMYFUNCTION("""COMPUTED_VALUE"""),0.3630014081802471)</f>
        <v>0.3630014082</v>
      </c>
      <c r="N11" s="10">
        <f>IFERROR(__xludf.DUMMYFUNCTION("""COMPUTED_VALUE"""),0.3504273504273504)</f>
        <v>0.3504273504</v>
      </c>
      <c r="O11" s="35">
        <f>IFERROR(__xludf.DUMMYFUNCTION("""COMPUTED_VALUE"""),-1.2574057752896717)</f>
        <v>-1.257405775</v>
      </c>
      <c r="P11" s="9"/>
      <c r="Q11" s="11">
        <f>IFERROR(__xludf.DUMMYFUNCTION("""COMPUTED_VALUE"""),41.0)</f>
        <v>41</v>
      </c>
      <c r="R11" s="9"/>
      <c r="S11" s="9"/>
      <c r="T11" s="9"/>
      <c r="U11" s="36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IFERROR(__xludf.DUMMYFUNCTION("""COMPUTED_VALUE"""),124.0)</f>
        <v>124</v>
      </c>
      <c r="D12" s="9"/>
      <c r="E12" s="9"/>
      <c r="F12" s="9"/>
      <c r="G12" s="10">
        <f>IFERROR(__xludf.DUMMYFUNCTION("""COMPUTED_VALUE"""),0.9112903225806451)</f>
        <v>0.9112903226</v>
      </c>
      <c r="H12" s="9"/>
      <c r="I12" s="9"/>
      <c r="J12" s="11">
        <f>IFERROR(__xludf.DUMMYFUNCTION("""COMPUTED_VALUE"""),113.0)</f>
        <v>113</v>
      </c>
      <c r="K12" s="9"/>
      <c r="L12" s="9"/>
      <c r="M12" s="10">
        <f>IFERROR(__xludf.DUMMYFUNCTION("""COMPUTED_VALUE"""),0.3630014081802471)</f>
        <v>0.3630014082</v>
      </c>
      <c r="N12" s="10">
        <f>IFERROR(__xludf.DUMMYFUNCTION("""COMPUTED_VALUE"""),0.34513274336283184)</f>
        <v>0.3451327434</v>
      </c>
      <c r="O12" s="35">
        <f>IFERROR(__xludf.DUMMYFUNCTION("""COMPUTED_VALUE"""),-1.786866481741528)</f>
        <v>-1.786866482</v>
      </c>
      <c r="P12" s="9"/>
      <c r="Q12" s="11">
        <f>IFERROR(__xludf.DUMMYFUNCTION("""COMPUTED_VALUE"""),39.0)</f>
        <v>39</v>
      </c>
      <c r="R12" s="9"/>
      <c r="S12" s="9"/>
      <c r="T12" s="9"/>
      <c r="U12" s="36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1">
        <f>IFERROR(__xludf.DUMMYFUNCTION("""COMPUTED_VALUE"""),91.0)</f>
        <v>91</v>
      </c>
      <c r="D13" s="9"/>
      <c r="E13" s="9"/>
      <c r="F13" s="9"/>
      <c r="G13" s="10">
        <f>IFERROR(__xludf.DUMMYFUNCTION("""COMPUTED_VALUE"""),0.8901098901098901)</f>
        <v>0.8901098901</v>
      </c>
      <c r="H13" s="9"/>
      <c r="I13" s="9"/>
      <c r="J13" s="11">
        <f>IFERROR(__xludf.DUMMYFUNCTION("""COMPUTED_VALUE"""),81.0)</f>
        <v>81</v>
      </c>
      <c r="K13" s="9"/>
      <c r="L13" s="9"/>
      <c r="M13" s="10">
        <f>IFERROR(__xludf.DUMMYFUNCTION("""COMPUTED_VALUE"""),0.3630014081802471)</f>
        <v>0.3630014082</v>
      </c>
      <c r="N13" s="10">
        <f>IFERROR(__xludf.DUMMYFUNCTION("""COMPUTED_VALUE"""),0.37037037037037035)</f>
        <v>0.3703703704</v>
      </c>
      <c r="O13" s="35">
        <f>IFERROR(__xludf.DUMMYFUNCTION("""COMPUTED_VALUE"""),0.7368962190123229)</f>
        <v>0.736896219</v>
      </c>
      <c r="P13" s="9"/>
      <c r="Q13" s="11">
        <f>IFERROR(__xludf.DUMMYFUNCTION("""COMPUTED_VALUE"""),30.0)</f>
        <v>30</v>
      </c>
      <c r="R13" s="9"/>
      <c r="S13" s="9"/>
      <c r="T13" s="9"/>
      <c r="U13" s="36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1">
        <f>IFERROR(__xludf.DUMMYFUNCTION("""COMPUTED_VALUE"""),127.0)</f>
        <v>127</v>
      </c>
      <c r="D14" s="9"/>
      <c r="E14" s="9"/>
      <c r="F14" s="9"/>
      <c r="G14" s="10">
        <f>IFERROR(__xludf.DUMMYFUNCTION("""COMPUTED_VALUE"""),0.6850393700787402)</f>
        <v>0.6850393701</v>
      </c>
      <c r="H14" s="9"/>
      <c r="I14" s="9"/>
      <c r="J14" s="11">
        <f>IFERROR(__xludf.DUMMYFUNCTION("""COMPUTED_VALUE"""),87.0)</f>
        <v>87</v>
      </c>
      <c r="K14" s="9"/>
      <c r="L14" s="9"/>
      <c r="M14" s="10">
        <f>IFERROR(__xludf.DUMMYFUNCTION("""COMPUTED_VALUE"""),0.3630014081802471)</f>
        <v>0.3630014082</v>
      </c>
      <c r="N14" s="10">
        <f>IFERROR(__xludf.DUMMYFUNCTION("""COMPUTED_VALUE"""),0.3218390804597701)</f>
        <v>0.3218390805</v>
      </c>
      <c r="O14" s="35">
        <f>IFERROR(__xludf.DUMMYFUNCTION("""COMPUTED_VALUE"""),-4.1162327720477005)</f>
        <v>-4.116232772</v>
      </c>
      <c r="P14" s="9"/>
      <c r="Q14" s="11">
        <f>IFERROR(__xludf.DUMMYFUNCTION("""COMPUTED_VALUE"""),28.0)</f>
        <v>28</v>
      </c>
      <c r="R14" s="9"/>
      <c r="S14" s="9"/>
      <c r="T14" s="9"/>
      <c r="U14" s="36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1">
        <f>IFERROR(__xludf.DUMMYFUNCTION("""COMPUTED_VALUE"""),141.0)</f>
        <v>141</v>
      </c>
      <c r="D15" s="9"/>
      <c r="E15" s="9"/>
      <c r="F15" s="9"/>
      <c r="G15" s="10">
        <f>IFERROR(__xludf.DUMMYFUNCTION("""COMPUTED_VALUE"""),0.8297872340425532)</f>
        <v>0.829787234</v>
      </c>
      <c r="H15" s="9"/>
      <c r="I15" s="9"/>
      <c r="J15" s="11">
        <f>IFERROR(__xludf.DUMMYFUNCTION("""COMPUTED_VALUE"""),117.0)</f>
        <v>117</v>
      </c>
      <c r="K15" s="9"/>
      <c r="L15" s="9"/>
      <c r="M15" s="10">
        <f>IFERROR(__xludf.DUMMYFUNCTION("""COMPUTED_VALUE"""),0.3630014081802471)</f>
        <v>0.3630014082</v>
      </c>
      <c r="N15" s="10">
        <f>IFERROR(__xludf.DUMMYFUNCTION("""COMPUTED_VALUE"""),0.2222222222222222)</f>
        <v>0.2222222222</v>
      </c>
      <c r="O15" s="35">
        <f>IFERROR(__xludf.DUMMYFUNCTION("""COMPUTED_VALUE"""),-14.07791859580249)</f>
        <v>-14.0779186</v>
      </c>
      <c r="P15" s="9"/>
      <c r="Q15" s="11">
        <f>IFERROR(__xludf.DUMMYFUNCTION("""COMPUTED_VALUE"""),26.0)</f>
        <v>26</v>
      </c>
      <c r="R15" s="9"/>
      <c r="S15" s="9"/>
      <c r="T15" s="9"/>
      <c r="U15" s="36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1">
        <f>IFERROR(__xludf.DUMMYFUNCTION("""COMPUTED_VALUE"""),65.0)</f>
        <v>65</v>
      </c>
      <c r="D16" s="9"/>
      <c r="E16" s="9"/>
      <c r="F16" s="9"/>
      <c r="G16" s="10">
        <f>IFERROR(__xludf.DUMMYFUNCTION("""COMPUTED_VALUE"""),0.8461538461538461)</f>
        <v>0.8461538462</v>
      </c>
      <c r="H16" s="9"/>
      <c r="I16" s="9"/>
      <c r="J16" s="11">
        <f>IFERROR(__xludf.DUMMYFUNCTION("""COMPUTED_VALUE"""),55.0)</f>
        <v>55</v>
      </c>
      <c r="K16" s="9"/>
      <c r="L16" s="9"/>
      <c r="M16" s="10">
        <f>IFERROR(__xludf.DUMMYFUNCTION("""COMPUTED_VALUE"""),0.3630014081802471)</f>
        <v>0.3630014082</v>
      </c>
      <c r="N16" s="10">
        <f>IFERROR(__xludf.DUMMYFUNCTION("""COMPUTED_VALUE"""),0.23636363636363636)</f>
        <v>0.2363636364</v>
      </c>
      <c r="O16" s="35">
        <f>IFERROR(__xludf.DUMMYFUNCTION("""COMPUTED_VALUE"""),-12.663777181661077)</f>
        <v>-12.66377718</v>
      </c>
      <c r="P16" s="9"/>
      <c r="Q16" s="11">
        <f>IFERROR(__xludf.DUMMYFUNCTION("""COMPUTED_VALUE"""),13.0)</f>
        <v>13</v>
      </c>
      <c r="R16" s="9"/>
      <c r="S16" s="9"/>
      <c r="T16" s="9"/>
      <c r="U16" s="36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1">
        <f>IFERROR(__xludf.DUMMYFUNCTION("""COMPUTED_VALUE"""),8.0)</f>
        <v>8</v>
      </c>
      <c r="D17" s="9"/>
      <c r="E17" s="9"/>
      <c r="F17" s="9"/>
      <c r="G17" s="10">
        <f>IFERROR(__xludf.DUMMYFUNCTION("""COMPUTED_VALUE"""),1.125)</f>
        <v>1.125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IFERROR(__xludf.DUMMYFUNCTION("""COMPUTED_VALUE"""),0.3630014081802471)</f>
        <v>0.3630014082</v>
      </c>
      <c r="N17" s="10">
        <f>IFERROR(__xludf.DUMMYFUNCTION("""COMPUTED_VALUE"""),0.8888888888888888)</f>
        <v>0.8888888889</v>
      </c>
      <c r="O17" s="35">
        <f>IFERROR(__xludf.DUMMYFUNCTION("""COMPUTED_VALUE"""),52.58874807086418)</f>
        <v>52.58874807</v>
      </c>
      <c r="P17" s="9"/>
      <c r="Q17" s="11">
        <f>IFERROR(__xludf.DUMMYFUNCTION("""COMPUTED_VALUE"""),8.0)</f>
        <v>8</v>
      </c>
      <c r="R17" s="9"/>
      <c r="S17" s="9"/>
      <c r="T17" s="9"/>
      <c r="U17" s="36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IFERROR(__xludf.DUMMYFUNCTION("""COMPUTED_VALUE"""),0.3630014081802471)</f>
        <v>0.3630014082</v>
      </c>
      <c r="N18" s="10">
        <f>IFERROR(__xludf.DUMMYFUNCTION("""COMPUTED_VALUE"""),0.7777777777777778)</f>
        <v>0.7777777778</v>
      </c>
      <c r="O18" s="35">
        <f>IFERROR(__xludf.DUMMYFUNCTION("""COMPUTED_VALUE"""),41.47763695975307)</f>
        <v>41.47763696</v>
      </c>
      <c r="P18" s="9"/>
      <c r="Q18" s="11">
        <f>IFERROR(__xludf.DUMMYFUNCTION("""COMPUTED_VALUE"""),7.0)</f>
        <v>7</v>
      </c>
      <c r="R18" s="9"/>
      <c r="S18" s="9"/>
      <c r="T18" s="9"/>
      <c r="U18" s="36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IFERROR(__xludf.DUMMYFUNCTION("""COMPUTED_VALUE"""),11.0)</f>
        <v>11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IFERROR(__xludf.DUMMYFUNCTION("""COMPUTED_VALUE"""),11.0)</f>
        <v>11</v>
      </c>
      <c r="K19" s="9"/>
      <c r="L19" s="9"/>
      <c r="M19" s="10">
        <f>IFERROR(__xludf.DUMMYFUNCTION("""COMPUTED_VALUE"""),0.3630014081802471)</f>
        <v>0.3630014082</v>
      </c>
      <c r="N19" s="10">
        <f>IFERROR(__xludf.DUMMYFUNCTION("""COMPUTED_VALUE"""),0.5454545454545454)</f>
        <v>0.5454545455</v>
      </c>
      <c r="O19" s="35">
        <f>IFERROR(__xludf.DUMMYFUNCTION("""COMPUTED_VALUE"""),18.245313727429828)</f>
        <v>18.24531373</v>
      </c>
      <c r="P19" s="9"/>
      <c r="Q19" s="11">
        <f>IFERROR(__xludf.DUMMYFUNCTION("""COMPUTED_VALUE"""),6.0)</f>
        <v>6</v>
      </c>
      <c r="R19" s="9"/>
      <c r="S19" s="9"/>
      <c r="T19" s="9"/>
      <c r="U19" s="36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IFERROR(__xludf.DUMMYFUNCTION("""COMPUTED_VALUE"""),0.3630014081802471)</f>
        <v>0.3630014082</v>
      </c>
      <c r="N20" s="10">
        <f>IFERROR(__xludf.DUMMYFUNCTION("""COMPUTED_VALUE"""),1.0)</f>
        <v>1</v>
      </c>
      <c r="O20" s="35">
        <f>IFERROR(__xludf.DUMMYFUNCTION("""COMPUTED_VALUE"""),63.69985918197529)</f>
        <v>63.69985918</v>
      </c>
      <c r="P20" s="9"/>
      <c r="Q20" s="11">
        <f>IFERROR(__xludf.DUMMYFUNCTION("""COMPUTED_VALUE"""),1.0)</f>
        <v>1</v>
      </c>
      <c r="R20" s="9"/>
      <c r="S20" s="9"/>
      <c r="T20" s="9"/>
      <c r="U20" s="36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IFERROR(__xludf.DUMMYFUNCTION("""COMPUTED_VALUE"""),0.3630014081802471)</f>
        <v>0.3630014082</v>
      </c>
      <c r="N21" s="10">
        <f>IFERROR(__xludf.DUMMYFUNCTION("""COMPUTED_VALUE"""),1.0)</f>
        <v>1</v>
      </c>
      <c r="O21" s="35">
        <f>IFERROR(__xludf.DUMMYFUNCTION("""COMPUTED_VALUE"""),63.69985918197529)</f>
        <v>63.69985918</v>
      </c>
      <c r="P21" s="9"/>
      <c r="Q21" s="11">
        <f>IFERROR(__xludf.DUMMYFUNCTION("""COMPUTED_VALUE"""),1.0)</f>
        <v>1</v>
      </c>
      <c r="R21" s="9"/>
      <c r="S21" s="9"/>
      <c r="T21" s="9"/>
      <c r="U21" s="36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IFERROR(__xludf.DUMMYFUNCTION("""COMPUTED_VALUE"""),0.3630014081802471)</f>
        <v>0.3630014082</v>
      </c>
      <c r="N22" s="10">
        <f>IFERROR(__xludf.DUMMYFUNCTION("""COMPUTED_VALUE"""),0.0)</f>
        <v>0</v>
      </c>
      <c r="O22" s="35">
        <f>IFERROR(__xludf.DUMMYFUNCTION("""COMPUTED_VALUE"""),-36.300140818024715)</f>
        <v>-36.30014082</v>
      </c>
      <c r="P22" s="9"/>
      <c r="Q22" s="11">
        <f>IFERROR(__xludf.DUMMYFUNCTION("""COMPUTED_VALUE"""),0.0)</f>
        <v>0</v>
      </c>
      <c r="R22" s="9"/>
      <c r="S22" s="9"/>
      <c r="T22" s="9"/>
      <c r="U22" s="36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1">
        <f>IFERROR(__xludf.DUMMYFUNCTION("""COMPUTED_VALUE"""),2.0)</f>
        <v>2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IFERROR(__xludf.DUMMYFUNCTION("""COMPUTED_VALUE"""),2.0)</f>
        <v>2</v>
      </c>
      <c r="K23" s="9"/>
      <c r="L23" s="9"/>
      <c r="M23" s="10">
        <f>IFERROR(__xludf.DUMMYFUNCTION("""COMPUTED_VALUE"""),0.3630014081802471)</f>
        <v>0.3630014082</v>
      </c>
      <c r="N23" s="10">
        <f>IFERROR(__xludf.DUMMYFUNCTION("""COMPUTED_VALUE"""),0.0)</f>
        <v>0</v>
      </c>
      <c r="O23" s="35">
        <f>IFERROR(__xludf.DUMMYFUNCTION("""COMPUTED_VALUE"""),-36.300140818024715)</f>
        <v>-36.30014082</v>
      </c>
      <c r="P23" s="9"/>
      <c r="Q23" s="11">
        <f>IFERROR(__xludf.DUMMYFUNCTION("""COMPUTED_VALUE"""),0.0)</f>
        <v>0</v>
      </c>
      <c r="R23" s="9"/>
      <c r="S23" s="9"/>
      <c r="T23" s="9"/>
      <c r="U23" s="36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1">
        <f>IFERROR(__xludf.DUMMYFUNCTION("""COMPUTED_VALUE"""),1.0)</f>
        <v>1</v>
      </c>
      <c r="D24" s="9"/>
      <c r="E24" s="9"/>
      <c r="F24" s="9"/>
      <c r="G24" s="10">
        <f>IFERROR(__xludf.DUMMYFUNCTION("""COMPUTED_VALUE"""),0.0)</f>
        <v>0</v>
      </c>
      <c r="H24" s="9"/>
      <c r="I24" s="9"/>
      <c r="J24" s="11">
        <f>IFERROR(__xludf.DUMMYFUNCTION("""COMPUTED_VALUE"""),0.0)</f>
        <v>0</v>
      </c>
      <c r="K24" s="9"/>
      <c r="L24" s="9"/>
      <c r="M24" s="10">
        <f>IFERROR(__xludf.DUMMYFUNCTION("""COMPUTED_VALUE"""),0.3630014081802471)</f>
        <v>0.3630014082</v>
      </c>
      <c r="N24" s="10">
        <f>IFERROR(__xludf.DUMMYFUNCTION("""COMPUTED_VALUE"""),0.0)</f>
        <v>0</v>
      </c>
      <c r="O24" s="35">
        <f>IFERROR(__xludf.DUMMYFUNCTION("""COMPUTED_VALUE"""),-36.300140818024715)</f>
        <v>-36.30014082</v>
      </c>
      <c r="P24" s="9"/>
      <c r="Q24" s="11">
        <f>IFERROR(__xludf.DUMMYFUNCTION("""COMPUTED_VALUE"""),0.0)</f>
        <v>0</v>
      </c>
      <c r="R24" s="9"/>
      <c r="S24" s="9"/>
      <c r="T24" s="9"/>
      <c r="U24" s="36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1">
        <f>IFERROR(__xludf.DUMMYFUNCTION("""COMPUTED_VALUE"""),230.32258064516117)</f>
        <v>230.3225806</v>
      </c>
      <c r="C25" s="11">
        <f>IFERROR(__xludf.DUMMYFUNCTION("""COMPUTED_VALUE"""),108.0)</f>
        <v>108</v>
      </c>
      <c r="D25" s="11">
        <f>IFERROR(__xludf.DUMMYFUNCTION("""COMPUTED_VALUE"""),-122.32258064516117)</f>
        <v>-122.3225806</v>
      </c>
      <c r="E25" s="10">
        <f>IFERROR(__xludf.DUMMYFUNCTION("""COMPUTED_VALUE"""),-0.5310924369747897)</f>
        <v>-0.531092437</v>
      </c>
      <c r="F25" s="10">
        <f>IFERROR(__xludf.DUMMYFUNCTION("""COMPUTED_VALUE"""),0.8100000000000002)</f>
        <v>0.81</v>
      </c>
      <c r="G25" s="10">
        <f>IFERROR(__xludf.DUMMYFUNCTION("""COMPUTED_VALUE"""),0.8703703703703703)</f>
        <v>0.8703703704</v>
      </c>
      <c r="H25" s="35">
        <f>IFERROR(__xludf.DUMMYFUNCTION("""COMPUTED_VALUE"""),6.0370370370370185)</f>
        <v>6.037037037</v>
      </c>
      <c r="I25" s="11">
        <f>IFERROR(__xludf.DUMMYFUNCTION("""COMPUTED_VALUE"""),186.5612903225806)</f>
        <v>186.5612903</v>
      </c>
      <c r="J25" s="11">
        <f>IFERROR(__xludf.DUMMYFUNCTION("""COMPUTED_VALUE"""),94.0)</f>
        <v>94</v>
      </c>
      <c r="K25" s="11">
        <f>IFERROR(__xludf.DUMMYFUNCTION("""COMPUTED_VALUE"""),-92.56129032258059)</f>
        <v>-92.56129032</v>
      </c>
      <c r="L25" s="10">
        <f>IFERROR(__xludf.DUMMYFUNCTION("""COMPUTED_VALUE"""),-0.49614413666701235)</f>
        <v>-0.4961441367</v>
      </c>
      <c r="M25" s="10">
        <f>IFERROR(__xludf.DUMMYFUNCTION("""COMPUTED_VALUE"""),0.31091176470588244)</f>
        <v>0.3109117647</v>
      </c>
      <c r="N25" s="10">
        <f>IFERROR(__xludf.DUMMYFUNCTION("""COMPUTED_VALUE"""),0.40425531914893614)</f>
        <v>0.4042553191</v>
      </c>
      <c r="O25" s="35">
        <f>IFERROR(__xludf.DUMMYFUNCTION("""COMPUTED_VALUE"""),9.33435544430537)</f>
        <v>9.334355444</v>
      </c>
      <c r="P25" s="11">
        <f>IFERROR(__xludf.DUMMYFUNCTION("""COMPUTED_VALUE"""),58.0041)</f>
        <v>58.0041</v>
      </c>
      <c r="Q25" s="11">
        <f>IFERROR(__xludf.DUMMYFUNCTION("""COMPUTED_VALUE"""),38.0)</f>
        <v>38</v>
      </c>
      <c r="R25" s="11">
        <f>IFERROR(__xludf.DUMMYFUNCTION("""COMPUTED_VALUE"""),-20.0041)</f>
        <v>-20.0041</v>
      </c>
      <c r="S25" s="10">
        <f>IFERROR(__xludf.DUMMYFUNCTION("""COMPUTED_VALUE"""),-0.344873896845223)</f>
        <v>-0.3448738968</v>
      </c>
      <c r="T25" s="11">
        <f>IFERROR(__xludf.DUMMYFUNCTION("""COMPUTED_VALUE"""),308830.70232000004)</f>
        <v>308830.7023</v>
      </c>
      <c r="U25" s="36">
        <f>IFERROR(__xludf.DUMMYFUNCTION("""COMPUTED_VALUE"""),1655.3846823529418)</f>
        <v>1655.384682</v>
      </c>
      <c r="V25" s="36">
        <f>IFERROR(__xludf.DUMMYFUNCTION("""COMPUTED_VALUE"""),-153224.5421788235)</f>
        <v>-153224.5422</v>
      </c>
      <c r="W25" s="10">
        <f>IFERROR(__xludf.DUMMYFUNCTION("""COMPUTED_VALUE"""),-0.4961441366670123)</f>
        <v>-0.4961441367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1">
        <f>IFERROR(__xludf.DUMMYFUNCTION("""COMPUTED_VALUE"""),38.0)</f>
        <v>38</v>
      </c>
      <c r="D26" s="9"/>
      <c r="E26" s="9"/>
      <c r="F26" s="9"/>
      <c r="G26" s="10">
        <f>IFERROR(__xludf.DUMMYFUNCTION("""COMPUTED_VALUE"""),0.9473684210526315)</f>
        <v>0.9473684211</v>
      </c>
      <c r="H26" s="9"/>
      <c r="I26" s="9"/>
      <c r="J26" s="11">
        <f>IFERROR(__xludf.DUMMYFUNCTION("""COMPUTED_VALUE"""),36.0)</f>
        <v>36</v>
      </c>
      <c r="K26" s="9"/>
      <c r="L26" s="9"/>
      <c r="M26" s="9"/>
      <c r="N26" s="10">
        <f>IFERROR(__xludf.DUMMYFUNCTION("""COMPUTED_VALUE"""),0.4722222222222222)</f>
        <v>0.4722222222</v>
      </c>
      <c r="O26" s="9"/>
      <c r="P26" s="9"/>
      <c r="Q26" s="11">
        <f>IFERROR(__xludf.DUMMYFUNCTION("""COMPUTED_VALUE"""),17.0)</f>
        <v>17</v>
      </c>
      <c r="R26" s="9"/>
      <c r="S26" s="9"/>
      <c r="T26" s="9"/>
      <c r="U26" s="36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1">
        <f>IFERROR(__xludf.DUMMYFUNCTION("""COMPUTED_VALUE"""),51.0)</f>
        <v>51</v>
      </c>
      <c r="D27" s="9"/>
      <c r="E27" s="9"/>
      <c r="F27" s="9"/>
      <c r="G27" s="10">
        <f>IFERROR(__xludf.DUMMYFUNCTION("""COMPUTED_VALUE"""),0.7450980392156863)</f>
        <v>0.7450980392</v>
      </c>
      <c r="H27" s="9"/>
      <c r="I27" s="9"/>
      <c r="J27" s="11">
        <f>IFERROR(__xludf.DUMMYFUNCTION("""COMPUTED_VALUE"""),38.0)</f>
        <v>38</v>
      </c>
      <c r="K27" s="9"/>
      <c r="L27" s="9"/>
      <c r="M27" s="9"/>
      <c r="N27" s="10">
        <f>IFERROR(__xludf.DUMMYFUNCTION("""COMPUTED_VALUE"""),0.4473684210526316)</f>
        <v>0.4473684211</v>
      </c>
      <c r="O27" s="9"/>
      <c r="P27" s="9"/>
      <c r="Q27" s="11">
        <f>IFERROR(__xludf.DUMMYFUNCTION("""COMPUTED_VALUE"""),17.0)</f>
        <v>17</v>
      </c>
      <c r="R27" s="9"/>
      <c r="S27" s="9"/>
      <c r="T27" s="9"/>
      <c r="U27" s="36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1">
        <f>IFERROR(__xludf.DUMMYFUNCTION("""COMPUTED_VALUE"""),53.0)</f>
        <v>53</v>
      </c>
      <c r="D28" s="9"/>
      <c r="E28" s="9"/>
      <c r="F28" s="9"/>
      <c r="G28" s="10">
        <f>IFERROR(__xludf.DUMMYFUNCTION("""COMPUTED_VALUE"""),0.8301886792452831)</f>
        <v>0.8301886792</v>
      </c>
      <c r="H28" s="9"/>
      <c r="I28" s="9"/>
      <c r="J28" s="11">
        <f>IFERROR(__xludf.DUMMYFUNCTION("""COMPUTED_VALUE"""),44.0)</f>
        <v>44</v>
      </c>
      <c r="K28" s="9"/>
      <c r="L28" s="9"/>
      <c r="M28" s="9"/>
      <c r="N28" s="10">
        <f>IFERROR(__xludf.DUMMYFUNCTION("""COMPUTED_VALUE"""),0.36363636363636365)</f>
        <v>0.3636363636</v>
      </c>
      <c r="O28" s="9"/>
      <c r="P28" s="9"/>
      <c r="Q28" s="11">
        <f>IFERROR(__xludf.DUMMYFUNCTION("""COMPUTED_VALUE"""),16.0)</f>
        <v>16</v>
      </c>
      <c r="R28" s="9"/>
      <c r="S28" s="9"/>
      <c r="T28" s="9"/>
      <c r="U28" s="36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1">
        <f>IFERROR(__xludf.DUMMYFUNCTION("""COMPUTED_VALUE"""),50.0)</f>
        <v>50</v>
      </c>
      <c r="D29" s="9"/>
      <c r="E29" s="9"/>
      <c r="F29" s="9"/>
      <c r="G29" s="10">
        <f>IFERROR(__xludf.DUMMYFUNCTION("""COMPUTED_VALUE"""),0.84)</f>
        <v>0.84</v>
      </c>
      <c r="H29" s="9"/>
      <c r="I29" s="9"/>
      <c r="J29" s="11">
        <f>IFERROR(__xludf.DUMMYFUNCTION("""COMPUTED_VALUE"""),42.0)</f>
        <v>42</v>
      </c>
      <c r="K29" s="9"/>
      <c r="L29" s="9"/>
      <c r="M29" s="9"/>
      <c r="N29" s="10">
        <f>IFERROR(__xludf.DUMMYFUNCTION("""COMPUTED_VALUE"""),0.3333333333333333)</f>
        <v>0.3333333333</v>
      </c>
      <c r="O29" s="9"/>
      <c r="P29" s="9"/>
      <c r="Q29" s="11">
        <f>IFERROR(__xludf.DUMMYFUNCTION("""COMPUTED_VALUE"""),14.0)</f>
        <v>14</v>
      </c>
      <c r="R29" s="9"/>
      <c r="S29" s="9"/>
      <c r="T29" s="9"/>
      <c r="U29" s="36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1">
        <f>IFERROR(__xludf.DUMMYFUNCTION("""COMPUTED_VALUE"""),40.0)</f>
        <v>40</v>
      </c>
      <c r="D30" s="9"/>
      <c r="E30" s="9"/>
      <c r="F30" s="9"/>
      <c r="G30" s="10">
        <f>IFERROR(__xludf.DUMMYFUNCTION("""COMPUTED_VALUE"""),0.8)</f>
        <v>0.8</v>
      </c>
      <c r="H30" s="9"/>
      <c r="I30" s="9"/>
      <c r="J30" s="11">
        <f>IFERROR(__xludf.DUMMYFUNCTION("""COMPUTED_VALUE"""),32.0)</f>
        <v>32</v>
      </c>
      <c r="K30" s="9"/>
      <c r="L30" s="9"/>
      <c r="M30" s="9"/>
      <c r="N30" s="10">
        <f>IFERROR(__xludf.DUMMYFUNCTION("""COMPUTED_VALUE"""),0.40625)</f>
        <v>0.40625</v>
      </c>
      <c r="O30" s="9"/>
      <c r="P30" s="9"/>
      <c r="Q30" s="11">
        <f>IFERROR(__xludf.DUMMYFUNCTION("""COMPUTED_VALUE"""),13.0)</f>
        <v>13</v>
      </c>
      <c r="R30" s="9"/>
      <c r="S30" s="9"/>
      <c r="T30" s="9"/>
      <c r="U30" s="36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IFERROR(__xludf.DUMMYFUNCTION("""COMPUTED_VALUE"""),47.0)</f>
        <v>47</v>
      </c>
      <c r="D31" s="9"/>
      <c r="E31" s="9"/>
      <c r="F31" s="9"/>
      <c r="G31" s="10">
        <f>IFERROR(__xludf.DUMMYFUNCTION("""COMPUTED_VALUE"""),0.8936170212765957)</f>
        <v>0.8936170213</v>
      </c>
      <c r="H31" s="9"/>
      <c r="I31" s="9"/>
      <c r="J31" s="11">
        <f>IFERROR(__xludf.DUMMYFUNCTION("""COMPUTED_VALUE"""),42.0)</f>
        <v>42</v>
      </c>
      <c r="K31" s="9"/>
      <c r="L31" s="9"/>
      <c r="M31" s="9"/>
      <c r="N31" s="10">
        <f>IFERROR(__xludf.DUMMYFUNCTION("""COMPUTED_VALUE"""),0.2857142857142857)</f>
        <v>0.2857142857</v>
      </c>
      <c r="O31" s="9"/>
      <c r="P31" s="9"/>
      <c r="Q31" s="11">
        <f>IFERROR(__xludf.DUMMYFUNCTION("""COMPUTED_VALUE"""),12.0)</f>
        <v>12</v>
      </c>
      <c r="R31" s="9"/>
      <c r="S31" s="9"/>
      <c r="T31" s="9"/>
      <c r="U31" s="36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1">
        <f>IFERROR(__xludf.DUMMYFUNCTION("""COMPUTED_VALUE"""),42.0)</f>
        <v>42</v>
      </c>
      <c r="D32" s="9"/>
      <c r="E32" s="9"/>
      <c r="F32" s="9"/>
      <c r="G32" s="10">
        <f>IFERROR(__xludf.DUMMYFUNCTION("""COMPUTED_VALUE"""),0.7619047619047619)</f>
        <v>0.7619047619</v>
      </c>
      <c r="H32" s="9"/>
      <c r="I32" s="9"/>
      <c r="J32" s="11">
        <f>IFERROR(__xludf.DUMMYFUNCTION("""COMPUTED_VALUE"""),32.0)</f>
        <v>32</v>
      </c>
      <c r="K32" s="9"/>
      <c r="L32" s="9"/>
      <c r="M32" s="9"/>
      <c r="N32" s="10">
        <f>IFERROR(__xludf.DUMMYFUNCTION("""COMPUTED_VALUE"""),0.3125)</f>
        <v>0.3125</v>
      </c>
      <c r="O32" s="9"/>
      <c r="P32" s="9"/>
      <c r="Q32" s="11">
        <f>IFERROR(__xludf.DUMMYFUNCTION("""COMPUTED_VALUE"""),10.0)</f>
        <v>10</v>
      </c>
      <c r="R32" s="9"/>
      <c r="S32" s="9"/>
      <c r="T32" s="9"/>
      <c r="U32" s="36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1">
        <f>IFERROR(__xludf.DUMMYFUNCTION("""COMPUTED_VALUE"""),32.0)</f>
        <v>32</v>
      </c>
      <c r="D33" s="9"/>
      <c r="E33" s="9"/>
      <c r="F33" s="9"/>
      <c r="G33" s="10">
        <f>IFERROR(__xludf.DUMMYFUNCTION("""COMPUTED_VALUE"""),0.90625)</f>
        <v>0.90625</v>
      </c>
      <c r="H33" s="9"/>
      <c r="I33" s="9"/>
      <c r="J33" s="11">
        <f>IFERROR(__xludf.DUMMYFUNCTION("""COMPUTED_VALUE"""),29.0)</f>
        <v>29</v>
      </c>
      <c r="K33" s="9"/>
      <c r="L33" s="9"/>
      <c r="M33" s="9"/>
      <c r="N33" s="10">
        <f>IFERROR(__xludf.DUMMYFUNCTION("""COMPUTED_VALUE"""),0.27586206896551724)</f>
        <v>0.275862069</v>
      </c>
      <c r="O33" s="9"/>
      <c r="P33" s="9"/>
      <c r="Q33" s="11">
        <f>IFERROR(__xludf.DUMMYFUNCTION("""COMPUTED_VALUE"""),8.0)</f>
        <v>8</v>
      </c>
      <c r="R33" s="9"/>
      <c r="S33" s="9"/>
      <c r="T33" s="9"/>
      <c r="U33" s="36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1">
        <f>IFERROR(__xludf.DUMMYFUNCTION("""COMPUTED_VALUE"""),38.0)</f>
        <v>38</v>
      </c>
      <c r="D34" s="9"/>
      <c r="E34" s="9"/>
      <c r="F34" s="9"/>
      <c r="G34" s="10">
        <f>IFERROR(__xludf.DUMMYFUNCTION("""COMPUTED_VALUE"""),0.7631578947368421)</f>
        <v>0.7631578947</v>
      </c>
      <c r="H34" s="9"/>
      <c r="I34" s="9"/>
      <c r="J34" s="11">
        <f>IFERROR(__xludf.DUMMYFUNCTION("""COMPUTED_VALUE"""),29.0)</f>
        <v>29</v>
      </c>
      <c r="K34" s="9"/>
      <c r="L34" s="9"/>
      <c r="M34" s="9"/>
      <c r="N34" s="10">
        <f>IFERROR(__xludf.DUMMYFUNCTION("""COMPUTED_VALUE"""),0.2413793103448276)</f>
        <v>0.2413793103</v>
      </c>
      <c r="O34" s="9"/>
      <c r="P34" s="9"/>
      <c r="Q34" s="11">
        <f>IFERROR(__xludf.DUMMYFUNCTION("""COMPUTED_VALUE"""),7.0)</f>
        <v>7</v>
      </c>
      <c r="R34" s="9"/>
      <c r="S34" s="9"/>
      <c r="T34" s="9"/>
      <c r="U34" s="36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1">
        <f>IFERROR(__xludf.DUMMYFUNCTION("""COMPUTED_VALUE"""),11.0)</f>
        <v>11</v>
      </c>
      <c r="D35" s="9"/>
      <c r="E35" s="9"/>
      <c r="F35" s="9"/>
      <c r="G35" s="10">
        <f>IFERROR(__xludf.DUMMYFUNCTION("""COMPUTED_VALUE"""),1.0)</f>
        <v>1</v>
      </c>
      <c r="H35" s="9"/>
      <c r="I35" s="9"/>
      <c r="J35" s="11">
        <f>IFERROR(__xludf.DUMMYFUNCTION("""COMPUTED_VALUE"""),11.0)</f>
        <v>11</v>
      </c>
      <c r="K35" s="9"/>
      <c r="L35" s="9"/>
      <c r="M35" s="9"/>
      <c r="N35" s="10">
        <f>IFERROR(__xludf.DUMMYFUNCTION("""COMPUTED_VALUE"""),0.36363636363636365)</f>
        <v>0.3636363636</v>
      </c>
      <c r="O35" s="9"/>
      <c r="P35" s="9"/>
      <c r="Q35" s="11">
        <f>IFERROR(__xludf.DUMMYFUNCTION("""COMPUTED_VALUE"""),4.0)</f>
        <v>4</v>
      </c>
      <c r="R35" s="9"/>
      <c r="S35" s="9"/>
      <c r="T35" s="9"/>
      <c r="U35" s="36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IFERROR(__xludf.DUMMYFUNCTION("""COMPUTED_VALUE"""),31.0)</f>
        <v>31</v>
      </c>
      <c r="D36" s="9"/>
      <c r="E36" s="9"/>
      <c r="F36" s="9"/>
      <c r="G36" s="10">
        <f>IFERROR(__xludf.DUMMYFUNCTION("""COMPUTED_VALUE"""),0.6774193548387096)</f>
        <v>0.6774193548</v>
      </c>
      <c r="H36" s="9"/>
      <c r="I36" s="9"/>
      <c r="J36" s="11">
        <f>IFERROR(__xludf.DUMMYFUNCTION("""COMPUTED_VALUE"""),21.0)</f>
        <v>21</v>
      </c>
      <c r="K36" s="9"/>
      <c r="L36" s="9"/>
      <c r="M36" s="9"/>
      <c r="N36" s="10">
        <f>IFERROR(__xludf.DUMMYFUNCTION("""COMPUTED_VALUE"""),0.14285714285714285)</f>
        <v>0.1428571429</v>
      </c>
      <c r="O36" s="9"/>
      <c r="P36" s="9"/>
      <c r="Q36" s="11">
        <f>IFERROR(__xludf.DUMMYFUNCTION("""COMPUTED_VALUE"""),3.0)</f>
        <v>3</v>
      </c>
      <c r="R36" s="9"/>
      <c r="S36" s="9"/>
      <c r="T36" s="9"/>
      <c r="U36" s="36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1">
        <f>IFERROR(__xludf.DUMMYFUNCTION("""COMPUTED_VALUE"""),4.0)</f>
        <v>4</v>
      </c>
      <c r="D37" s="9"/>
      <c r="E37" s="9"/>
      <c r="F37" s="9"/>
      <c r="G37" s="10">
        <f>IFERROR(__xludf.DUMMYFUNCTION("""COMPUTED_VALUE"""),1.25)</f>
        <v>1.25</v>
      </c>
      <c r="H37" s="9"/>
      <c r="I37" s="9"/>
      <c r="J37" s="11">
        <f>IFERROR(__xludf.DUMMYFUNCTION("""COMPUTED_VALUE"""),5.0)</f>
        <v>5</v>
      </c>
      <c r="K37" s="9"/>
      <c r="L37" s="9"/>
      <c r="M37" s="9"/>
      <c r="N37" s="10">
        <f>IFERROR(__xludf.DUMMYFUNCTION("""COMPUTED_VALUE"""),0.4)</f>
        <v>0.4</v>
      </c>
      <c r="O37" s="9"/>
      <c r="P37" s="9"/>
      <c r="Q37" s="11">
        <f>IFERROR(__xludf.DUMMYFUNCTION("""COMPUTED_VALUE"""),2.0)</f>
        <v>2</v>
      </c>
      <c r="R37" s="9"/>
      <c r="S37" s="9"/>
      <c r="T37" s="9"/>
      <c r="U37" s="36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1">
        <f>IFERROR(__xludf.DUMMYFUNCTION("""COMPUTED_VALUE"""),219.35483870967732)</f>
        <v>219.3548387</v>
      </c>
      <c r="C38" s="11">
        <f>IFERROR(__xludf.DUMMYFUNCTION("""COMPUTED_VALUE"""),102.0)</f>
        <v>102</v>
      </c>
      <c r="D38" s="11">
        <f>IFERROR(__xludf.DUMMYFUNCTION("""COMPUTED_VALUE"""),-117.35483870967732)</f>
        <v>-117.3548387</v>
      </c>
      <c r="E38" s="10">
        <f>IFERROR(__xludf.DUMMYFUNCTION("""COMPUTED_VALUE"""),-0.5349999999999998)</f>
        <v>-0.535</v>
      </c>
      <c r="F38" s="10">
        <f>IFERROR(__xludf.DUMMYFUNCTION("""COMPUTED_VALUE"""),0.7454545454545455)</f>
        <v>0.7454545455</v>
      </c>
      <c r="G38" s="10">
        <f>IFERROR(__xludf.DUMMYFUNCTION("""COMPUTED_VALUE"""),0.8235294117647058)</f>
        <v>0.8235294118</v>
      </c>
      <c r="H38" s="35">
        <f>IFERROR(__xludf.DUMMYFUNCTION("""COMPUTED_VALUE"""),7.807486631016037)</f>
        <v>7.807486631</v>
      </c>
      <c r="I38" s="11">
        <f>IFERROR(__xludf.DUMMYFUNCTION("""COMPUTED_VALUE"""),163.51906158357764)</f>
        <v>163.5190616</v>
      </c>
      <c r="J38" s="11">
        <f>IFERROR(__xludf.DUMMYFUNCTION("""COMPUTED_VALUE"""),84.0)</f>
        <v>84</v>
      </c>
      <c r="K38" s="11">
        <f>IFERROR(__xludf.DUMMYFUNCTION("""COMPUTED_VALUE"""),-79.51906158357764)</f>
        <v>-79.51906158</v>
      </c>
      <c r="L38" s="10">
        <f>IFERROR(__xludf.DUMMYFUNCTION("""COMPUTED_VALUE"""),-0.48629842180774724)</f>
        <v>-0.4862984218</v>
      </c>
      <c r="M38" s="10">
        <f>IFERROR(__xludf.DUMMYFUNCTION("""COMPUTED_VALUE"""),0.45499282639885236)</f>
        <v>0.4549928264</v>
      </c>
      <c r="N38" s="10">
        <f>IFERROR(__xludf.DUMMYFUNCTION("""COMPUTED_VALUE"""),0.5357142857142857)</f>
        <v>0.5357142857</v>
      </c>
      <c r="O38" s="35">
        <f>IFERROR(__xludf.DUMMYFUNCTION("""COMPUTED_VALUE"""),8.072145931543334)</f>
        <v>8.072145932</v>
      </c>
      <c r="P38" s="11">
        <f>IFERROR(__xludf.DUMMYFUNCTION("""COMPUTED_VALUE"""),74.39999999999999)</f>
        <v>74.4</v>
      </c>
      <c r="Q38" s="11">
        <f>IFERROR(__xludf.DUMMYFUNCTION("""COMPUTED_VALUE"""),45.0)</f>
        <v>45</v>
      </c>
      <c r="R38" s="11">
        <f>IFERROR(__xludf.DUMMYFUNCTION("""COMPUTED_VALUE"""),-29.39999999999999)</f>
        <v>-29.4</v>
      </c>
      <c r="S38" s="10">
        <f>IFERROR(__xludf.DUMMYFUNCTION("""COMPUTED_VALUE"""),-0.39516129032258057)</f>
        <v>-0.3951612903</v>
      </c>
      <c r="T38" s="11">
        <f>IFERROR(__xludf.DUMMYFUNCTION("""COMPUTED_VALUE"""),297805.02952727274)</f>
        <v>297805.0295</v>
      </c>
      <c r="U38" s="36">
        <f>IFERROR(__xludf.DUMMYFUNCTION("""COMPUTED_VALUE"""),1821.225162639886)</f>
        <v>1821.225163</v>
      </c>
      <c r="V38" s="36">
        <f>IFERROR(__xludf.DUMMYFUNCTION("""COMPUTED_VALUE"""),-144822.1158655223)</f>
        <v>-144822.1159</v>
      </c>
      <c r="W38" s="10">
        <f>IFERROR(__xludf.DUMMYFUNCTION("""COMPUTED_VALUE"""),-0.48629842180774724)</f>
        <v>-0.4862984218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1" t="str">
        <f>IFERROR(__xludf.DUMMYFUNCTION("""COMPUTED_VALUE"""),"#REF!")</f>
        <v>#REF!</v>
      </c>
      <c r="D39" s="9"/>
      <c r="E39" s="9"/>
      <c r="F39" s="9"/>
      <c r="G39" s="10" t="str">
        <f>IFERROR(__xludf.DUMMYFUNCTION("""COMPUTED_VALUE"""),"#REF!")</f>
        <v>#REF!</v>
      </c>
      <c r="H39" s="9"/>
      <c r="I39" s="9"/>
      <c r="J39" s="11" t="str">
        <f>IFERROR(__xludf.DUMMYFUNCTION("""COMPUTED_VALUE"""),"#REF!")</f>
        <v>#REF!</v>
      </c>
      <c r="K39" s="9"/>
      <c r="L39" s="9"/>
      <c r="M39" s="9"/>
      <c r="N39" s="10" t="str">
        <f>IFERROR(__xludf.DUMMYFUNCTION("""COMPUTED_VALUE"""),"#REF!")</f>
        <v>#REF!</v>
      </c>
      <c r="O39" s="9"/>
      <c r="P39" s="9"/>
      <c r="Q39" s="11" t="str">
        <f>IFERROR(__xludf.DUMMYFUNCTION("""COMPUTED_VALUE"""),"#REF!")</f>
        <v>#REF!</v>
      </c>
      <c r="R39" s="9"/>
      <c r="S39" s="9"/>
      <c r="T39" s="9"/>
      <c r="U39" s="36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6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6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6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6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6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6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6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6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6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6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1">
        <f>IFERROR(__xludf.DUMMYFUNCTION("""COMPUTED_VALUE"""),32.903225806451594)</f>
        <v>32.90322581</v>
      </c>
      <c r="C53" s="11">
        <f>IFERROR(__xludf.DUMMYFUNCTION("""COMPUTED_VALUE"""),29.0)</f>
        <v>29</v>
      </c>
      <c r="D53" s="11">
        <f>IFERROR(__xludf.DUMMYFUNCTION("""COMPUTED_VALUE"""),-3.9032258064515943)</f>
        <v>-3.903225806</v>
      </c>
      <c r="E53" s="10">
        <f>IFERROR(__xludf.DUMMYFUNCTION("""COMPUTED_VALUE"""),-0.11862745098039167)</f>
        <v>-0.118627451</v>
      </c>
      <c r="F53" s="10">
        <f>IFERROR(__xludf.DUMMYFUNCTION("""COMPUTED_VALUE"""),0.6460674157303372)</f>
        <v>0.6460674157</v>
      </c>
      <c r="G53" s="10">
        <f>IFERROR(__xludf.DUMMYFUNCTION("""COMPUTED_VALUE"""),0.6206896551724138)</f>
        <v>0.6206896552</v>
      </c>
      <c r="H53" s="35">
        <f>IFERROR(__xludf.DUMMYFUNCTION("""COMPUTED_VALUE"""),-2.53777605579234)</f>
        <v>-2.537776056</v>
      </c>
      <c r="I53" s="11">
        <f>IFERROR(__xludf.DUMMYFUNCTION("""COMPUTED_VALUE"""),21.257702065965923)</f>
        <v>21.25770207</v>
      </c>
      <c r="J53" s="11">
        <f>IFERROR(__xludf.DUMMYFUNCTION("""COMPUTED_VALUE"""),18.0)</f>
        <v>18</v>
      </c>
      <c r="K53" s="11">
        <f>IFERROR(__xludf.DUMMYFUNCTION("""COMPUTED_VALUE"""),-3.2577020659659226)</f>
        <v>-3.257702066</v>
      </c>
      <c r="L53" s="10">
        <f>IFERROR(__xludf.DUMMYFUNCTION("""COMPUTED_VALUE"""),-0.15324808184143193)</f>
        <v>-0.1532480818</v>
      </c>
      <c r="M53" s="10">
        <f>IFERROR(__xludf.DUMMYFUNCTION("""COMPUTED_VALUE"""),0.2768117647058824)</f>
        <v>0.2768117647</v>
      </c>
      <c r="N53" s="10">
        <f>IFERROR(__xludf.DUMMYFUNCTION("""COMPUTED_VALUE"""),0.2777777777777778)</f>
        <v>0.2777777778</v>
      </c>
      <c r="O53" s="35">
        <f>IFERROR(__xludf.DUMMYFUNCTION("""COMPUTED_VALUE"""),0.09660130718953663)</f>
        <v>0.09660130719</v>
      </c>
      <c r="P53" s="11">
        <f>IFERROR(__xludf.DUMMYFUNCTION("""COMPUTED_VALUE"""),5.88438202247191)</f>
        <v>5.884382022</v>
      </c>
      <c r="Q53" s="11">
        <f>IFERROR(__xludf.DUMMYFUNCTION("""COMPUTED_VALUE"""),5.0)</f>
        <v>5</v>
      </c>
      <c r="R53" s="11">
        <f>IFERROR(__xludf.DUMMYFUNCTION("""COMPUTED_VALUE"""),-0.8843820224719101)</f>
        <v>-0.8843820225</v>
      </c>
      <c r="S53" s="10">
        <f>IFERROR(__xludf.DUMMYFUNCTION("""COMPUTED_VALUE"""),-0.15029310114376276)</f>
        <v>-0.1502931011</v>
      </c>
      <c r="T53" s="11">
        <f>IFERROR(__xludf.DUMMYFUNCTION("""COMPUTED_VALUE"""),33035.32035361157)</f>
        <v>33035.32035</v>
      </c>
      <c r="U53" s="36">
        <f>IFERROR(__xludf.DUMMYFUNCTION("""COMPUTED_VALUE"""),1554.0400486890767)</f>
        <v>1554.040049</v>
      </c>
      <c r="V53" s="36">
        <f>IFERROR(__xludf.DUMMYFUNCTION("""COMPUTED_VALUE"""),-5062.599477208188)</f>
        <v>-5062.599477</v>
      </c>
      <c r="W53" s="10">
        <f>IFERROR(__xludf.DUMMYFUNCTION("""COMPUTED_VALUE"""),-0.15324808184143193)</f>
        <v>-0.1532480818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1">
        <f>IFERROR(__xludf.DUMMYFUNCTION("""COMPUTED_VALUE"""),13.0)</f>
        <v>13</v>
      </c>
      <c r="D54" s="9"/>
      <c r="E54" s="9"/>
      <c r="F54" s="9"/>
      <c r="G54" s="10">
        <f>IFERROR(__xludf.DUMMYFUNCTION("""COMPUTED_VALUE"""),0.5384615384615384)</f>
        <v>0.5384615385</v>
      </c>
      <c r="H54" s="9"/>
      <c r="I54" s="9"/>
      <c r="J54" s="11">
        <f>IFERROR(__xludf.DUMMYFUNCTION("""COMPUTED_VALUE"""),7.0)</f>
        <v>7</v>
      </c>
      <c r="K54" s="9"/>
      <c r="L54" s="9"/>
      <c r="M54" s="9"/>
      <c r="N54" s="10">
        <f>IFERROR(__xludf.DUMMYFUNCTION("""COMPUTED_VALUE"""),0.42857142857142855)</f>
        <v>0.4285714286</v>
      </c>
      <c r="O54" s="9"/>
      <c r="P54" s="9"/>
      <c r="Q54" s="11">
        <f>IFERROR(__xludf.DUMMYFUNCTION("""COMPUTED_VALUE"""),3.0)</f>
        <v>3</v>
      </c>
      <c r="R54" s="9"/>
      <c r="S54" s="9"/>
      <c r="T54" s="9"/>
      <c r="U54" s="36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1">
        <f>IFERROR(__xludf.DUMMYFUNCTION("""COMPUTED_VALUE"""),8.0)</f>
        <v>8</v>
      </c>
      <c r="D55" s="9"/>
      <c r="E55" s="9"/>
      <c r="F55" s="9"/>
      <c r="G55" s="10">
        <f>IFERROR(__xludf.DUMMYFUNCTION("""COMPUTED_VALUE"""),0.5)</f>
        <v>0.5</v>
      </c>
      <c r="H55" s="9"/>
      <c r="I55" s="9"/>
      <c r="J55" s="11">
        <f>IFERROR(__xludf.DUMMYFUNCTION("""COMPUTED_VALUE"""),4.0)</f>
        <v>4</v>
      </c>
      <c r="K55" s="9"/>
      <c r="L55" s="9"/>
      <c r="M55" s="9"/>
      <c r="N55" s="10">
        <f>IFERROR(__xludf.DUMMYFUNCTION("""COMPUTED_VALUE"""),0.5)</f>
        <v>0.5</v>
      </c>
      <c r="O55" s="9"/>
      <c r="P55" s="9"/>
      <c r="Q55" s="11">
        <f>IFERROR(__xludf.DUMMYFUNCTION("""COMPUTED_VALUE"""),2.0)</f>
        <v>2</v>
      </c>
      <c r="R55" s="9"/>
      <c r="S55" s="9"/>
      <c r="T55" s="9"/>
      <c r="U55" s="36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1">
        <f>IFERROR(__xludf.DUMMYFUNCTION("""COMPUTED_VALUE"""),8.0)</f>
        <v>8</v>
      </c>
      <c r="D56" s="9"/>
      <c r="E56" s="9"/>
      <c r="F56" s="9"/>
      <c r="G56" s="10">
        <f>IFERROR(__xludf.DUMMYFUNCTION("""COMPUTED_VALUE"""),0.75)</f>
        <v>0.75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IFERROR(__xludf.DUMMYFUNCTION("""COMPUTED_VALUE"""),0.3333333333333333)</f>
        <v>0.3333333333</v>
      </c>
      <c r="O56" s="9"/>
      <c r="P56" s="9"/>
      <c r="Q56" s="11">
        <f>IFERROR(__xludf.DUMMYFUNCTION("""COMPUTED_VALUE"""),2.0)</f>
        <v>2</v>
      </c>
      <c r="R56" s="9"/>
      <c r="S56" s="9"/>
      <c r="T56" s="9"/>
      <c r="U56" s="36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1">
        <f>IFERROR(__xludf.DUMMYFUNCTION("""COMPUTED_VALUE"""),10.0)</f>
        <v>10</v>
      </c>
      <c r="D57" s="9"/>
      <c r="E57" s="9"/>
      <c r="F57" s="9"/>
      <c r="G57" s="10">
        <f>IFERROR(__xludf.DUMMYFUNCTION("""COMPUTED_VALUE"""),0.8)</f>
        <v>0.8</v>
      </c>
      <c r="H57" s="9"/>
      <c r="I57" s="9"/>
      <c r="J57" s="11">
        <f>IFERROR(__xludf.DUMMYFUNCTION("""COMPUTED_VALUE"""),8.0)</f>
        <v>8</v>
      </c>
      <c r="K57" s="9"/>
      <c r="L57" s="9"/>
      <c r="M57" s="9"/>
      <c r="N57" s="10">
        <f>IFERROR(__xludf.DUMMYFUNCTION("""COMPUTED_VALUE"""),0.25)</f>
        <v>0.25</v>
      </c>
      <c r="O57" s="9"/>
      <c r="P57" s="9"/>
      <c r="Q57" s="11">
        <f>IFERROR(__xludf.DUMMYFUNCTION("""COMPUTED_VALUE"""),2.0)</f>
        <v>2</v>
      </c>
      <c r="R57" s="9"/>
      <c r="S57" s="9"/>
      <c r="T57" s="9"/>
      <c r="U57" s="36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1">
        <f>IFERROR(__xludf.DUMMYFUNCTION("""COMPUTED_VALUE"""),8.0)</f>
        <v>8</v>
      </c>
      <c r="D58" s="9"/>
      <c r="E58" s="9"/>
      <c r="F58" s="9"/>
      <c r="G58" s="10">
        <f>IFERROR(__xludf.DUMMYFUNCTION("""COMPUTED_VALUE"""),1.0)</f>
        <v>1</v>
      </c>
      <c r="H58" s="9"/>
      <c r="I58" s="9"/>
      <c r="J58" s="11">
        <f>IFERROR(__xludf.DUMMYFUNCTION("""COMPUTED_VALUE"""),8.0)</f>
        <v>8</v>
      </c>
      <c r="K58" s="9"/>
      <c r="L58" s="9"/>
      <c r="M58" s="9"/>
      <c r="N58" s="10">
        <f>IFERROR(__xludf.DUMMYFUNCTION("""COMPUTED_VALUE"""),0.25)</f>
        <v>0.25</v>
      </c>
      <c r="O58" s="9"/>
      <c r="P58" s="9"/>
      <c r="Q58" s="11">
        <f>IFERROR(__xludf.DUMMYFUNCTION("""COMPUTED_VALUE"""),2.0)</f>
        <v>2</v>
      </c>
      <c r="R58" s="9"/>
      <c r="S58" s="9"/>
      <c r="T58" s="9"/>
      <c r="U58" s="36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1">
        <f>IFERROR(__xludf.DUMMYFUNCTION("""COMPUTED_VALUE"""),1.0)</f>
        <v>1</v>
      </c>
      <c r="D59" s="9"/>
      <c r="E59" s="9"/>
      <c r="F59" s="9"/>
      <c r="G59" s="10">
        <f>IFERROR(__xludf.DUMMYFUNCTION("""COMPUTED_VALUE"""),1.0)</f>
        <v>1</v>
      </c>
      <c r="H59" s="9"/>
      <c r="I59" s="9"/>
      <c r="J59" s="11">
        <f>IFERROR(__xludf.DUMMYFUNCTION("""COMPUTED_VALUE"""),1.0)</f>
        <v>1</v>
      </c>
      <c r="K59" s="9"/>
      <c r="L59" s="9"/>
      <c r="M59" s="9"/>
      <c r="N59" s="10">
        <f>IFERROR(__xludf.DUMMYFUNCTION("""COMPUTED_VALUE"""),1.0)</f>
        <v>1</v>
      </c>
      <c r="O59" s="9"/>
      <c r="P59" s="9"/>
      <c r="Q59" s="11">
        <f>IFERROR(__xludf.DUMMYFUNCTION("""COMPUTED_VALUE"""),1.0)</f>
        <v>1</v>
      </c>
      <c r="R59" s="9"/>
      <c r="S59" s="9"/>
      <c r="T59" s="9"/>
      <c r="U59" s="36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1">
        <f>IFERROR(__xludf.DUMMYFUNCTION("""COMPUTED_VALUE"""),5.0)</f>
        <v>5</v>
      </c>
      <c r="D60" s="9"/>
      <c r="E60" s="9"/>
      <c r="F60" s="9"/>
      <c r="G60" s="10">
        <f>IFERROR(__xludf.DUMMYFUNCTION("""COMPUTED_VALUE"""),0.6)</f>
        <v>0.6</v>
      </c>
      <c r="H60" s="9"/>
      <c r="I60" s="9"/>
      <c r="J60" s="11">
        <f>IFERROR(__xludf.DUMMYFUNCTION("""COMPUTED_VALUE"""),3.0)</f>
        <v>3</v>
      </c>
      <c r="K60" s="9"/>
      <c r="L60" s="9"/>
      <c r="M60" s="9"/>
      <c r="N60" s="10">
        <f>IFERROR(__xludf.DUMMYFUNCTION("""COMPUTED_VALUE"""),0.3333333333333333)</f>
        <v>0.3333333333</v>
      </c>
      <c r="O60" s="9"/>
      <c r="P60" s="9"/>
      <c r="Q60" s="11">
        <f>IFERROR(__xludf.DUMMYFUNCTION("""COMPUTED_VALUE"""),1.0)</f>
        <v>1</v>
      </c>
      <c r="R60" s="9"/>
      <c r="S60" s="9"/>
      <c r="T60" s="9"/>
      <c r="U60" s="36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1">
        <f>IFERROR(__xludf.DUMMYFUNCTION("""COMPUTED_VALUE"""),8.0)</f>
        <v>8</v>
      </c>
      <c r="D61" s="9"/>
      <c r="E61" s="9"/>
      <c r="F61" s="9"/>
      <c r="G61" s="10">
        <f>IFERROR(__xludf.DUMMYFUNCTION("""COMPUTED_VALUE"""),0.875)</f>
        <v>0.875</v>
      </c>
      <c r="H61" s="9"/>
      <c r="I61" s="9"/>
      <c r="J61" s="11">
        <f>IFERROR(__xludf.DUMMYFUNCTION("""COMPUTED_VALUE"""),7.0)</f>
        <v>7</v>
      </c>
      <c r="K61" s="9"/>
      <c r="L61" s="9"/>
      <c r="M61" s="9"/>
      <c r="N61" s="10">
        <f>IFERROR(__xludf.DUMMYFUNCTION("""COMPUTED_VALUE"""),0.14285714285714285)</f>
        <v>0.1428571429</v>
      </c>
      <c r="O61" s="9"/>
      <c r="P61" s="9"/>
      <c r="Q61" s="11">
        <f>IFERROR(__xludf.DUMMYFUNCTION("""COMPUTED_VALUE"""),1.0)</f>
        <v>1</v>
      </c>
      <c r="R61" s="9"/>
      <c r="S61" s="9"/>
      <c r="T61" s="9"/>
      <c r="U61" s="36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1">
        <f>IFERROR(__xludf.DUMMYFUNCTION("""COMPUTED_VALUE"""),8.0)</f>
        <v>8</v>
      </c>
      <c r="D62" s="9"/>
      <c r="E62" s="9"/>
      <c r="F62" s="9"/>
      <c r="G62" s="10">
        <f>IFERROR(__xludf.DUMMYFUNCTION("""COMPUTED_VALUE"""),1.0)</f>
        <v>1</v>
      </c>
      <c r="H62" s="9"/>
      <c r="I62" s="9"/>
      <c r="J62" s="11">
        <f>IFERROR(__xludf.DUMMYFUNCTION("""COMPUTED_VALUE"""),8.0)</f>
        <v>8</v>
      </c>
      <c r="K62" s="9"/>
      <c r="L62" s="9"/>
      <c r="M62" s="9"/>
      <c r="N62" s="10">
        <f>IFERROR(__xludf.DUMMYFUNCTION("""COMPUTED_VALUE"""),0.125)</f>
        <v>0.125</v>
      </c>
      <c r="O62" s="9"/>
      <c r="P62" s="9"/>
      <c r="Q62" s="11">
        <f>IFERROR(__xludf.DUMMYFUNCTION("""COMPUTED_VALUE"""),1.0)</f>
        <v>1</v>
      </c>
      <c r="R62" s="9"/>
      <c r="S62" s="9"/>
      <c r="T62" s="9"/>
      <c r="U62" s="36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1">
        <f>IFERROR(__xludf.DUMMYFUNCTION("""COMPUTED_VALUE"""),9.0)</f>
        <v>9</v>
      </c>
      <c r="D63" s="9"/>
      <c r="E63" s="9"/>
      <c r="F63" s="9"/>
      <c r="G63" s="10">
        <f>IFERROR(__xludf.DUMMYFUNCTION("""COMPUTED_VALUE"""),0.6666666666666666)</f>
        <v>0.6666666667</v>
      </c>
      <c r="H63" s="9"/>
      <c r="I63" s="9"/>
      <c r="J63" s="11">
        <f>IFERROR(__xludf.DUMMYFUNCTION("""COMPUTED_VALUE"""),6.0)</f>
        <v>6</v>
      </c>
      <c r="K63" s="9"/>
      <c r="L63" s="9"/>
      <c r="M63" s="9"/>
      <c r="N63" s="10">
        <f>IFERROR(__xludf.DUMMYFUNCTION("""COMPUTED_VALUE"""),0.0)</f>
        <v>0</v>
      </c>
      <c r="O63" s="9"/>
      <c r="P63" s="9"/>
      <c r="Q63" s="11">
        <f>IFERROR(__xludf.DUMMYFUNCTION("""COMPUTED_VALUE"""),0.0)</f>
        <v>0</v>
      </c>
      <c r="R63" s="9"/>
      <c r="S63" s="9"/>
      <c r="T63" s="9"/>
      <c r="U63" s="36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1">
        <f>IFERROR(__xludf.DUMMYFUNCTION("""COMPUTED_VALUE"""),1072.5354838709673)</f>
        <v>1072.535484</v>
      </c>
      <c r="C64" s="11">
        <f>IFERROR(__xludf.DUMMYFUNCTION("""COMPUTED_VALUE"""),916.0)</f>
        <v>916</v>
      </c>
      <c r="D64" s="11">
        <f>IFERROR(__xludf.DUMMYFUNCTION("""COMPUTED_VALUE"""),-156.53548387096725)</f>
        <v>-156.5354839</v>
      </c>
      <c r="E64" s="10">
        <f>IFERROR(__xludf.DUMMYFUNCTION("""COMPUTED_VALUE"""),-0.14594900236400893)</f>
        <v>-0.1459490024</v>
      </c>
      <c r="F64" s="10">
        <f>IFERROR(__xludf.DUMMYFUNCTION("""COMPUTED_VALUE"""),0.708632118125173)</f>
        <v>0.7086321181</v>
      </c>
      <c r="G64" s="10">
        <f>IFERROR(__xludf.DUMMYFUNCTION("""COMPUTED_VALUE"""),0.6921397379912664)</f>
        <v>0.692139738</v>
      </c>
      <c r="H64" s="35">
        <f>IFERROR(__xludf.DUMMYFUNCTION("""COMPUTED_VALUE"""),-1.6492380133906637)</f>
        <v>-1.649238013</v>
      </c>
      <c r="I64" s="11">
        <f>IFERROR(__xludf.DUMMYFUNCTION("""COMPUTED_VALUE"""),760.0330916998909)</f>
        <v>760.0330917</v>
      </c>
      <c r="J64" s="11">
        <f>IFERROR(__xludf.DUMMYFUNCTION("""COMPUTED_VALUE"""),634.0)</f>
        <v>634</v>
      </c>
      <c r="K64" s="11">
        <f>IFERROR(__xludf.DUMMYFUNCTION("""COMPUTED_VALUE"""),-126.03309169989086)</f>
        <v>-126.0330917</v>
      </c>
      <c r="L64" s="10">
        <f>IFERROR(__xludf.DUMMYFUNCTION("""COMPUTED_VALUE"""),-0.16582579505585093)</f>
        <v>-0.1658257951</v>
      </c>
      <c r="M64" s="10">
        <f>IFERROR(__xludf.DUMMYFUNCTION("""COMPUTED_VALUE"""),0.3616454985315925)</f>
        <v>0.3616454985</v>
      </c>
      <c r="N64" s="10" t="str">
        <f>IFERROR(__xludf.DUMMYFUNCTION("""COMPUTED_VALUE"""),"#REF!")</f>
        <v>#REF!</v>
      </c>
      <c r="O64" s="35" t="str">
        <f>IFERROR(__xludf.DUMMYFUNCTION("""COMPUTED_VALUE"""),"#REF!")</f>
        <v>#REF!</v>
      </c>
      <c r="P64" s="11">
        <f>IFERROR(__xludf.DUMMYFUNCTION("""COMPUTED_VALUE"""),274.8625463483146)</f>
        <v>274.8625463</v>
      </c>
      <c r="Q64" s="11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0" t="str">
        <f>IFERROR(__xludf.DUMMYFUNCTION("""COMPUTED_VALUE"""),"#REF!")</f>
        <v>#REF!</v>
      </c>
      <c r="T64" s="11">
        <f>IFERROR(__xludf.DUMMYFUNCTION("""COMPUTED_VALUE"""),1026917.9161246461)</f>
        <v>1026917.916</v>
      </c>
      <c r="U64" s="36">
        <f>IFERROR(__xludf.DUMMYFUNCTION("""COMPUTED_VALUE"""),1351.1489530381373)</f>
        <v>1351.148953</v>
      </c>
      <c r="V64" s="36">
        <f>IFERROR(__xludf.DUMMYFUNCTION("""COMPUTED_VALUE"""),-216133.72915546937)</f>
        <v>-216133.7292</v>
      </c>
      <c r="W64" s="10">
        <f>IFERROR(__xludf.DUMMYFUNCTION("""COMPUTED_VALUE"""),-0.21046835950735843)</f>
        <v>-0.2104683595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1">
        <f>IFERROR(__xludf.DUMMYFUNCTION("""COMPUTED_VALUE"""),261.85483870967727)</f>
        <v>261.8548387</v>
      </c>
      <c r="C65" s="11">
        <f>IFERROR(__xludf.DUMMYFUNCTION("""COMPUTED_VALUE"""),174.0)</f>
        <v>174</v>
      </c>
      <c r="D65" s="11">
        <f>IFERROR(__xludf.DUMMYFUNCTION("""COMPUTED_VALUE"""),-87.85483870967727)</f>
        <v>-87.85483871</v>
      </c>
      <c r="E65" s="10">
        <f>IFERROR(__xludf.DUMMYFUNCTION("""COMPUTED_VALUE"""),-0.33550970126270363)</f>
        <v>-0.3355097013</v>
      </c>
      <c r="F65" s="10">
        <f>IFERROR(__xludf.DUMMYFUNCTION("""COMPUTED_VALUE"""),0.8)</f>
        <v>0.8</v>
      </c>
      <c r="G65" s="10">
        <f>IFERROR(__xludf.DUMMYFUNCTION("""COMPUTED_VALUE"""),0.6436781609195402)</f>
        <v>0.6436781609</v>
      </c>
      <c r="H65" s="35">
        <f>IFERROR(__xludf.DUMMYFUNCTION("""COMPUTED_VALUE"""),-15.632183908045983)</f>
        <v>-15.63218391</v>
      </c>
      <c r="I65" s="11">
        <f>IFERROR(__xludf.DUMMYFUNCTION("""COMPUTED_VALUE"""),209.48387096774184)</f>
        <v>209.483871</v>
      </c>
      <c r="J65" s="11">
        <f>IFERROR(__xludf.DUMMYFUNCTION("""COMPUTED_VALUE"""),112.0)</f>
        <v>112</v>
      </c>
      <c r="K65" s="11">
        <f>IFERROR(__xludf.DUMMYFUNCTION("""COMPUTED_VALUE"""),-97.48387096774184)</f>
        <v>-97.48387097</v>
      </c>
      <c r="L65" s="10">
        <f>IFERROR(__xludf.DUMMYFUNCTION("""COMPUTED_VALUE"""),-0.4653526331998766)</f>
        <v>-0.4653526332</v>
      </c>
      <c r="M65" s="10">
        <f>IFERROR(__xludf.DUMMYFUNCTION("""COMPUTED_VALUE"""),0.3410000000000001)</f>
        <v>0.341</v>
      </c>
      <c r="N65" s="10">
        <f>IFERROR(__xludf.DUMMYFUNCTION("""COMPUTED_VALUE"""),0.3482142857142857)</f>
        <v>0.3482142857</v>
      </c>
      <c r="O65" s="35">
        <f>IFERROR(__xludf.DUMMYFUNCTION("""COMPUTED_VALUE"""),0.7214285714285618)</f>
        <v>0.7214285714</v>
      </c>
      <c r="P65" s="11">
        <f>IFERROR(__xludf.DUMMYFUNCTION("""COMPUTED_VALUE"""),71.43399999999998)</f>
        <v>71.434</v>
      </c>
      <c r="Q65" s="11">
        <f>IFERROR(__xludf.DUMMYFUNCTION("""COMPUTED_VALUE"""),39.0)</f>
        <v>39</v>
      </c>
      <c r="R65" s="11">
        <f>IFERROR(__xludf.DUMMYFUNCTION("""COMPUTED_VALUE"""),-32.43399999999998)</f>
        <v>-32.434</v>
      </c>
      <c r="S65" s="10">
        <f>IFERROR(__xludf.DUMMYFUNCTION("""COMPUTED_VALUE"""),-0.45404149284654355)</f>
        <v>-0.4540414928</v>
      </c>
      <c r="T65" s="11">
        <f>IFERROR(__xludf.DUMMYFUNCTION("""COMPUTED_VALUE"""),255761.77407999997)</f>
        <v>255761.7741</v>
      </c>
      <c r="U65" s="36">
        <f>IFERROR(__xludf.DUMMYFUNCTION("""COMPUTED_VALUE"""),1220.9139200000004)</f>
        <v>1220.91392</v>
      </c>
      <c r="V65" s="36">
        <f>IFERROR(__xludf.DUMMYFUNCTION("""COMPUTED_VALUE"""),-119019.41503999992)</f>
        <v>-119019.415</v>
      </c>
      <c r="W65" s="10">
        <f>IFERROR(__xludf.DUMMYFUNCTION("""COMPUTED_VALUE"""),-0.4653526331998765)</f>
        <v>-0.4653526332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1">
        <f>IFERROR(__xludf.DUMMYFUNCTION("""COMPUTED_VALUE"""),43.0)</f>
        <v>43</v>
      </c>
      <c r="D66" s="9"/>
      <c r="E66" s="9"/>
      <c r="F66" s="9"/>
      <c r="G66" s="10">
        <f>IFERROR(__xludf.DUMMYFUNCTION("""COMPUTED_VALUE"""),0.8372093023255814)</f>
        <v>0.8372093023</v>
      </c>
      <c r="H66" s="9"/>
      <c r="I66" s="9"/>
      <c r="J66" s="11">
        <f>IFERROR(__xludf.DUMMYFUNCTION("""COMPUTED_VALUE"""),36.0)</f>
        <v>36</v>
      </c>
      <c r="K66" s="9"/>
      <c r="L66" s="9"/>
      <c r="M66" s="9"/>
      <c r="N66" s="10">
        <f>IFERROR(__xludf.DUMMYFUNCTION("""COMPUTED_VALUE"""),0.5277777777777778)</f>
        <v>0.5277777778</v>
      </c>
      <c r="O66" s="9"/>
      <c r="P66" s="9"/>
      <c r="Q66" s="11">
        <f>IFERROR(__xludf.DUMMYFUNCTION("""COMPUTED_VALUE"""),19.0)</f>
        <v>19</v>
      </c>
      <c r="R66" s="9"/>
      <c r="S66" s="9"/>
      <c r="T66" s="9"/>
      <c r="U66" s="36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1">
        <f>IFERROR(__xludf.DUMMYFUNCTION("""COMPUTED_VALUE"""),47.0)</f>
        <v>47</v>
      </c>
      <c r="D67" s="9"/>
      <c r="E67" s="9"/>
      <c r="F67" s="9"/>
      <c r="G67" s="10">
        <f>IFERROR(__xludf.DUMMYFUNCTION("""COMPUTED_VALUE"""),0.7446808510638298)</f>
        <v>0.7446808511</v>
      </c>
      <c r="H67" s="9"/>
      <c r="I67" s="9"/>
      <c r="J67" s="11">
        <f>IFERROR(__xludf.DUMMYFUNCTION("""COMPUTED_VALUE"""),35.0)</f>
        <v>35</v>
      </c>
      <c r="K67" s="9"/>
      <c r="L67" s="9"/>
      <c r="M67" s="9"/>
      <c r="N67" s="10">
        <f>IFERROR(__xludf.DUMMYFUNCTION("""COMPUTED_VALUE"""),0.45714285714285713)</f>
        <v>0.4571428571</v>
      </c>
      <c r="O67" s="9"/>
      <c r="P67" s="9"/>
      <c r="Q67" s="11">
        <f>IFERROR(__xludf.DUMMYFUNCTION("""COMPUTED_VALUE"""),16.0)</f>
        <v>16</v>
      </c>
      <c r="R67" s="9"/>
      <c r="S67" s="9"/>
      <c r="T67" s="9"/>
      <c r="U67" s="36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1">
        <f>IFERROR(__xludf.DUMMYFUNCTION("""COMPUTED_VALUE"""),51.0)</f>
        <v>51</v>
      </c>
      <c r="D68" s="9"/>
      <c r="E68" s="9"/>
      <c r="F68" s="9"/>
      <c r="G68" s="10">
        <f>IFERROR(__xludf.DUMMYFUNCTION("""COMPUTED_VALUE"""),0.6666666666666666)</f>
        <v>0.6666666667</v>
      </c>
      <c r="H68" s="9"/>
      <c r="I68" s="9"/>
      <c r="J68" s="11">
        <f>IFERROR(__xludf.DUMMYFUNCTION("""COMPUTED_VALUE"""),34.0)</f>
        <v>34</v>
      </c>
      <c r="K68" s="9"/>
      <c r="L68" s="9"/>
      <c r="M68" s="9"/>
      <c r="N68" s="10">
        <f>IFERROR(__xludf.DUMMYFUNCTION("""COMPUTED_VALUE"""),0.4411764705882353)</f>
        <v>0.4411764706</v>
      </c>
      <c r="O68" s="9"/>
      <c r="P68" s="9"/>
      <c r="Q68" s="11">
        <f>IFERROR(__xludf.DUMMYFUNCTION("""COMPUTED_VALUE"""),15.0)</f>
        <v>15</v>
      </c>
      <c r="R68" s="9"/>
      <c r="S68" s="9"/>
      <c r="T68" s="9"/>
      <c r="U68" s="36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1">
        <f>IFERROR(__xludf.DUMMYFUNCTION("""COMPUTED_VALUE"""),44.0)</f>
        <v>44</v>
      </c>
      <c r="D69" s="9"/>
      <c r="E69" s="9"/>
      <c r="F69" s="9"/>
      <c r="G69" s="10">
        <f>IFERROR(__xludf.DUMMYFUNCTION("""COMPUTED_VALUE"""),0.6363636363636364)</f>
        <v>0.6363636364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IFERROR(__xludf.DUMMYFUNCTION("""COMPUTED_VALUE"""),0.5)</f>
        <v>0.5</v>
      </c>
      <c r="O69" s="9"/>
      <c r="P69" s="9"/>
      <c r="Q69" s="11">
        <f>IFERROR(__xludf.DUMMYFUNCTION("""COMPUTED_VALUE"""),14.0)</f>
        <v>14</v>
      </c>
      <c r="R69" s="9"/>
      <c r="S69" s="9"/>
      <c r="T69" s="9"/>
      <c r="U69" s="36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1">
        <f>IFERROR(__xludf.DUMMYFUNCTION("""COMPUTED_VALUE"""),51.0)</f>
        <v>51</v>
      </c>
      <c r="D70" s="9"/>
      <c r="E70" s="9"/>
      <c r="F70" s="9"/>
      <c r="G70" s="10">
        <f>IFERROR(__xludf.DUMMYFUNCTION("""COMPUTED_VALUE"""),0.803921568627451)</f>
        <v>0.8039215686</v>
      </c>
      <c r="H70" s="9"/>
      <c r="I70" s="9"/>
      <c r="J70" s="11">
        <f>IFERROR(__xludf.DUMMYFUNCTION("""COMPUTED_VALUE"""),41.0)</f>
        <v>41</v>
      </c>
      <c r="K70" s="9"/>
      <c r="L70" s="9"/>
      <c r="M70" s="9"/>
      <c r="N70" s="10">
        <f>IFERROR(__xludf.DUMMYFUNCTION("""COMPUTED_VALUE"""),0.34146341463414637)</f>
        <v>0.3414634146</v>
      </c>
      <c r="O70" s="9"/>
      <c r="P70" s="9"/>
      <c r="Q70" s="11">
        <f>IFERROR(__xludf.DUMMYFUNCTION("""COMPUTED_VALUE"""),14.0)</f>
        <v>14</v>
      </c>
      <c r="R70" s="9"/>
      <c r="S70" s="9"/>
      <c r="T70" s="9"/>
      <c r="U70" s="36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1">
        <f>IFERROR(__xludf.DUMMYFUNCTION("""COMPUTED_VALUE"""),46.0)</f>
        <v>46</v>
      </c>
      <c r="D71" s="9"/>
      <c r="E71" s="9"/>
      <c r="F71" s="9"/>
      <c r="G71" s="10">
        <f>IFERROR(__xludf.DUMMYFUNCTION("""COMPUTED_VALUE"""),0.6304347826086957)</f>
        <v>0.6304347826</v>
      </c>
      <c r="H71" s="9"/>
      <c r="I71" s="9"/>
      <c r="J71" s="11">
        <f>IFERROR(__xludf.DUMMYFUNCTION("""COMPUTED_VALUE"""),29.0)</f>
        <v>29</v>
      </c>
      <c r="K71" s="9"/>
      <c r="L71" s="9"/>
      <c r="M71" s="9"/>
      <c r="N71" s="10">
        <f>IFERROR(__xludf.DUMMYFUNCTION("""COMPUTED_VALUE"""),0.4482758620689655)</f>
        <v>0.4482758621</v>
      </c>
      <c r="O71" s="9"/>
      <c r="P71" s="9"/>
      <c r="Q71" s="11">
        <f>IFERROR(__xludf.DUMMYFUNCTION("""COMPUTED_VALUE"""),13.0)</f>
        <v>13</v>
      </c>
      <c r="R71" s="9"/>
      <c r="S71" s="9"/>
      <c r="T71" s="9"/>
      <c r="U71" s="36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1">
        <f>IFERROR(__xludf.DUMMYFUNCTION("""COMPUTED_VALUE"""),35.0)</f>
        <v>35</v>
      </c>
      <c r="D72" s="9"/>
      <c r="E72" s="9"/>
      <c r="F72" s="9"/>
      <c r="G72" s="10">
        <f>IFERROR(__xludf.DUMMYFUNCTION("""COMPUTED_VALUE"""),0.7714285714285715)</f>
        <v>0.7714285714</v>
      </c>
      <c r="H72" s="9"/>
      <c r="I72" s="9"/>
      <c r="J72" s="11">
        <f>IFERROR(__xludf.DUMMYFUNCTION("""COMPUTED_VALUE"""),27.0)</f>
        <v>27</v>
      </c>
      <c r="K72" s="9"/>
      <c r="L72" s="9"/>
      <c r="M72" s="9"/>
      <c r="N72" s="10">
        <f>IFERROR(__xludf.DUMMYFUNCTION("""COMPUTED_VALUE"""),0.4444444444444444)</f>
        <v>0.4444444444</v>
      </c>
      <c r="O72" s="9"/>
      <c r="P72" s="9"/>
      <c r="Q72" s="11">
        <f>IFERROR(__xludf.DUMMYFUNCTION("""COMPUTED_VALUE"""),12.0)</f>
        <v>12</v>
      </c>
      <c r="R72" s="9"/>
      <c r="S72" s="9"/>
      <c r="T72" s="9"/>
      <c r="U72" s="36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1">
        <f>IFERROR(__xludf.DUMMYFUNCTION("""COMPUTED_VALUE"""),45.0)</f>
        <v>45</v>
      </c>
      <c r="D73" s="9"/>
      <c r="E73" s="9"/>
      <c r="F73" s="9"/>
      <c r="G73" s="10">
        <f>IFERROR(__xludf.DUMMYFUNCTION("""COMPUTED_VALUE"""),0.6222222222222222)</f>
        <v>0.6222222222</v>
      </c>
      <c r="H73" s="9"/>
      <c r="I73" s="9"/>
      <c r="J73" s="11">
        <f>IFERROR(__xludf.DUMMYFUNCTION("""COMPUTED_VALUE"""),28.0)</f>
        <v>28</v>
      </c>
      <c r="K73" s="9"/>
      <c r="L73" s="9"/>
      <c r="M73" s="9"/>
      <c r="N73" s="10">
        <f>IFERROR(__xludf.DUMMYFUNCTION("""COMPUTED_VALUE"""),0.42857142857142855)</f>
        <v>0.4285714286</v>
      </c>
      <c r="O73" s="9"/>
      <c r="P73" s="9"/>
      <c r="Q73" s="11">
        <f>IFERROR(__xludf.DUMMYFUNCTION("""COMPUTED_VALUE"""),12.0)</f>
        <v>12</v>
      </c>
      <c r="R73" s="9"/>
      <c r="S73" s="9"/>
      <c r="T73" s="9"/>
      <c r="U73" s="36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1">
        <f>IFERROR(__xludf.DUMMYFUNCTION("""COMPUTED_VALUE"""),42.0)</f>
        <v>42</v>
      </c>
      <c r="D74" s="9"/>
      <c r="E74" s="9"/>
      <c r="F74" s="9"/>
      <c r="G74" s="10">
        <f>IFERROR(__xludf.DUMMYFUNCTION("""COMPUTED_VALUE"""),0.7619047619047619)</f>
        <v>0.7619047619</v>
      </c>
      <c r="H74" s="9"/>
      <c r="I74" s="9"/>
      <c r="J74" s="11">
        <f>IFERROR(__xludf.DUMMYFUNCTION("""COMPUTED_VALUE"""),32.0)</f>
        <v>32</v>
      </c>
      <c r="K74" s="9"/>
      <c r="L74" s="9"/>
      <c r="M74" s="9"/>
      <c r="N74" s="10">
        <f>IFERROR(__xludf.DUMMYFUNCTION("""COMPUTED_VALUE"""),0.375)</f>
        <v>0.375</v>
      </c>
      <c r="O74" s="9"/>
      <c r="P74" s="9"/>
      <c r="Q74" s="11">
        <f>IFERROR(__xludf.DUMMYFUNCTION("""COMPUTED_VALUE"""),12.0)</f>
        <v>12</v>
      </c>
      <c r="R74" s="9"/>
      <c r="S74" s="9"/>
      <c r="T74" s="9"/>
      <c r="U74" s="36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1">
        <f>IFERROR(__xludf.DUMMYFUNCTION("""COMPUTED_VALUE"""),6.0)</f>
        <v>6</v>
      </c>
      <c r="D75" s="9"/>
      <c r="E75" s="9"/>
      <c r="F75" s="9"/>
      <c r="G75" s="10">
        <f>IFERROR(__xludf.DUMMYFUNCTION("""COMPUTED_VALUE"""),0.8333333333333334)</f>
        <v>0.8333333333</v>
      </c>
      <c r="H75" s="9"/>
      <c r="I75" s="9"/>
      <c r="J75" s="11">
        <f>IFERROR(__xludf.DUMMYFUNCTION("""COMPUTED_VALUE"""),5.0)</f>
        <v>5</v>
      </c>
      <c r="K75" s="9"/>
      <c r="L75" s="9"/>
      <c r="M75" s="9"/>
      <c r="N75" s="10">
        <f>IFERROR(__xludf.DUMMYFUNCTION("""COMPUTED_VALUE"""),1.2)</f>
        <v>1.2</v>
      </c>
      <c r="O75" s="9"/>
      <c r="P75" s="9"/>
      <c r="Q75" s="11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1">
        <f>IFERROR(__xludf.DUMMYFUNCTION("""COMPUTED_VALUE"""),1.0)</f>
        <v>1</v>
      </c>
      <c r="D76" s="9"/>
      <c r="E76" s="9"/>
      <c r="F76" s="9"/>
      <c r="G76" s="10">
        <f>IFERROR(__xludf.DUMMYFUNCTION("""COMPUTED_VALUE"""),1.0)</f>
        <v>1</v>
      </c>
      <c r="H76" s="9"/>
      <c r="I76" s="9"/>
      <c r="J76" s="11">
        <f>IFERROR(__xludf.DUMMYFUNCTION("""COMPUTED_VALUE"""),1.0)</f>
        <v>1</v>
      </c>
      <c r="K76" s="9"/>
      <c r="L76" s="9"/>
      <c r="M76" s="9"/>
      <c r="N76" s="10">
        <f>IFERROR(__xludf.DUMMYFUNCTION("""COMPUTED_VALUE"""),1.0)</f>
        <v>1</v>
      </c>
      <c r="O76" s="9"/>
      <c r="P76" s="9"/>
      <c r="Q76" s="11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1">
        <f>IFERROR(__xludf.DUMMYFUNCTION("""COMPUTED_VALUE"""),1.0)</f>
        <v>1</v>
      </c>
      <c r="D77" s="9"/>
      <c r="E77" s="9"/>
      <c r="F77" s="9"/>
      <c r="G77" s="10">
        <f>IFERROR(__xludf.DUMMYFUNCTION("""COMPUTED_VALUE"""),1.0)</f>
        <v>1</v>
      </c>
      <c r="H77" s="9"/>
      <c r="I77" s="9"/>
      <c r="J77" s="11">
        <f>IFERROR(__xludf.DUMMYFUNCTION("""COMPUTED_VALUE"""),1.0)</f>
        <v>1</v>
      </c>
      <c r="K77" s="9"/>
      <c r="L77" s="9"/>
      <c r="M77" s="9"/>
      <c r="N77" s="10">
        <f>IFERROR(__xludf.DUMMYFUNCTION("""COMPUTED_VALUE"""),1.0)</f>
        <v>1</v>
      </c>
      <c r="O77" s="9"/>
      <c r="P77" s="9"/>
      <c r="Q77" s="11">
        <f>IFERROR(__xludf.DUMMYFUNCTION("""COMPUTED_VALUE"""),1.0)</f>
        <v>1</v>
      </c>
      <c r="R77" s="9"/>
      <c r="S77" s="9"/>
      <c r="T77" s="9"/>
      <c r="U77" s="36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1">
        <f>IFERROR(__xludf.DUMMYFUNCTION("""COMPUTED_VALUE"""),191.93548387096766)</f>
        <v>191.9354839</v>
      </c>
      <c r="C78" s="11">
        <f>IFERROR(__xludf.DUMMYFUNCTION("""COMPUTED_VALUE"""),274.0)</f>
        <v>274</v>
      </c>
      <c r="D78" s="11">
        <f>IFERROR(__xludf.DUMMYFUNCTION("""COMPUTED_VALUE"""),82.06451612903234)</f>
        <v>82.06451613</v>
      </c>
      <c r="E78" s="10">
        <f>IFERROR(__xludf.DUMMYFUNCTION("""COMPUTED_VALUE"""),0.42756302521008466)</f>
        <v>0.4275630252</v>
      </c>
      <c r="F78" s="10">
        <f>IFERROR(__xludf.DUMMYFUNCTION("""COMPUTED_VALUE"""),0.73)</f>
        <v>0.73</v>
      </c>
      <c r="G78" s="10">
        <f>IFERROR(__xludf.DUMMYFUNCTION("""COMPUTED_VALUE"""),0.7445255474452555)</f>
        <v>0.7445255474</v>
      </c>
      <c r="H78" s="35">
        <f>IFERROR(__xludf.DUMMYFUNCTION("""COMPUTED_VALUE"""),1.4525547445255471)</f>
        <v>1.452554745</v>
      </c>
      <c r="I78" s="11">
        <f>IFERROR(__xludf.DUMMYFUNCTION("""COMPUTED_VALUE"""),140.11290322580638)</f>
        <v>140.1129032</v>
      </c>
      <c r="J78" s="11">
        <f>IFERROR(__xludf.DUMMYFUNCTION("""COMPUTED_VALUE"""),204.0)</f>
        <v>204</v>
      </c>
      <c r="K78" s="11">
        <f>IFERROR(__xludf.DUMMYFUNCTION("""COMPUTED_VALUE"""),63.88709677419362)</f>
        <v>63.88709677</v>
      </c>
      <c r="L78" s="10">
        <f>IFERROR(__xludf.DUMMYFUNCTION("""COMPUTED_VALUE"""),0.4559686888454019)</f>
        <v>0.4559686888</v>
      </c>
      <c r="M78" s="10">
        <f>IFERROR(__xludf.DUMMYFUNCTION("""COMPUTED_VALUE"""),0.2650630252100842)</f>
        <v>0.2650630252</v>
      </c>
      <c r="N78" s="10">
        <f>IFERROR(__xludf.DUMMYFUNCTION("""COMPUTED_VALUE"""),0.29411764705882354)</f>
        <v>0.2941176471</v>
      </c>
      <c r="O78" s="35">
        <f>IFERROR(__xludf.DUMMYFUNCTION("""COMPUTED_VALUE"""),2.9054621848739357)</f>
        <v>2.905462185</v>
      </c>
      <c r="P78" s="11">
        <f>IFERROR(__xludf.DUMMYFUNCTION("""COMPUTED_VALUE"""),37.13875)</f>
        <v>37.13875</v>
      </c>
      <c r="Q78" s="11">
        <f>IFERROR(__xludf.DUMMYFUNCTION("""COMPUTED_VALUE"""),60.0)</f>
        <v>60</v>
      </c>
      <c r="R78" s="11">
        <f>IFERROR(__xludf.DUMMYFUNCTION("""COMPUTED_VALUE"""),22.86125)</f>
        <v>22.86125</v>
      </c>
      <c r="S78" s="10">
        <f>IFERROR(__xludf.DUMMYFUNCTION("""COMPUTED_VALUE"""),0.6155632593988758)</f>
        <v>0.6155632594</v>
      </c>
      <c r="T78" s="11">
        <f>IFERROR(__xludf.DUMMYFUNCTION("""COMPUTED_VALUE"""),101708.06232153845)</f>
        <v>101708.0623</v>
      </c>
      <c r="U78" s="36">
        <f>IFERROR(__xludf.DUMMYFUNCTION("""COMPUTED_VALUE"""),725.900755604396)</f>
        <v>725.9007556</v>
      </c>
      <c r="V78" s="36">
        <f>IFERROR(__xludf.DUMMYFUNCTION("""COMPUTED_VALUE"""),46375.691821758315)</f>
        <v>46375.69182</v>
      </c>
      <c r="W78" s="10">
        <f>IFERROR(__xludf.DUMMYFUNCTION("""COMPUTED_VALUE"""),0.4559686888454019)</f>
        <v>0.4559686888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IFERROR(__xludf.DUMMYFUNCTION("""COMPUTED_VALUE"""),0.7241379310344828)</f>
        <v>0.724137931</v>
      </c>
      <c r="H79" s="9"/>
      <c r="I79" s="9"/>
      <c r="J79" s="11">
        <f>IFERROR(__xludf.DUMMYFUNCTION("""COMPUTED_VALUE"""),21.0)</f>
        <v>21</v>
      </c>
      <c r="K79" s="9"/>
      <c r="L79" s="9"/>
      <c r="M79" s="9"/>
      <c r="N79" s="10">
        <f>IFERROR(__xludf.DUMMYFUNCTION("""COMPUTED_VALUE"""),0.47619047619047616)</f>
        <v>0.4761904762</v>
      </c>
      <c r="O79" s="9"/>
      <c r="P79" s="9"/>
      <c r="Q79" s="11">
        <f>IFERROR(__xludf.DUMMYFUNCTION("""COMPUTED_VALUE"""),10.0)</f>
        <v>10</v>
      </c>
      <c r="R79" s="9"/>
      <c r="S79" s="9"/>
      <c r="T79" s="9"/>
      <c r="U79" s="36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1">
        <f>IFERROR(__xludf.DUMMYFUNCTION("""COMPUTED_VALUE"""),31.0)</f>
        <v>31</v>
      </c>
      <c r="D80" s="9"/>
      <c r="E80" s="9"/>
      <c r="F80" s="9"/>
      <c r="G80" s="10">
        <f>IFERROR(__xludf.DUMMYFUNCTION("""COMPUTED_VALUE"""),0.7096774193548387)</f>
        <v>0.7096774194</v>
      </c>
      <c r="H80" s="9"/>
      <c r="I80" s="9"/>
      <c r="J80" s="11">
        <f>IFERROR(__xludf.DUMMYFUNCTION("""COMPUTED_VALUE"""),22.0)</f>
        <v>22</v>
      </c>
      <c r="K80" s="9"/>
      <c r="L80" s="9"/>
      <c r="M80" s="9"/>
      <c r="N80" s="10">
        <f>IFERROR(__xludf.DUMMYFUNCTION("""COMPUTED_VALUE"""),0.45454545454545453)</f>
        <v>0.4545454545</v>
      </c>
      <c r="O80" s="9"/>
      <c r="P80" s="9"/>
      <c r="Q80" s="11">
        <f>IFERROR(__xludf.DUMMYFUNCTION("""COMPUTED_VALUE"""),10.0)</f>
        <v>10</v>
      </c>
      <c r="R80" s="9"/>
      <c r="S80" s="9"/>
      <c r="T80" s="9"/>
      <c r="U80" s="36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1">
        <f>IFERROR(__xludf.DUMMYFUNCTION("""COMPUTED_VALUE"""),31.0)</f>
        <v>31</v>
      </c>
      <c r="D81" s="9"/>
      <c r="E81" s="9"/>
      <c r="F81" s="9"/>
      <c r="G81" s="10">
        <f>IFERROR(__xludf.DUMMYFUNCTION("""COMPUTED_VALUE"""),0.7741935483870968)</f>
        <v>0.7741935484</v>
      </c>
      <c r="H81" s="9"/>
      <c r="I81" s="9"/>
      <c r="J81" s="11">
        <f>IFERROR(__xludf.DUMMYFUNCTION("""COMPUTED_VALUE"""),24.0)</f>
        <v>24</v>
      </c>
      <c r="K81" s="9"/>
      <c r="L81" s="9"/>
      <c r="M81" s="9"/>
      <c r="N81" s="10">
        <f>IFERROR(__xludf.DUMMYFUNCTION("""COMPUTED_VALUE"""),0.3333333333333333)</f>
        <v>0.3333333333</v>
      </c>
      <c r="O81" s="9"/>
      <c r="P81" s="9"/>
      <c r="Q81" s="11">
        <f>IFERROR(__xludf.DUMMYFUNCTION("""COMPUTED_VALUE"""),8.0)</f>
        <v>8</v>
      </c>
      <c r="R81" s="9"/>
      <c r="S81" s="9"/>
      <c r="T81" s="9"/>
      <c r="U81" s="36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1">
        <f>IFERROR(__xludf.DUMMYFUNCTION("""COMPUTED_VALUE"""),28.0)</f>
        <v>28</v>
      </c>
      <c r="D82" s="9"/>
      <c r="E82" s="9"/>
      <c r="F82" s="9"/>
      <c r="G82" s="10">
        <f>IFERROR(__xludf.DUMMYFUNCTION("""COMPUTED_VALUE"""),0.7142857142857143)</f>
        <v>0.7142857143</v>
      </c>
      <c r="H82" s="9"/>
      <c r="I82" s="9"/>
      <c r="J82" s="11">
        <f>IFERROR(__xludf.DUMMYFUNCTION("""COMPUTED_VALUE"""),20.0)</f>
        <v>20</v>
      </c>
      <c r="K82" s="9"/>
      <c r="L82" s="9"/>
      <c r="M82" s="9"/>
      <c r="N82" s="10">
        <f>IFERROR(__xludf.DUMMYFUNCTION("""COMPUTED_VALUE"""),0.25)</f>
        <v>0.25</v>
      </c>
      <c r="O82" s="9"/>
      <c r="P82" s="9"/>
      <c r="Q82" s="11">
        <f>IFERROR(__xludf.DUMMYFUNCTION("""COMPUTED_VALUE"""),5.0)</f>
        <v>5</v>
      </c>
      <c r="R82" s="9"/>
      <c r="S82" s="9"/>
      <c r="T82" s="9"/>
      <c r="U82" s="36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IFERROR(__xludf.DUMMYFUNCTION("""COMPUTED_VALUE"""),28.0)</f>
        <v>28</v>
      </c>
      <c r="D83" s="9"/>
      <c r="E83" s="9"/>
      <c r="F83" s="9"/>
      <c r="G83" s="10">
        <f>IFERROR(__xludf.DUMMYFUNCTION("""COMPUTED_VALUE"""),0.8214285714285714)</f>
        <v>0.8214285714</v>
      </c>
      <c r="H83" s="9"/>
      <c r="I83" s="9"/>
      <c r="J83" s="11">
        <f>IFERROR(__xludf.DUMMYFUNCTION("""COMPUTED_VALUE"""),23.0)</f>
        <v>23</v>
      </c>
      <c r="K83" s="9"/>
      <c r="L83" s="9"/>
      <c r="M83" s="9"/>
      <c r="N83" s="10">
        <f>IFERROR(__xludf.DUMMYFUNCTION("""COMPUTED_VALUE"""),0.21739130434782608)</f>
        <v>0.2173913043</v>
      </c>
      <c r="O83" s="9"/>
      <c r="P83" s="9"/>
      <c r="Q83" s="11">
        <f>IFERROR(__xludf.DUMMYFUNCTION("""COMPUTED_VALUE"""),5.0)</f>
        <v>5</v>
      </c>
      <c r="R83" s="9"/>
      <c r="S83" s="9"/>
      <c r="T83" s="9"/>
      <c r="U83" s="36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1">
        <f>IFERROR(__xludf.DUMMYFUNCTION("""COMPUTED_VALUE"""),24.0)</f>
        <v>24</v>
      </c>
      <c r="D84" s="9"/>
      <c r="E84" s="9"/>
      <c r="F84" s="9"/>
      <c r="G84" s="10">
        <f>IFERROR(__xludf.DUMMYFUNCTION("""COMPUTED_VALUE"""),0.625)</f>
        <v>0.625</v>
      </c>
      <c r="H84" s="9"/>
      <c r="I84" s="9"/>
      <c r="J84" s="11">
        <f>IFERROR(__xludf.DUMMYFUNCTION("""COMPUTED_VALUE"""),15.0)</f>
        <v>15</v>
      </c>
      <c r="K84" s="9"/>
      <c r="L84" s="9"/>
      <c r="M84" s="9"/>
      <c r="N84" s="10">
        <f>IFERROR(__xludf.DUMMYFUNCTION("""COMPUTED_VALUE"""),0.26666666666666666)</f>
        <v>0.2666666667</v>
      </c>
      <c r="O84" s="9"/>
      <c r="P84" s="9"/>
      <c r="Q84" s="11">
        <f>IFERROR(__xludf.DUMMYFUNCTION("""COMPUTED_VALUE"""),4.0)</f>
        <v>4</v>
      </c>
      <c r="R84" s="9"/>
      <c r="S84" s="9"/>
      <c r="T84" s="9"/>
      <c r="U84" s="36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1">
        <f>IFERROR(__xludf.DUMMYFUNCTION("""COMPUTED_VALUE"""),33.0)</f>
        <v>33</v>
      </c>
      <c r="D85" s="9"/>
      <c r="E85" s="9"/>
      <c r="F85" s="9"/>
      <c r="G85" s="10">
        <f>IFERROR(__xludf.DUMMYFUNCTION("""COMPUTED_VALUE"""),0.6363636363636364)</f>
        <v>0.6363636364</v>
      </c>
      <c r="H85" s="9"/>
      <c r="I85" s="9"/>
      <c r="J85" s="11">
        <f>IFERROR(__xludf.DUMMYFUNCTION("""COMPUTED_VALUE"""),21.0)</f>
        <v>21</v>
      </c>
      <c r="K85" s="9"/>
      <c r="L85" s="9"/>
      <c r="M85" s="9"/>
      <c r="N85" s="10">
        <f>IFERROR(__xludf.DUMMYFUNCTION("""COMPUTED_VALUE"""),0.14285714285714285)</f>
        <v>0.1428571429</v>
      </c>
      <c r="O85" s="9"/>
      <c r="P85" s="9"/>
      <c r="Q85" s="11">
        <f>IFERROR(__xludf.DUMMYFUNCTION("""COMPUTED_VALUE"""),3.0)</f>
        <v>3</v>
      </c>
      <c r="R85" s="9"/>
      <c r="S85" s="9"/>
      <c r="T85" s="9"/>
      <c r="U85" s="36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1">
        <f>IFERROR(__xludf.DUMMYFUNCTION("""COMPUTED_VALUE"""),23.0)</f>
        <v>23</v>
      </c>
      <c r="D86" s="9"/>
      <c r="E86" s="9"/>
      <c r="F86" s="9"/>
      <c r="G86" s="10">
        <f>IFERROR(__xludf.DUMMYFUNCTION("""COMPUTED_VALUE"""),0.6956521739130435)</f>
        <v>0.6956521739</v>
      </c>
      <c r="H86" s="9"/>
      <c r="I86" s="9"/>
      <c r="J86" s="11">
        <f>IFERROR(__xludf.DUMMYFUNCTION("""COMPUTED_VALUE"""),16.0)</f>
        <v>16</v>
      </c>
      <c r="K86" s="9"/>
      <c r="L86" s="9"/>
      <c r="M86" s="9"/>
      <c r="N86" s="10">
        <f>IFERROR(__xludf.DUMMYFUNCTION("""COMPUTED_VALUE"""),0.125)</f>
        <v>0.125</v>
      </c>
      <c r="O86" s="9"/>
      <c r="P86" s="9"/>
      <c r="Q86" s="11">
        <f>IFERROR(__xludf.DUMMYFUNCTION("""COMPUTED_VALUE"""),2.0)</f>
        <v>2</v>
      </c>
      <c r="R86" s="9"/>
      <c r="S86" s="9"/>
      <c r="T86" s="9"/>
      <c r="U86" s="36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1">
        <f>IFERROR(__xludf.DUMMYFUNCTION("""COMPUTED_VALUE"""),1.0)</f>
        <v>1</v>
      </c>
      <c r="D87" s="9"/>
      <c r="E87" s="9"/>
      <c r="F87" s="9"/>
      <c r="G87" s="10">
        <f>IFERROR(__xludf.DUMMYFUNCTION("""COMPUTED_VALUE"""),1.0)</f>
        <v>1</v>
      </c>
      <c r="H87" s="9"/>
      <c r="I87" s="9"/>
      <c r="J87" s="11">
        <f>IFERROR(__xludf.DUMMYFUNCTION("""COMPUTED_VALUE"""),1.0)</f>
        <v>1</v>
      </c>
      <c r="K87" s="9"/>
      <c r="L87" s="9"/>
      <c r="M87" s="9"/>
      <c r="N87" s="10">
        <f>IFERROR(__xludf.DUMMYFUNCTION("""COMPUTED_VALUE"""),1.0)</f>
        <v>1</v>
      </c>
      <c r="O87" s="9"/>
      <c r="P87" s="9"/>
      <c r="Q87" s="11">
        <f>IFERROR(__xludf.DUMMYFUNCTION("""COMPUTED_VALUE"""),1.0)</f>
        <v>1</v>
      </c>
      <c r="R87" s="9"/>
      <c r="S87" s="9"/>
      <c r="T87" s="9"/>
      <c r="U87" s="36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1">
        <f>IFERROR(__xludf.DUMMYFUNCTION("""COMPUTED_VALUE"""),7.0)</f>
        <v>7</v>
      </c>
      <c r="D88" s="9"/>
      <c r="E88" s="9"/>
      <c r="F88" s="9"/>
      <c r="G88" s="10">
        <f>IFERROR(__xludf.DUMMYFUNCTION("""COMPUTED_VALUE"""),0.8571428571428571)</f>
        <v>0.8571428571</v>
      </c>
      <c r="H88" s="9"/>
      <c r="I88" s="9"/>
      <c r="J88" s="11">
        <f>IFERROR(__xludf.DUMMYFUNCTION("""COMPUTED_VALUE"""),6.0)</f>
        <v>6</v>
      </c>
      <c r="K88" s="9"/>
      <c r="L88" s="9"/>
      <c r="M88" s="9"/>
      <c r="N88" s="10">
        <f>IFERROR(__xludf.DUMMYFUNCTION("""COMPUTED_VALUE"""),0.16666666666666666)</f>
        <v>0.1666666667</v>
      </c>
      <c r="O88" s="9"/>
      <c r="P88" s="9"/>
      <c r="Q88" s="11">
        <f>IFERROR(__xludf.DUMMYFUNCTION("""COMPUTED_VALUE"""),1.0)</f>
        <v>1</v>
      </c>
      <c r="R88" s="9"/>
      <c r="S88" s="9"/>
      <c r="T88" s="9"/>
      <c r="U88" s="36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1">
        <f>IFERROR(__xludf.DUMMYFUNCTION("""COMPUTED_VALUE"""),1.0)</f>
        <v>1</v>
      </c>
      <c r="D89" s="9"/>
      <c r="E89" s="9"/>
      <c r="F89" s="9"/>
      <c r="G89" s="10">
        <f>IFERROR(__xludf.DUMMYFUNCTION("""COMPUTED_VALUE"""),1.0)</f>
        <v>1</v>
      </c>
      <c r="H89" s="9"/>
      <c r="I89" s="9"/>
      <c r="J89" s="11">
        <f>IFERROR(__xludf.DUMMYFUNCTION("""COMPUTED_VALUE"""),1.0)</f>
        <v>1</v>
      </c>
      <c r="K89" s="9"/>
      <c r="L89" s="9"/>
      <c r="M89" s="9"/>
      <c r="N89" s="10">
        <f>IFERROR(__xludf.DUMMYFUNCTION("""COMPUTED_VALUE"""),0.0)</f>
        <v>0</v>
      </c>
      <c r="O89" s="9"/>
      <c r="P89" s="9"/>
      <c r="Q89" s="11">
        <f>IFERROR(__xludf.DUMMYFUNCTION("""COMPUTED_VALUE"""),0.0)</f>
        <v>0</v>
      </c>
      <c r="R89" s="9"/>
      <c r="S89" s="9"/>
      <c r="T89" s="9"/>
      <c r="U89" s="36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1">
        <f>IFERROR(__xludf.DUMMYFUNCTION("""COMPUTED_VALUE"""),159.03225806451604)</f>
        <v>159.0322581</v>
      </c>
      <c r="C90" s="11">
        <f>IFERROR(__xludf.DUMMYFUNCTION("""COMPUTED_VALUE"""),125.0)</f>
        <v>125</v>
      </c>
      <c r="D90" s="11">
        <f>IFERROR(__xludf.DUMMYFUNCTION("""COMPUTED_VALUE"""),-34.03225806451604)</f>
        <v>-34.03225806</v>
      </c>
      <c r="E90" s="10">
        <f>IFERROR(__xludf.DUMMYFUNCTION("""COMPUTED_VALUE"""),-0.21399594320486773)</f>
        <v>-0.2139959432</v>
      </c>
      <c r="F90" s="10">
        <f>IFERROR(__xludf.DUMMYFUNCTION("""COMPUTED_VALUE"""),0.7900000000000001)</f>
        <v>0.79</v>
      </c>
      <c r="G90" s="10">
        <f>IFERROR(__xludf.DUMMYFUNCTION("""COMPUTED_VALUE"""),0.768)</f>
        <v>0.768</v>
      </c>
      <c r="H90" s="35">
        <f>IFERROR(__xludf.DUMMYFUNCTION("""COMPUTED_VALUE"""),-2.200000000000013)</f>
        <v>-2.2</v>
      </c>
      <c r="I90" s="11">
        <f>IFERROR(__xludf.DUMMYFUNCTION("""COMPUTED_VALUE"""),125.63548387096769)</f>
        <v>125.6354839</v>
      </c>
      <c r="J90" s="11">
        <f>IFERROR(__xludf.DUMMYFUNCTION("""COMPUTED_VALUE"""),96.0)</f>
        <v>96</v>
      </c>
      <c r="K90" s="11">
        <f>IFERROR(__xludf.DUMMYFUNCTION("""COMPUTED_VALUE"""),-29.63548387096769)</f>
        <v>-29.63548387</v>
      </c>
      <c r="L90" s="10">
        <f>IFERROR(__xludf.DUMMYFUNCTION("""COMPUTED_VALUE"""),-0.2358846637738462)</f>
        <v>-0.2358846638</v>
      </c>
      <c r="M90" s="10">
        <f>IFERROR(__xludf.DUMMYFUNCTION("""COMPUTED_VALUE"""),0.37610294117647075)</f>
        <v>0.3761029412</v>
      </c>
      <c r="N90" s="10">
        <f>IFERROR(__xludf.DUMMYFUNCTION("""COMPUTED_VALUE"""),0.4270833333333333)</f>
        <v>0.4270833333</v>
      </c>
      <c r="O90" s="35">
        <f>IFERROR(__xludf.DUMMYFUNCTION("""COMPUTED_VALUE"""),5.098039215686256)</f>
        <v>5.098039216</v>
      </c>
      <c r="P90" s="11">
        <f>IFERROR(__xludf.DUMMYFUNCTION("""COMPUTED_VALUE"""),47.251875)</f>
        <v>47.251875</v>
      </c>
      <c r="Q90" s="11">
        <f>IFERROR(__xludf.DUMMYFUNCTION("""COMPUTED_VALUE"""),41.0)</f>
        <v>41</v>
      </c>
      <c r="R90" s="11">
        <f>IFERROR(__xludf.DUMMYFUNCTION("""COMPUTED_VALUE"""),-6.251874999999998)</f>
        <v>-6.251875</v>
      </c>
      <c r="S90" s="10">
        <f>IFERROR(__xludf.DUMMYFUNCTION("""COMPUTED_VALUE"""),-0.1323095644352737)</f>
        <v>-0.1323095644</v>
      </c>
      <c r="T90" s="11">
        <f>IFERROR(__xludf.DUMMYFUNCTION("""COMPUTED_VALUE"""),177507.29330070002)</f>
        <v>177507.2933</v>
      </c>
      <c r="U90" s="36">
        <f>IFERROR(__xludf.DUMMYFUNCTION("""COMPUTED_VALUE"""),1412.8754698235302)</f>
        <v>1412.87547</v>
      </c>
      <c r="V90" s="36">
        <f>IFERROR(__xludf.DUMMYFUNCTION("""COMPUTED_VALUE"""),-41871.24819764113)</f>
        <v>-41871.2482</v>
      </c>
      <c r="W90" s="10">
        <f>IFERROR(__xludf.DUMMYFUNCTION("""COMPUTED_VALUE"""),-0.2358846637738462)</f>
        <v>-0.2358846638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1">
        <f>IFERROR(__xludf.DUMMYFUNCTION("""COMPUTED_VALUE"""),38.0)</f>
        <v>38</v>
      </c>
      <c r="D91" s="9"/>
      <c r="E91" s="9"/>
      <c r="F91" s="9"/>
      <c r="G91" s="10">
        <f>IFERROR(__xludf.DUMMYFUNCTION("""COMPUTED_VALUE"""),0.7105263157894737)</f>
        <v>0.7105263158</v>
      </c>
      <c r="H91" s="9"/>
      <c r="I91" s="9"/>
      <c r="J91" s="11">
        <f>IFERROR(__xludf.DUMMYFUNCTION("""COMPUTED_VALUE"""),27.0)</f>
        <v>27</v>
      </c>
      <c r="K91" s="9"/>
      <c r="L91" s="9"/>
      <c r="M91" s="9"/>
      <c r="N91" s="10">
        <f>IFERROR(__xludf.DUMMYFUNCTION("""COMPUTED_VALUE"""),0.5925925925925926)</f>
        <v>0.5925925926</v>
      </c>
      <c r="O91" s="9"/>
      <c r="P91" s="9"/>
      <c r="Q91" s="11">
        <f>IFERROR(__xludf.DUMMYFUNCTION("""COMPUTED_VALUE"""),16.0)</f>
        <v>16</v>
      </c>
      <c r="R91" s="9"/>
      <c r="S91" s="9"/>
      <c r="T91" s="9"/>
      <c r="U91" s="36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1">
        <f>IFERROR(__xludf.DUMMYFUNCTION("""COMPUTED_VALUE"""),21.0)</f>
        <v>21</v>
      </c>
      <c r="D92" s="9"/>
      <c r="E92" s="9"/>
      <c r="F92" s="9"/>
      <c r="G92" s="10">
        <f>IFERROR(__xludf.DUMMYFUNCTION("""COMPUTED_VALUE"""),0.9047619047619048)</f>
        <v>0.9047619048</v>
      </c>
      <c r="H92" s="9"/>
      <c r="I92" s="9"/>
      <c r="J92" s="11">
        <f>IFERROR(__xludf.DUMMYFUNCTION("""COMPUTED_VALUE"""),19.0)</f>
        <v>19</v>
      </c>
      <c r="K92" s="9"/>
      <c r="L92" s="9"/>
      <c r="M92" s="9"/>
      <c r="N92" s="10">
        <f>IFERROR(__xludf.DUMMYFUNCTION("""COMPUTED_VALUE"""),0.6842105263157895)</f>
        <v>0.6842105263</v>
      </c>
      <c r="O92" s="9"/>
      <c r="P92" s="9"/>
      <c r="Q92" s="11">
        <f>IFERROR(__xludf.DUMMYFUNCTION("""COMPUTED_VALUE"""),13.0)</f>
        <v>13</v>
      </c>
      <c r="R92" s="9"/>
      <c r="S92" s="9"/>
      <c r="T92" s="9"/>
      <c r="U92" s="36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1">
        <f>IFERROR(__xludf.DUMMYFUNCTION("""COMPUTED_VALUE"""),25.0)</f>
        <v>25</v>
      </c>
      <c r="D93" s="9"/>
      <c r="E93" s="9"/>
      <c r="F93" s="9"/>
      <c r="G93" s="10">
        <f>IFERROR(__xludf.DUMMYFUNCTION("""COMPUTED_VALUE"""),0.88)</f>
        <v>0.88</v>
      </c>
      <c r="H93" s="9"/>
      <c r="I93" s="9"/>
      <c r="J93" s="11">
        <f>IFERROR(__xludf.DUMMYFUNCTION("""COMPUTED_VALUE"""),22.0)</f>
        <v>22</v>
      </c>
      <c r="K93" s="9"/>
      <c r="L93" s="9"/>
      <c r="M93" s="9"/>
      <c r="N93" s="10">
        <f>IFERROR(__xludf.DUMMYFUNCTION("""COMPUTED_VALUE"""),0.5454545454545454)</f>
        <v>0.5454545455</v>
      </c>
      <c r="O93" s="9"/>
      <c r="P93" s="9"/>
      <c r="Q93" s="11">
        <f>IFERROR(__xludf.DUMMYFUNCTION("""COMPUTED_VALUE"""),12.0)</f>
        <v>12</v>
      </c>
      <c r="R93" s="9"/>
      <c r="S93" s="9"/>
      <c r="T93" s="9"/>
      <c r="U93" s="36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1">
        <f>IFERROR(__xludf.DUMMYFUNCTION("""COMPUTED_VALUE"""),33.0)</f>
        <v>33</v>
      </c>
      <c r="D94" s="9"/>
      <c r="E94" s="9"/>
      <c r="F94" s="9"/>
      <c r="G94" s="10">
        <f>IFERROR(__xludf.DUMMYFUNCTION("""COMPUTED_VALUE"""),0.7272727272727273)</f>
        <v>0.7272727273</v>
      </c>
      <c r="H94" s="9"/>
      <c r="I94" s="9"/>
      <c r="J94" s="11">
        <f>IFERROR(__xludf.DUMMYFUNCTION("""COMPUTED_VALUE"""),24.0)</f>
        <v>24</v>
      </c>
      <c r="K94" s="9"/>
      <c r="L94" s="9"/>
      <c r="M94" s="9"/>
      <c r="N94" s="10">
        <f>IFERROR(__xludf.DUMMYFUNCTION("""COMPUTED_VALUE"""),0.5)</f>
        <v>0.5</v>
      </c>
      <c r="O94" s="9"/>
      <c r="P94" s="9"/>
      <c r="Q94" s="11">
        <f>IFERROR(__xludf.DUMMYFUNCTION("""COMPUTED_VALUE"""),12.0)</f>
        <v>12</v>
      </c>
      <c r="R94" s="9"/>
      <c r="S94" s="9"/>
      <c r="T94" s="9"/>
      <c r="U94" s="36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1">
        <f>IFERROR(__xludf.DUMMYFUNCTION("""COMPUTED_VALUE"""),49.0)</f>
        <v>49</v>
      </c>
      <c r="D95" s="9"/>
      <c r="E95" s="9"/>
      <c r="F95" s="9"/>
      <c r="G95" s="10">
        <f>IFERROR(__xludf.DUMMYFUNCTION("""COMPUTED_VALUE"""),0.7959183673469388)</f>
        <v>0.7959183673</v>
      </c>
      <c r="H95" s="9"/>
      <c r="I95" s="9"/>
      <c r="J95" s="11">
        <f>IFERROR(__xludf.DUMMYFUNCTION("""COMPUTED_VALUE"""),39.0)</f>
        <v>39</v>
      </c>
      <c r="K95" s="9"/>
      <c r="L95" s="9"/>
      <c r="M95" s="9"/>
      <c r="N95" s="10">
        <f>IFERROR(__xludf.DUMMYFUNCTION("""COMPUTED_VALUE"""),0.3076923076923077)</f>
        <v>0.3076923077</v>
      </c>
      <c r="O95" s="9"/>
      <c r="P95" s="9"/>
      <c r="Q95" s="11">
        <f>IFERROR(__xludf.DUMMYFUNCTION("""COMPUTED_VALUE"""),12.0)</f>
        <v>12</v>
      </c>
      <c r="R95" s="9"/>
      <c r="S95" s="9"/>
      <c r="T95" s="9"/>
      <c r="U95" s="36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1">
        <f>IFERROR(__xludf.DUMMYFUNCTION("""COMPUTED_VALUE"""),29.0)</f>
        <v>29</v>
      </c>
      <c r="D96" s="9"/>
      <c r="E96" s="9"/>
      <c r="F96" s="9"/>
      <c r="G96" s="10">
        <f>IFERROR(__xludf.DUMMYFUNCTION("""COMPUTED_VALUE"""),0.6551724137931034)</f>
        <v>0.6551724138</v>
      </c>
      <c r="H96" s="9"/>
      <c r="I96" s="9"/>
      <c r="J96" s="11">
        <f>IFERROR(__xludf.DUMMYFUNCTION("""COMPUTED_VALUE"""),19.0)</f>
        <v>19</v>
      </c>
      <c r="K96" s="9"/>
      <c r="L96" s="9"/>
      <c r="M96" s="9"/>
      <c r="N96" s="10">
        <f>IFERROR(__xludf.DUMMYFUNCTION("""COMPUTED_VALUE"""),0.5263157894736842)</f>
        <v>0.5263157895</v>
      </c>
      <c r="O96" s="9"/>
      <c r="P96" s="9"/>
      <c r="Q96" s="11">
        <f>IFERROR(__xludf.DUMMYFUNCTION("""COMPUTED_VALUE"""),10.0)</f>
        <v>10</v>
      </c>
      <c r="R96" s="9"/>
      <c r="S96" s="9"/>
      <c r="T96" s="9"/>
      <c r="U96" s="36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1">
        <f>IFERROR(__xludf.DUMMYFUNCTION("""COMPUTED_VALUE"""),27.0)</f>
        <v>27</v>
      </c>
      <c r="D97" s="9"/>
      <c r="E97" s="9"/>
      <c r="F97" s="9"/>
      <c r="G97" s="10">
        <f>IFERROR(__xludf.DUMMYFUNCTION("""COMPUTED_VALUE"""),0.8148148148148148)</f>
        <v>0.8148148148</v>
      </c>
      <c r="H97" s="9"/>
      <c r="I97" s="9"/>
      <c r="J97" s="11">
        <f>IFERROR(__xludf.DUMMYFUNCTION("""COMPUTED_VALUE"""),22.0)</f>
        <v>22</v>
      </c>
      <c r="K97" s="9"/>
      <c r="L97" s="9"/>
      <c r="M97" s="9"/>
      <c r="N97" s="10">
        <f>IFERROR(__xludf.DUMMYFUNCTION("""COMPUTED_VALUE"""),0.4090909090909091)</f>
        <v>0.4090909091</v>
      </c>
      <c r="O97" s="9"/>
      <c r="P97" s="9"/>
      <c r="Q97" s="11">
        <f>IFERROR(__xludf.DUMMYFUNCTION("""COMPUTED_VALUE"""),9.0)</f>
        <v>9</v>
      </c>
      <c r="R97" s="9"/>
      <c r="S97" s="9"/>
      <c r="T97" s="9"/>
      <c r="U97" s="36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1">
        <f>IFERROR(__xludf.DUMMYFUNCTION("""COMPUTED_VALUE"""),25.0)</f>
        <v>25</v>
      </c>
      <c r="D98" s="9"/>
      <c r="E98" s="9"/>
      <c r="F98" s="9"/>
      <c r="G98" s="10">
        <f>IFERROR(__xludf.DUMMYFUNCTION("""COMPUTED_VALUE"""),0.88)</f>
        <v>0.88</v>
      </c>
      <c r="H98" s="9"/>
      <c r="I98" s="9"/>
      <c r="J98" s="11">
        <f>IFERROR(__xludf.DUMMYFUNCTION("""COMPUTED_VALUE"""),22.0)</f>
        <v>22</v>
      </c>
      <c r="K98" s="9"/>
      <c r="L98" s="9"/>
      <c r="M98" s="9"/>
      <c r="N98" s="10">
        <f>IFERROR(__xludf.DUMMYFUNCTION("""COMPUTED_VALUE"""),0.4090909090909091)</f>
        <v>0.4090909091</v>
      </c>
      <c r="O98" s="9"/>
      <c r="P98" s="9"/>
      <c r="Q98" s="11">
        <f>IFERROR(__xludf.DUMMYFUNCTION("""COMPUTED_VALUE"""),9.0)</f>
        <v>9</v>
      </c>
      <c r="R98" s="9"/>
      <c r="S98" s="9"/>
      <c r="T98" s="9"/>
      <c r="U98" s="36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1">
        <f>IFERROR(__xludf.DUMMYFUNCTION("""COMPUTED_VALUE"""),26.0)</f>
        <v>26</v>
      </c>
      <c r="D99" s="9"/>
      <c r="E99" s="9"/>
      <c r="F99" s="9"/>
      <c r="G99" s="10">
        <f>IFERROR(__xludf.DUMMYFUNCTION("""COMPUTED_VALUE"""),0.9615384615384616)</f>
        <v>0.9615384615</v>
      </c>
      <c r="H99" s="9"/>
      <c r="I99" s="9"/>
      <c r="J99" s="11">
        <f>IFERROR(__xludf.DUMMYFUNCTION("""COMPUTED_VALUE"""),25.0)</f>
        <v>25</v>
      </c>
      <c r="K99" s="9"/>
      <c r="L99" s="9"/>
      <c r="M99" s="9"/>
      <c r="N99" s="10">
        <f>IFERROR(__xludf.DUMMYFUNCTION("""COMPUTED_VALUE"""),0.28)</f>
        <v>0.28</v>
      </c>
      <c r="O99" s="9"/>
      <c r="P99" s="9"/>
      <c r="Q99" s="11">
        <f>IFERROR(__xludf.DUMMYFUNCTION("""COMPUTED_VALUE"""),7.0)</f>
        <v>7</v>
      </c>
      <c r="R99" s="9"/>
      <c r="S99" s="9"/>
      <c r="T99" s="9"/>
      <c r="U99" s="36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1">
        <f>IFERROR(__xludf.DUMMYFUNCTION("""COMPUTED_VALUE"""),2.0)</f>
        <v>2</v>
      </c>
      <c r="D100" s="9"/>
      <c r="E100" s="9"/>
      <c r="F100" s="9"/>
      <c r="G100" s="10">
        <f>IFERROR(__xludf.DUMMYFUNCTION("""COMPUTED_VALUE"""),1.0)</f>
        <v>1</v>
      </c>
      <c r="H100" s="9"/>
      <c r="I100" s="9"/>
      <c r="J100" s="11">
        <f>IFERROR(__xludf.DUMMYFUNCTION("""COMPUTED_VALUE"""),2.0)</f>
        <v>2</v>
      </c>
      <c r="K100" s="9"/>
      <c r="L100" s="9"/>
      <c r="M100" s="9"/>
      <c r="N100" s="10">
        <f>IFERROR(__xludf.DUMMYFUNCTION("""COMPUTED_VALUE"""),1.0)</f>
        <v>1</v>
      </c>
      <c r="O100" s="9"/>
      <c r="P100" s="9"/>
      <c r="Q100" s="11">
        <f>IFERROR(__xludf.DUMMYFUNCTION("""COMPUTED_VALUE"""),2.0)</f>
        <v>2</v>
      </c>
      <c r="R100" s="9"/>
      <c r="S100" s="9"/>
      <c r="T100" s="9"/>
      <c r="U100" s="36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1">
        <f>IFERROR(__xludf.DUMMYFUNCTION("""COMPUTED_VALUE"""),7.0)</f>
        <v>7</v>
      </c>
      <c r="D101" s="9"/>
      <c r="E101" s="9"/>
      <c r="F101" s="9"/>
      <c r="G101" s="10">
        <f>IFERROR(__xludf.DUMMYFUNCTION("""COMPUTED_VALUE"""),0.8571428571428571)</f>
        <v>0.8571428571</v>
      </c>
      <c r="H101" s="9"/>
      <c r="I101" s="9"/>
      <c r="J101" s="11">
        <f>IFERROR(__xludf.DUMMYFUNCTION("""COMPUTED_VALUE"""),6.0)</f>
        <v>6</v>
      </c>
      <c r="K101" s="9"/>
      <c r="L101" s="9"/>
      <c r="M101" s="9"/>
      <c r="N101" s="10">
        <f>IFERROR(__xludf.DUMMYFUNCTION("""COMPUTED_VALUE"""),0.3333333333333333)</f>
        <v>0.3333333333</v>
      </c>
      <c r="O101" s="9"/>
      <c r="P101" s="9"/>
      <c r="Q101" s="11">
        <f>IFERROR(__xludf.DUMMYFUNCTION("""COMPUTED_VALUE"""),2.0)</f>
        <v>2</v>
      </c>
      <c r="R101" s="9"/>
      <c r="S101" s="9"/>
      <c r="T101" s="9"/>
      <c r="U101" s="36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1">
        <f>IFERROR(__xludf.DUMMYFUNCTION("""COMPUTED_VALUE"""),1.0)</f>
        <v>1</v>
      </c>
      <c r="D102" s="9"/>
      <c r="E102" s="9"/>
      <c r="F102" s="9"/>
      <c r="G102" s="10">
        <f>IFERROR(__xludf.DUMMYFUNCTION("""COMPUTED_VALUE"""),1.0)</f>
        <v>1</v>
      </c>
      <c r="H102" s="9"/>
      <c r="I102" s="9"/>
      <c r="J102" s="11">
        <f>IFERROR(__xludf.DUMMYFUNCTION("""COMPUTED_VALUE"""),1.0)</f>
        <v>1</v>
      </c>
      <c r="K102" s="9"/>
      <c r="L102" s="9"/>
      <c r="M102" s="9"/>
      <c r="N102" s="10">
        <f>IFERROR(__xludf.DUMMYFUNCTION("""COMPUTED_VALUE"""),0.0)</f>
        <v>0</v>
      </c>
      <c r="O102" s="9"/>
      <c r="P102" s="9"/>
      <c r="Q102" s="11">
        <f>IFERROR(__xludf.DUMMYFUNCTION("""COMPUTED_VALUE"""),0.0)</f>
        <v>0</v>
      </c>
      <c r="R102" s="9"/>
      <c r="S102" s="9"/>
      <c r="T102" s="9"/>
      <c r="U102" s="36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1">
        <f>IFERROR(__xludf.DUMMYFUNCTION("""COMPUTED_VALUE"""),1.0)</f>
        <v>1</v>
      </c>
      <c r="D103" s="9"/>
      <c r="E103" s="9"/>
      <c r="F103" s="9"/>
      <c r="G103" s="10">
        <f>IFERROR(__xludf.DUMMYFUNCTION("""COMPUTED_VALUE"""),0.0)</f>
        <v>0</v>
      </c>
      <c r="H103" s="9"/>
      <c r="I103" s="9"/>
      <c r="J103" s="11">
        <f>IFERROR(__xludf.DUMMYFUNCTION("""COMPUTED_VALUE"""),0.0)</f>
        <v>0</v>
      </c>
      <c r="K103" s="9"/>
      <c r="L103" s="9"/>
      <c r="M103" s="9"/>
      <c r="N103" s="10">
        <f>IFERROR(__xludf.DUMMYFUNCTION("""COMPUTED_VALUE"""),0.0)</f>
        <v>0</v>
      </c>
      <c r="O103" s="9"/>
      <c r="P103" s="9"/>
      <c r="Q103" s="11">
        <f>IFERROR(__xludf.DUMMYFUNCTION("""COMPUTED_VALUE"""),0.0)</f>
        <v>0</v>
      </c>
      <c r="R103" s="9"/>
      <c r="S103" s="9"/>
      <c r="T103" s="9"/>
      <c r="U103" s="36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1">
        <f>IFERROR(__xludf.DUMMYFUNCTION("""COMPUTED_VALUE"""),1.0)</f>
        <v>1</v>
      </c>
      <c r="D104" s="9"/>
      <c r="E104" s="9"/>
      <c r="F104" s="9"/>
      <c r="G104" s="10">
        <f>IFERROR(__xludf.DUMMYFUNCTION("""COMPUTED_VALUE"""),2.0)</f>
        <v>2</v>
      </c>
      <c r="H104" s="9"/>
      <c r="I104" s="9"/>
      <c r="J104" s="11">
        <f>IFERROR(__xludf.DUMMYFUNCTION("""COMPUTED_VALUE"""),2.0)</f>
        <v>2</v>
      </c>
      <c r="K104" s="9"/>
      <c r="L104" s="9"/>
      <c r="M104" s="9"/>
      <c r="N104" s="10">
        <f>IFERROR(__xludf.DUMMYFUNCTION("""COMPUTED_VALUE"""),0.0)</f>
        <v>0</v>
      </c>
      <c r="O104" s="9"/>
      <c r="P104" s="9"/>
      <c r="Q104" s="11">
        <f>IFERROR(__xludf.DUMMYFUNCTION("""COMPUTED_VALUE"""),0.0)</f>
        <v>0</v>
      </c>
      <c r="R104" s="9"/>
      <c r="S104" s="9"/>
      <c r="T104" s="9"/>
      <c r="U104" s="36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1">
        <f>IFERROR(__xludf.DUMMYFUNCTION("""COMPUTED_VALUE"""),319.38064516129015)</f>
        <v>319.3806452</v>
      </c>
      <c r="C105" s="11">
        <f>IFERROR(__xludf.DUMMYFUNCTION("""COMPUTED_VALUE"""),262.0)</f>
        <v>262</v>
      </c>
      <c r="D105" s="11">
        <f>IFERROR(__xludf.DUMMYFUNCTION("""COMPUTED_VALUE"""),-57.38064516129015)</f>
        <v>-57.38064516</v>
      </c>
      <c r="E105" s="10">
        <f>IFERROR(__xludf.DUMMYFUNCTION("""COMPUTED_VALUE"""),-0.17966224951519025)</f>
        <v>-0.1796622495</v>
      </c>
      <c r="F105" s="10">
        <f>IFERROR(__xludf.DUMMYFUNCTION("""COMPUTED_VALUE"""),0.5817307692307692)</f>
        <v>0.5817307692</v>
      </c>
      <c r="G105" s="10">
        <f>IFERROR(__xludf.DUMMYFUNCTION("""COMPUTED_VALUE"""),0.6297709923664122)</f>
        <v>0.6297709924</v>
      </c>
      <c r="H105" s="35">
        <f>IFERROR(__xludf.DUMMYFUNCTION("""COMPUTED_VALUE"""),4.804022313564305)</f>
        <v>4.804022314</v>
      </c>
      <c r="I105" s="11">
        <f>IFERROR(__xludf.DUMMYFUNCTION("""COMPUTED_VALUE"""),185.79354838709665)</f>
        <v>185.7935484</v>
      </c>
      <c r="J105" s="11">
        <f>IFERROR(__xludf.DUMMYFUNCTION("""COMPUTED_VALUE"""),165.0)</f>
        <v>165</v>
      </c>
      <c r="K105" s="11">
        <f>IFERROR(__xludf.DUMMYFUNCTION("""COMPUTED_VALUE"""),-20.79354838709665)</f>
        <v>-20.79354839</v>
      </c>
      <c r="L105" s="10">
        <f>IFERROR(__xludf.DUMMYFUNCTION("""COMPUTED_VALUE"""),-0.11191749427043485)</f>
        <v>-0.1119174943</v>
      </c>
      <c r="M105" s="10">
        <f>IFERROR(__xludf.DUMMYFUNCTION("""COMPUTED_VALUE"""),0.4434491978609628)</f>
        <v>0.4434491979</v>
      </c>
      <c r="N105" s="10">
        <f>IFERROR(__xludf.DUMMYFUNCTION("""COMPUTED_VALUE"""),0.5212121212121212)</f>
        <v>0.5212121212</v>
      </c>
      <c r="O105" s="35">
        <f>IFERROR(__xludf.DUMMYFUNCTION("""COMPUTED_VALUE"""),7.776292335115842)</f>
        <v>7.776292335</v>
      </c>
      <c r="P105" s="11">
        <f>IFERROR(__xludf.DUMMYFUNCTION("""COMPUTED_VALUE"""),82.38999999999999)</f>
        <v>82.39</v>
      </c>
      <c r="Q105" s="11">
        <f>IFERROR(__xludf.DUMMYFUNCTION("""COMPUTED_VALUE"""),86.0)</f>
        <v>86</v>
      </c>
      <c r="R105" s="11">
        <f>IFERROR(__xludf.DUMMYFUNCTION("""COMPUTED_VALUE"""),3.6100000000000136)</f>
        <v>3.61</v>
      </c>
      <c r="S105" s="10">
        <f>IFERROR(__xludf.DUMMYFUNCTION("""COMPUTED_VALUE"""),0.0438159970870253)</f>
        <v>0.04381599709</v>
      </c>
      <c r="T105" s="11">
        <f>IFERROR(__xludf.DUMMYFUNCTION("""COMPUTED_VALUE"""),342414.408)</f>
        <v>342414.408</v>
      </c>
      <c r="U105" s="36">
        <f>IFERROR(__xludf.DUMMYFUNCTION("""COMPUTED_VALUE"""),1842.9833057851251)</f>
        <v>1842.983306</v>
      </c>
      <c r="V105" s="36">
        <f>IFERROR(__xludf.DUMMYFUNCTION("""COMPUTED_VALUE"""),-38322.16254545434)</f>
        <v>-38322.16255</v>
      </c>
      <c r="W105" s="10">
        <f>IFERROR(__xludf.DUMMYFUNCTION("""COMPUTED_VALUE"""),-0.11191749427043485)</f>
        <v>-0.1119174943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1" t="str">
        <f>IFERROR(__xludf.DUMMYFUNCTION("""COMPUTED_VALUE"""),"#REF!")</f>
        <v>#REF!</v>
      </c>
      <c r="D106" s="9"/>
      <c r="E106" s="9"/>
      <c r="F106" s="9"/>
      <c r="G106" s="10" t="str">
        <f>IFERROR(__xludf.DUMMYFUNCTION("""COMPUTED_VALUE"""),"#REF!")</f>
        <v>#REF!</v>
      </c>
      <c r="H106" s="9"/>
      <c r="I106" s="9"/>
      <c r="J106" s="11" t="str">
        <f>IFERROR(__xludf.DUMMYFUNCTION("""COMPUTED_VALUE"""),"#REF!")</f>
        <v>#REF!</v>
      </c>
      <c r="K106" s="9"/>
      <c r="L106" s="9"/>
      <c r="M106" s="9"/>
      <c r="N106" s="10" t="str">
        <f>IFERROR(__xludf.DUMMYFUNCTION("""COMPUTED_VALUE"""),"#REF!")</f>
        <v>#REF!</v>
      </c>
      <c r="O106" s="9"/>
      <c r="P106" s="9"/>
      <c r="Q106" s="11" t="str">
        <f>IFERROR(__xludf.DUMMYFUNCTION("""COMPUTED_VALUE"""),"#REF!")</f>
        <v>#REF!</v>
      </c>
      <c r="R106" s="9"/>
      <c r="S106" s="9"/>
      <c r="T106" s="9"/>
      <c r="U106" s="36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6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6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6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6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6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6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6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6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6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6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6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6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6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6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6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6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1">
        <f>IFERROR(__xludf.DUMMYFUNCTION("""COMPUTED_VALUE"""),118.39677419354834)</f>
        <v>118.3967742</v>
      </c>
      <c r="C124" s="11">
        <f>IFERROR(__xludf.DUMMYFUNCTION("""COMPUTED_VALUE"""),62.0)</f>
        <v>62</v>
      </c>
      <c r="D124" s="11">
        <f>IFERROR(__xludf.DUMMYFUNCTION("""COMPUTED_VALUE"""),-56.39677419354834)</f>
        <v>-56.39677419</v>
      </c>
      <c r="E124" s="10">
        <f>IFERROR(__xludf.DUMMYFUNCTION("""COMPUTED_VALUE"""),-0.4763370841620574)</f>
        <v>-0.4763370842</v>
      </c>
      <c r="F124" s="10">
        <f>IFERROR(__xludf.DUMMYFUNCTION("""COMPUTED_VALUE"""),0.716535433070866)</f>
        <v>0.7165354331</v>
      </c>
      <c r="G124" s="10">
        <f>IFERROR(__xludf.DUMMYFUNCTION("""COMPUTED_VALUE"""),0.7419354838709677)</f>
        <v>0.7419354839</v>
      </c>
      <c r="H124" s="35">
        <f>IFERROR(__xludf.DUMMYFUNCTION("""COMPUTED_VALUE"""),2.540005080010177)</f>
        <v>2.54000508</v>
      </c>
      <c r="I124" s="11">
        <f>IFERROR(__xludf.DUMMYFUNCTION("""COMPUTED_VALUE"""),84.83548387096769)</f>
        <v>84.83548387</v>
      </c>
      <c r="J124" s="11">
        <f>IFERROR(__xludf.DUMMYFUNCTION("""COMPUTED_VALUE"""),46.0)</f>
        <v>46</v>
      </c>
      <c r="K124" s="11">
        <f>IFERROR(__xludf.DUMMYFUNCTION("""COMPUTED_VALUE"""),-38.83548387096769)</f>
        <v>-38.83548387</v>
      </c>
      <c r="L124" s="10">
        <f>IFERROR(__xludf.DUMMYFUNCTION("""COMPUTED_VALUE"""),-0.4577740598501841)</f>
        <v>-0.4577740599</v>
      </c>
      <c r="M124" s="10">
        <f>IFERROR(__xludf.DUMMYFUNCTION("""COMPUTED_VALUE"""),0.3857466063348418)</f>
        <v>0.3857466063</v>
      </c>
      <c r="N124" s="10">
        <f>IFERROR(__xludf.DUMMYFUNCTION("""COMPUTED_VALUE"""),0.30434782608695654)</f>
        <v>0.3043478261</v>
      </c>
      <c r="O124" s="35">
        <f>IFERROR(__xludf.DUMMYFUNCTION("""COMPUTED_VALUE"""),-8.139878024788526)</f>
        <v>-8.139878025</v>
      </c>
      <c r="P124" s="11">
        <f>IFERROR(__xludf.DUMMYFUNCTION("""COMPUTED_VALUE"""),32.724999999999994)</f>
        <v>32.725</v>
      </c>
      <c r="Q124" s="11">
        <f>IFERROR(__xludf.DUMMYFUNCTION("""COMPUTED_VALUE"""),14.0)</f>
        <v>14</v>
      </c>
      <c r="R124" s="11">
        <f>IFERROR(__xludf.DUMMYFUNCTION("""COMPUTED_VALUE"""),-18.724999999999994)</f>
        <v>-18.725</v>
      </c>
      <c r="S124" s="10">
        <f>IFERROR(__xludf.DUMMYFUNCTION("""COMPUTED_VALUE"""),-0.5721925133689839)</f>
        <v>-0.5721925134</v>
      </c>
      <c r="T124" s="11">
        <f>IFERROR(__xludf.DUMMYFUNCTION("""COMPUTED_VALUE"""),127502.83151999999)</f>
        <v>127502.8315</v>
      </c>
      <c r="U124" s="36">
        <f>IFERROR(__xludf.DUMMYFUNCTION("""COMPUTED_VALUE"""),1502.9422324499037)</f>
        <v>1502.942232</v>
      </c>
      <c r="V124" s="36">
        <f>IFERROR(__xludf.DUMMYFUNCTION("""COMPUTED_VALUE"""),-58367.48882730441)</f>
        <v>-58367.48883</v>
      </c>
      <c r="W124" s="10">
        <f>IFERROR(__xludf.DUMMYFUNCTION("""COMPUTED_VALUE"""),-0.45777405985018405)</f>
        <v>-0.4577740599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1">
        <f>IFERROR(__xludf.DUMMYFUNCTION("""COMPUTED_VALUE"""),12.0)</f>
        <v>12</v>
      </c>
      <c r="D125" s="9"/>
      <c r="E125" s="9"/>
      <c r="F125" s="9"/>
      <c r="G125" s="10">
        <f>IFERROR(__xludf.DUMMYFUNCTION("""COMPUTED_VALUE"""),1.0)</f>
        <v>1</v>
      </c>
      <c r="H125" s="9"/>
      <c r="I125" s="9"/>
      <c r="J125" s="11">
        <f>IFERROR(__xludf.DUMMYFUNCTION("""COMPUTED_VALUE"""),12.0)</f>
        <v>12</v>
      </c>
      <c r="K125" s="9"/>
      <c r="L125" s="9"/>
      <c r="M125" s="9"/>
      <c r="N125" s="10">
        <f>IFERROR(__xludf.DUMMYFUNCTION("""COMPUTED_VALUE"""),0.5833333333333334)</f>
        <v>0.5833333333</v>
      </c>
      <c r="O125" s="9"/>
      <c r="P125" s="9"/>
      <c r="Q125" s="11">
        <f>IFERROR(__xludf.DUMMYFUNCTION("""COMPUTED_VALUE"""),7.0)</f>
        <v>7</v>
      </c>
      <c r="R125" s="9"/>
      <c r="S125" s="9"/>
      <c r="T125" s="9"/>
      <c r="U125" s="36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1">
        <f>IFERROR(__xludf.DUMMYFUNCTION("""COMPUTED_VALUE"""),9.0)</f>
        <v>9</v>
      </c>
      <c r="D126" s="9"/>
      <c r="E126" s="9"/>
      <c r="F126" s="9"/>
      <c r="G126" s="10">
        <f>IFERROR(__xludf.DUMMYFUNCTION("""COMPUTED_VALUE"""),0.7777777777777778)</f>
        <v>0.7777777778</v>
      </c>
      <c r="H126" s="9"/>
      <c r="I126" s="9"/>
      <c r="J126" s="11">
        <f>IFERROR(__xludf.DUMMYFUNCTION("""COMPUTED_VALUE"""),7.0)</f>
        <v>7</v>
      </c>
      <c r="K126" s="9"/>
      <c r="L126" s="9"/>
      <c r="M126" s="9"/>
      <c r="N126" s="10">
        <f>IFERROR(__xludf.DUMMYFUNCTION("""COMPUTED_VALUE"""),0.7142857142857143)</f>
        <v>0.7142857143</v>
      </c>
      <c r="O126" s="9"/>
      <c r="P126" s="9"/>
      <c r="Q126" s="11">
        <f>IFERROR(__xludf.DUMMYFUNCTION("""COMPUTED_VALUE"""),5.0)</f>
        <v>5</v>
      </c>
      <c r="R126" s="9"/>
      <c r="S126" s="9"/>
      <c r="T126" s="9"/>
      <c r="U126" s="36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1">
        <f>IFERROR(__xludf.DUMMYFUNCTION("""COMPUTED_VALUE"""),12.0)</f>
        <v>12</v>
      </c>
      <c r="D127" s="9"/>
      <c r="E127" s="9"/>
      <c r="F127" s="9"/>
      <c r="G127" s="10">
        <f>IFERROR(__xludf.DUMMYFUNCTION("""COMPUTED_VALUE"""),0.8333333333333334)</f>
        <v>0.8333333333</v>
      </c>
      <c r="H127" s="9"/>
      <c r="I127" s="9"/>
      <c r="J127" s="11">
        <f>IFERROR(__xludf.DUMMYFUNCTION("""COMPUTED_VALUE"""),10.0)</f>
        <v>10</v>
      </c>
      <c r="K127" s="9"/>
      <c r="L127" s="9"/>
      <c r="M127" s="9"/>
      <c r="N127" s="10">
        <f>IFERROR(__xludf.DUMMYFUNCTION("""COMPUTED_VALUE"""),0.4)</f>
        <v>0.4</v>
      </c>
      <c r="O127" s="9"/>
      <c r="P127" s="9"/>
      <c r="Q127" s="11">
        <f>IFERROR(__xludf.DUMMYFUNCTION("""COMPUTED_VALUE"""),4.0)</f>
        <v>4</v>
      </c>
      <c r="R127" s="9"/>
      <c r="S127" s="9"/>
      <c r="T127" s="9"/>
      <c r="U127" s="36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IFERROR(__xludf.DUMMYFUNCTION("""COMPUTED_VALUE"""),12.0)</f>
        <v>12</v>
      </c>
      <c r="D128" s="9"/>
      <c r="E128" s="9"/>
      <c r="F128" s="9"/>
      <c r="G128" s="10">
        <f>IFERROR(__xludf.DUMMYFUNCTION("""COMPUTED_VALUE"""),0.9166666666666666)</f>
        <v>0.9166666667</v>
      </c>
      <c r="H128" s="9"/>
      <c r="I128" s="9"/>
      <c r="J128" s="11">
        <f>IFERROR(__xludf.DUMMYFUNCTION("""COMPUTED_VALUE"""),11.0)</f>
        <v>11</v>
      </c>
      <c r="K128" s="9"/>
      <c r="L128" s="9"/>
      <c r="M128" s="9"/>
      <c r="N128" s="10">
        <f>IFERROR(__xludf.DUMMYFUNCTION("""COMPUTED_VALUE"""),0.2727272727272727)</f>
        <v>0.2727272727</v>
      </c>
      <c r="O128" s="9"/>
      <c r="P128" s="9"/>
      <c r="Q128" s="11">
        <f>IFERROR(__xludf.DUMMYFUNCTION("""COMPUTED_VALUE"""),3.0)</f>
        <v>3</v>
      </c>
      <c r="R128" s="9"/>
      <c r="S128" s="9"/>
      <c r="T128" s="9"/>
      <c r="U128" s="36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1">
        <f>IFERROR(__xludf.DUMMYFUNCTION("""COMPUTED_VALUE"""),14.0)</f>
        <v>14</v>
      </c>
      <c r="D129" s="9"/>
      <c r="E129" s="9"/>
      <c r="F129" s="9"/>
      <c r="G129" s="10">
        <f>IFERROR(__xludf.DUMMYFUNCTION("""COMPUTED_VALUE"""),0.5)</f>
        <v>0.5</v>
      </c>
      <c r="H129" s="9"/>
      <c r="I129" s="9"/>
      <c r="J129" s="11">
        <f>IFERROR(__xludf.DUMMYFUNCTION("""COMPUTED_VALUE"""),7.0)</f>
        <v>7</v>
      </c>
      <c r="K129" s="9"/>
      <c r="L129" s="9"/>
      <c r="M129" s="9"/>
      <c r="N129" s="10">
        <f>IFERROR(__xludf.DUMMYFUNCTION("""COMPUTED_VALUE"""),0.2857142857142857)</f>
        <v>0.2857142857</v>
      </c>
      <c r="O129" s="9"/>
      <c r="P129" s="9"/>
      <c r="Q129" s="11">
        <f>IFERROR(__xludf.DUMMYFUNCTION("""COMPUTED_VALUE"""),2.0)</f>
        <v>2</v>
      </c>
      <c r="R129" s="9"/>
      <c r="S129" s="9"/>
      <c r="T129" s="9"/>
      <c r="U129" s="36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IFERROR(__xludf.DUMMYFUNCTION("""COMPUTED_VALUE"""),12.0)</f>
        <v>12</v>
      </c>
      <c r="D130" s="9"/>
      <c r="E130" s="9"/>
      <c r="F130" s="9"/>
      <c r="G130" s="10">
        <f>IFERROR(__xludf.DUMMYFUNCTION("""COMPUTED_VALUE"""),0.6666666666666666)</f>
        <v>0.6666666667</v>
      </c>
      <c r="H130" s="9"/>
      <c r="I130" s="9"/>
      <c r="J130" s="11">
        <f>IFERROR(__xludf.DUMMYFUNCTION("""COMPUTED_VALUE"""),8.0)</f>
        <v>8</v>
      </c>
      <c r="K130" s="9"/>
      <c r="L130" s="9"/>
      <c r="M130" s="9"/>
      <c r="N130" s="10">
        <f>IFERROR(__xludf.DUMMYFUNCTION("""COMPUTED_VALUE"""),0.25)</f>
        <v>0.25</v>
      </c>
      <c r="O130" s="9"/>
      <c r="P130" s="9"/>
      <c r="Q130" s="11">
        <f>IFERROR(__xludf.DUMMYFUNCTION("""COMPUTED_VALUE"""),2.0)</f>
        <v>2</v>
      </c>
      <c r="R130" s="9"/>
      <c r="S130" s="9"/>
      <c r="T130" s="9"/>
      <c r="U130" s="36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1">
        <f>IFERROR(__xludf.DUMMYFUNCTION("""COMPUTED_VALUE"""),12.0)</f>
        <v>12</v>
      </c>
      <c r="D131" s="9"/>
      <c r="E131" s="9"/>
      <c r="F131" s="9"/>
      <c r="G131" s="10">
        <f>IFERROR(__xludf.DUMMYFUNCTION("""COMPUTED_VALUE"""),0.6666666666666666)</f>
        <v>0.6666666667</v>
      </c>
      <c r="H131" s="9"/>
      <c r="I131" s="9"/>
      <c r="J131" s="11">
        <f>IFERROR(__xludf.DUMMYFUNCTION("""COMPUTED_VALUE"""),8.0)</f>
        <v>8</v>
      </c>
      <c r="K131" s="9"/>
      <c r="L131" s="9"/>
      <c r="M131" s="9"/>
      <c r="N131" s="10">
        <f>IFERROR(__xludf.DUMMYFUNCTION("""COMPUTED_VALUE"""),0.25)</f>
        <v>0.25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36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1">
        <f>IFERROR(__xludf.DUMMYFUNCTION("""COMPUTED_VALUE"""),8.0)</f>
        <v>8</v>
      </c>
      <c r="D132" s="9"/>
      <c r="E132" s="9"/>
      <c r="F132" s="9"/>
      <c r="G132" s="10">
        <f>IFERROR(__xludf.DUMMYFUNCTION("""COMPUTED_VALUE"""),1.125)</f>
        <v>1.125</v>
      </c>
      <c r="H132" s="9"/>
      <c r="I132" s="9"/>
      <c r="J132" s="11">
        <f>IFERROR(__xludf.DUMMYFUNCTION("""COMPUTED_VALUE"""),9.0)</f>
        <v>9</v>
      </c>
      <c r="K132" s="9"/>
      <c r="L132" s="9"/>
      <c r="M132" s="9"/>
      <c r="N132" s="10">
        <f>IFERROR(__xludf.DUMMYFUNCTION("""COMPUTED_VALUE"""),0.2222222222222222)</f>
        <v>0.2222222222</v>
      </c>
      <c r="O132" s="9"/>
      <c r="P132" s="9"/>
      <c r="Q132" s="11">
        <f>IFERROR(__xludf.DUMMYFUNCTION("""COMPUTED_VALUE"""),2.0)</f>
        <v>2</v>
      </c>
      <c r="R132" s="9"/>
      <c r="S132" s="9"/>
      <c r="T132" s="9"/>
      <c r="U132" s="36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1">
        <f>IFERROR(__xludf.DUMMYFUNCTION("""COMPUTED_VALUE"""),14.0)</f>
        <v>14</v>
      </c>
      <c r="D133" s="9"/>
      <c r="E133" s="9"/>
      <c r="F133" s="9"/>
      <c r="G133" s="10">
        <f>IFERROR(__xludf.DUMMYFUNCTION("""COMPUTED_VALUE"""),0.7857142857142857)</f>
        <v>0.7857142857</v>
      </c>
      <c r="H133" s="9"/>
      <c r="I133" s="9"/>
      <c r="J133" s="11">
        <f>IFERROR(__xludf.DUMMYFUNCTION("""COMPUTED_VALUE"""),11.0)</f>
        <v>11</v>
      </c>
      <c r="K133" s="9"/>
      <c r="L133" s="9"/>
      <c r="M133" s="9"/>
      <c r="N133" s="10">
        <f>IFERROR(__xludf.DUMMYFUNCTION("""COMPUTED_VALUE"""),0.09090909090909091)</f>
        <v>0.09090909091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36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1">
        <f>IFERROR(__xludf.DUMMYFUNCTION("""COMPUTED_VALUE"""),1.0)</f>
        <v>1</v>
      </c>
      <c r="D134" s="9"/>
      <c r="E134" s="9"/>
      <c r="F134" s="9"/>
      <c r="G134" s="10">
        <f>IFERROR(__xludf.DUMMYFUNCTION("""COMPUTED_VALUE"""),1.0)</f>
        <v>1</v>
      </c>
      <c r="H134" s="9"/>
      <c r="I134" s="9"/>
      <c r="J134" s="11">
        <f>IFERROR(__xludf.DUMMYFUNCTION("""COMPUTED_VALUE"""),1.0)</f>
        <v>1</v>
      </c>
      <c r="K134" s="9"/>
      <c r="L134" s="9"/>
      <c r="M134" s="9"/>
      <c r="N134" s="10">
        <f>IFERROR(__xludf.DUMMYFUNCTION("""COMPUTED_VALUE"""),0.0)</f>
        <v>0</v>
      </c>
      <c r="O134" s="9"/>
      <c r="P134" s="9"/>
      <c r="Q134" s="11">
        <f>IFERROR(__xludf.DUMMYFUNCTION("""COMPUTED_VALUE"""),0.0)</f>
        <v>0</v>
      </c>
      <c r="R134" s="9"/>
      <c r="S134" s="9"/>
      <c r="T134" s="9"/>
      <c r="U134" s="36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1">
        <f>IFERROR(__xludf.DUMMYFUNCTION("""COMPUTED_VALUE"""),2.0)</f>
        <v>2</v>
      </c>
      <c r="D135" s="9"/>
      <c r="E135" s="9"/>
      <c r="F135" s="9"/>
      <c r="G135" s="10">
        <f>IFERROR(__xludf.DUMMYFUNCTION("""COMPUTED_VALUE"""),0.5)</f>
        <v>0.5</v>
      </c>
      <c r="H135" s="9"/>
      <c r="I135" s="9"/>
      <c r="J135" s="11">
        <f>IFERROR(__xludf.DUMMYFUNCTION("""COMPUTED_VALUE"""),1.0)</f>
        <v>1</v>
      </c>
      <c r="K135" s="9"/>
      <c r="L135" s="9"/>
      <c r="M135" s="9"/>
      <c r="N135" s="10">
        <f>IFERROR(__xludf.DUMMYFUNCTION("""COMPUTED_VALUE"""),0.0)</f>
        <v>0</v>
      </c>
      <c r="O135" s="9"/>
      <c r="P135" s="9"/>
      <c r="Q135" s="11">
        <f>IFERROR(__xludf.DUMMYFUNCTION("""COMPUTED_VALUE"""),0.0)</f>
        <v>0</v>
      </c>
      <c r="R135" s="9"/>
      <c r="S135" s="9"/>
      <c r="T135" s="9"/>
      <c r="U135" s="36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1">
        <f>IFERROR(__xludf.DUMMYFUNCTION("""COMPUTED_VALUE"""),21.93548387096773)</f>
        <v>21.93548387</v>
      </c>
      <c r="C136" s="11">
        <f>IFERROR(__xludf.DUMMYFUNCTION("""COMPUTED_VALUE"""),19.0)</f>
        <v>19</v>
      </c>
      <c r="D136" s="11">
        <f>IFERROR(__xludf.DUMMYFUNCTION("""COMPUTED_VALUE"""),-2.9354838709677296)</f>
        <v>-2.935483871</v>
      </c>
      <c r="E136" s="10">
        <f>IFERROR(__xludf.DUMMYFUNCTION("""COMPUTED_VALUE"""),-0.13382352941176423)</f>
        <v>-0.1338235294</v>
      </c>
      <c r="F136" s="10">
        <f>IFERROR(__xludf.DUMMYFUNCTION("""COMPUTED_VALUE"""),0.6460674157303372)</f>
        <v>0.6460674157</v>
      </c>
      <c r="G136" s="10">
        <f>IFERROR(__xludf.DUMMYFUNCTION("""COMPUTED_VALUE"""),0.5789473684210527)</f>
        <v>0.5789473684</v>
      </c>
      <c r="H136" s="35">
        <f>IFERROR(__xludf.DUMMYFUNCTION("""COMPUTED_VALUE"""),-6.712004730928456)</f>
        <v>-6.712004731</v>
      </c>
      <c r="I136" s="11">
        <f>IFERROR(__xludf.DUMMYFUNCTION("""COMPUTED_VALUE"""),14.171801377310615)</f>
        <v>14.17180138</v>
      </c>
      <c r="J136" s="11">
        <f>IFERROR(__xludf.DUMMYFUNCTION("""COMPUTED_VALUE"""),11.0)</f>
        <v>11</v>
      </c>
      <c r="K136" s="11">
        <f>IFERROR(__xludf.DUMMYFUNCTION("""COMPUTED_VALUE"""),-3.171801377310615)</f>
        <v>-3.171801377</v>
      </c>
      <c r="L136" s="10">
        <f>IFERROR(__xludf.DUMMYFUNCTION("""COMPUTED_VALUE"""),-0.2238107416879793)</f>
        <v>-0.2238107417</v>
      </c>
      <c r="M136" s="10">
        <f>IFERROR(__xludf.DUMMYFUNCTION("""COMPUTED_VALUE"""),0.2768117647058825)</f>
        <v>0.2768117647</v>
      </c>
      <c r="N136" s="10">
        <f>IFERROR(__xludf.DUMMYFUNCTION("""COMPUTED_VALUE"""),0.36363636363636365)</f>
        <v>0.3636363636</v>
      </c>
      <c r="O136" s="35">
        <f>IFERROR(__xludf.DUMMYFUNCTION("""COMPUTED_VALUE"""),8.682459893048117)</f>
        <v>8.682459893</v>
      </c>
      <c r="P136" s="11">
        <f>IFERROR(__xludf.DUMMYFUNCTION("""COMPUTED_VALUE"""),3.922921348314607)</f>
        <v>3.922921348</v>
      </c>
      <c r="Q136" s="11">
        <f>IFERROR(__xludf.DUMMYFUNCTION("""COMPUTED_VALUE"""),4.0)</f>
        <v>4</v>
      </c>
      <c r="R136" s="11">
        <f>IFERROR(__xludf.DUMMYFUNCTION("""COMPUTED_VALUE"""),0.07707865168539296)</f>
        <v>0.07707865169</v>
      </c>
      <c r="S136" s="10">
        <f>IFERROR(__xludf.DUMMYFUNCTION("""COMPUTED_VALUE"""),0.0196482786274846)</f>
        <v>0.01964827863</v>
      </c>
      <c r="T136" s="11">
        <f>IFERROR(__xludf.DUMMYFUNCTION("""COMPUTED_VALUE"""),22023.54690240771)</f>
        <v>22023.5469</v>
      </c>
      <c r="U136" s="36">
        <f>IFERROR(__xludf.DUMMYFUNCTION("""COMPUTED_VALUE"""),1554.0400486890765)</f>
        <v>1554.040049</v>
      </c>
      <c r="V136" s="36">
        <f>IFERROR(__xludf.DUMMYFUNCTION("""COMPUTED_VALUE"""),-4929.106366827868)</f>
        <v>-4929.106367</v>
      </c>
      <c r="W136" s="10">
        <f>IFERROR(__xludf.DUMMYFUNCTION("""COMPUTED_VALUE"""),-0.2238107416879793)</f>
        <v>-0.2238107417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1">
        <f>IFERROR(__xludf.DUMMYFUNCTION("""COMPUTED_VALUE"""),8.0)</f>
        <v>8</v>
      </c>
      <c r="D137" s="9"/>
      <c r="E137" s="9"/>
      <c r="F137" s="9"/>
      <c r="G137" s="10">
        <f>IFERROR(__xludf.DUMMYFUNCTION("""COMPUTED_VALUE"""),0.75)</f>
        <v>0.75</v>
      </c>
      <c r="H137" s="9"/>
      <c r="I137" s="9"/>
      <c r="J137" s="11">
        <f>IFERROR(__xludf.DUMMYFUNCTION("""COMPUTED_VALUE"""),6.0)</f>
        <v>6</v>
      </c>
      <c r="K137" s="9"/>
      <c r="L137" s="9"/>
      <c r="M137" s="9"/>
      <c r="N137" s="10">
        <f>IFERROR(__xludf.DUMMYFUNCTION("""COMPUTED_VALUE"""),0.8333333333333334)</f>
        <v>0.8333333333</v>
      </c>
      <c r="O137" s="9"/>
      <c r="P137" s="9"/>
      <c r="Q137" s="11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1">
        <f>IFERROR(__xludf.DUMMYFUNCTION("""COMPUTED_VALUE"""),7.0)</f>
        <v>7</v>
      </c>
      <c r="D138" s="9"/>
      <c r="E138" s="9"/>
      <c r="F138" s="9"/>
      <c r="G138" s="10">
        <f>IFERROR(__xludf.DUMMYFUNCTION("""COMPUTED_VALUE"""),1.0)</f>
        <v>1</v>
      </c>
      <c r="H138" s="9"/>
      <c r="I138" s="9"/>
      <c r="J138" s="11">
        <f>IFERROR(__xludf.DUMMYFUNCTION("""COMPUTED_VALUE"""),7.0)</f>
        <v>7</v>
      </c>
      <c r="K138" s="9"/>
      <c r="L138" s="9"/>
      <c r="M138" s="9"/>
      <c r="N138" s="10">
        <f>IFERROR(__xludf.DUMMYFUNCTION("""COMPUTED_VALUE"""),0.2857142857142857)</f>
        <v>0.2857142857</v>
      </c>
      <c r="O138" s="9"/>
      <c r="P138" s="9"/>
      <c r="Q138" s="11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1">
        <f>IFERROR(__xludf.DUMMYFUNCTION("""COMPUTED_VALUE"""),2.0)</f>
        <v>2</v>
      </c>
      <c r="D139" s="9"/>
      <c r="E139" s="9"/>
      <c r="F139" s="9"/>
      <c r="G139" s="10">
        <f>IFERROR(__xludf.DUMMYFUNCTION("""COMPUTED_VALUE"""),0.5)</f>
        <v>0.5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IFERROR(__xludf.DUMMYFUNCTION("""COMPUTED_VALUE"""),1.0)</f>
        <v>1</v>
      </c>
      <c r="O139" s="9"/>
      <c r="P139" s="9"/>
      <c r="Q139" s="11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1">
        <f>IFERROR(__xludf.DUMMYFUNCTION("""COMPUTED_VALUE"""),4.0)</f>
        <v>4</v>
      </c>
      <c r="D140" s="9"/>
      <c r="E140" s="9"/>
      <c r="F140" s="9"/>
      <c r="G140" s="10">
        <f>IFERROR(__xludf.DUMMYFUNCTION("""COMPUTED_VALUE"""),0.5)</f>
        <v>0.5</v>
      </c>
      <c r="H140" s="9"/>
      <c r="I140" s="9"/>
      <c r="J140" s="11">
        <f>IFERROR(__xludf.DUMMYFUNCTION("""COMPUTED_VALUE"""),2.0)</f>
        <v>2</v>
      </c>
      <c r="K140" s="9"/>
      <c r="L140" s="9"/>
      <c r="M140" s="9"/>
      <c r="N140" s="10">
        <f>IFERROR(__xludf.DUMMYFUNCTION("""COMPUTED_VALUE"""),0.5)</f>
        <v>0.5</v>
      </c>
      <c r="O140" s="9"/>
      <c r="P140" s="9"/>
      <c r="Q140" s="11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1">
        <f>IFERROR(__xludf.DUMMYFUNCTION("""COMPUTED_VALUE"""),8.0)</f>
        <v>8</v>
      </c>
      <c r="D141" s="9"/>
      <c r="E141" s="9"/>
      <c r="F141" s="9"/>
      <c r="G141" s="10">
        <f>IFERROR(__xludf.DUMMYFUNCTION("""COMPUTED_VALUE"""),0.5)</f>
        <v>0.5</v>
      </c>
      <c r="H141" s="9"/>
      <c r="I141" s="9"/>
      <c r="J141" s="11">
        <f>IFERROR(__xludf.DUMMYFUNCTION("""COMPUTED_VALUE"""),4.0)</f>
        <v>4</v>
      </c>
      <c r="K141" s="9"/>
      <c r="L141" s="9"/>
      <c r="M141" s="9"/>
      <c r="N141" s="10">
        <f>IFERROR(__xludf.DUMMYFUNCTION("""COMPUTED_VALUE"""),0.25)</f>
        <v>0.25</v>
      </c>
      <c r="O141" s="9"/>
      <c r="P141" s="9"/>
      <c r="Q141" s="11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1">
        <f>IFERROR(__xludf.DUMMYFUNCTION("""COMPUTED_VALUE"""),8.0)</f>
        <v>8</v>
      </c>
      <c r="D142" s="9"/>
      <c r="E142" s="9"/>
      <c r="F142" s="9"/>
      <c r="G142" s="10">
        <f>IFERROR(__xludf.DUMMYFUNCTION("""COMPUTED_VALUE"""),0.5)</f>
        <v>0.5</v>
      </c>
      <c r="H142" s="9"/>
      <c r="I142" s="9"/>
      <c r="J142" s="11">
        <f>IFERROR(__xludf.DUMMYFUNCTION("""COMPUTED_VALUE"""),4.0)</f>
        <v>4</v>
      </c>
      <c r="K142" s="9"/>
      <c r="L142" s="9"/>
      <c r="M142" s="9"/>
      <c r="N142" s="10">
        <f>IFERROR(__xludf.DUMMYFUNCTION("""COMPUTED_VALUE"""),0.25)</f>
        <v>0.25</v>
      </c>
      <c r="O142" s="9"/>
      <c r="P142" s="9"/>
      <c r="Q142" s="11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1">
        <f>IFERROR(__xludf.DUMMYFUNCTION("""COMPUTED_VALUE"""),8.0)</f>
        <v>8</v>
      </c>
      <c r="D143" s="9"/>
      <c r="E143" s="9"/>
      <c r="F143" s="9"/>
      <c r="G143" s="10">
        <f>IFERROR(__xludf.DUMMYFUNCTION("""COMPUTED_VALUE"""),0.5)</f>
        <v>0.5</v>
      </c>
      <c r="H143" s="9"/>
      <c r="I143" s="9"/>
      <c r="J143" s="11">
        <f>IFERROR(__xludf.DUMMYFUNCTION("""COMPUTED_VALUE"""),4.0)</f>
        <v>4</v>
      </c>
      <c r="K143" s="9"/>
      <c r="L143" s="9"/>
      <c r="M143" s="9"/>
      <c r="N143" s="10">
        <f>IFERROR(__xludf.DUMMYFUNCTION("""COMPUTED_VALUE"""),0.25)</f>
        <v>0.25</v>
      </c>
      <c r="O143" s="9"/>
      <c r="P143" s="9"/>
      <c r="Q143" s="11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1">
        <f>IFERROR(__xludf.DUMMYFUNCTION("""COMPUTED_VALUE"""),8.0)</f>
        <v>8</v>
      </c>
      <c r="D144" s="9"/>
      <c r="E144" s="9"/>
      <c r="F144" s="9"/>
      <c r="G144" s="10">
        <f>IFERROR(__xludf.DUMMYFUNCTION("""COMPUTED_VALUE"""),0.625)</f>
        <v>0.625</v>
      </c>
      <c r="H144" s="9"/>
      <c r="I144" s="9"/>
      <c r="J144" s="11">
        <f>IFERROR(__xludf.DUMMYFUNCTION("""COMPUTED_VALUE"""),5.0)</f>
        <v>5</v>
      </c>
      <c r="K144" s="9"/>
      <c r="L144" s="9"/>
      <c r="M144" s="9"/>
      <c r="N144" s="10">
        <f>IFERROR(__xludf.DUMMYFUNCTION("""COMPUTED_VALUE"""),0.2)</f>
        <v>0.2</v>
      </c>
      <c r="O144" s="9"/>
      <c r="P144" s="9"/>
      <c r="Q144" s="11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1">
        <f>IFERROR(__xludf.DUMMYFUNCTION("""COMPUTED_VALUE"""),7.0)</f>
        <v>7</v>
      </c>
      <c r="D145" s="9"/>
      <c r="E145" s="9"/>
      <c r="F145" s="9"/>
      <c r="G145" s="10">
        <f>IFERROR(__xludf.DUMMYFUNCTION("""COMPUTED_VALUE"""),0.7142857142857143)</f>
        <v>0.7142857143</v>
      </c>
      <c r="H145" s="9"/>
      <c r="I145" s="9"/>
      <c r="J145" s="11">
        <f>IFERROR(__xludf.DUMMYFUNCTION("""COMPUTED_VALUE"""),5.0)</f>
        <v>5</v>
      </c>
      <c r="K145" s="9"/>
      <c r="L145" s="9"/>
      <c r="M145" s="9"/>
      <c r="N145" s="10">
        <f>IFERROR(__xludf.DUMMYFUNCTION("""COMPUTED_VALUE"""),0.2)</f>
        <v>0.2</v>
      </c>
      <c r="O145" s="9"/>
      <c r="P145" s="9"/>
      <c r="Q145" s="11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1">
        <f>IFERROR(__xludf.DUMMYFUNCTION("""COMPUTED_VALUE"""),8.0)</f>
        <v>8</v>
      </c>
      <c r="D146" s="9"/>
      <c r="E146" s="9"/>
      <c r="F146" s="9"/>
      <c r="G146" s="10">
        <f>IFERROR(__xludf.DUMMYFUNCTION("""COMPUTED_VALUE"""),0.25)</f>
        <v>0.25</v>
      </c>
      <c r="H146" s="9"/>
      <c r="I146" s="9"/>
      <c r="J146" s="11">
        <f>IFERROR(__xludf.DUMMYFUNCTION("""COMPUTED_VALUE"""),2.0)</f>
        <v>2</v>
      </c>
      <c r="K146" s="9"/>
      <c r="L146" s="9"/>
      <c r="M146" s="9"/>
      <c r="N146" s="10">
        <f>IFERROR(__xludf.DUMMYFUNCTION("""COMPUTED_VALUE"""),0.0)</f>
        <v>0</v>
      </c>
      <c r="O146" s="9"/>
      <c r="P146" s="9"/>
      <c r="Q146" s="11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IFERROR(__xludf.DUMMYFUNCTION("""COMPUTED_VALUE"""),750.0)</f>
        <v>750</v>
      </c>
      <c r="C233" s="34">
        <f>IFERROR(__xludf.DUMMYFUNCTION("""COMPUTED_VALUE"""),623.0)</f>
        <v>623</v>
      </c>
      <c r="D233" s="34">
        <f>IFERROR(__xludf.DUMMYFUNCTION("""COMPUTED_VALUE"""),168.0)</f>
        <v>168</v>
      </c>
      <c r="E233" s="34">
        <f>IFERROR(__xludf.DUMMYFUNCTION("""COMPUTED_VALUE"""),411.29032258064495)</f>
        <v>411.2903226</v>
      </c>
      <c r="F233" s="34">
        <f>IFERROR(__xludf.DUMMYFUNCTION("""COMPUTED_VALUE"""),341.6451612903224)</f>
        <v>341.6451613</v>
      </c>
      <c r="G233" s="34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IFERROR(__xludf.DUMMYFUNCTION("""COMPUTED_VALUE"""),31.0)</f>
        <v>31</v>
      </c>
      <c r="C234" s="34">
        <f>IFERROR(__xludf.DUMMYFUNCTION("""COMPUTED_VALUE"""),31.0)</f>
        <v>31</v>
      </c>
      <c r="D234" s="34">
        <f>IFERROR(__xludf.DUMMYFUNCTION("""COMPUTED_VALUE"""),11.0)</f>
        <v>11</v>
      </c>
      <c r="E234" s="34">
        <f>IFERROR(__xludf.DUMMYFUNCTION("""COMPUTED_VALUE"""),16.999999999999993)</f>
        <v>17</v>
      </c>
      <c r="F234" s="34">
        <f>IFERROR(__xludf.DUMMYFUNCTION("""COMPUTED_VALUE"""),16.999999999999993)</f>
        <v>17</v>
      </c>
      <c r="G234" s="34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IFERROR(__xludf.DUMMYFUNCTION("""COMPUTED_VALUE"""),1975.0)</f>
        <v>1975</v>
      </c>
      <c r="C235" s="34">
        <f>IFERROR(__xludf.DUMMYFUNCTION("""COMPUTED_VALUE"""),1514.0)</f>
        <v>1514</v>
      </c>
      <c r="D235" s="34">
        <f>IFERROR(__xludf.DUMMYFUNCTION("""COMPUTED_VALUE"""),529.0)</f>
        <v>529</v>
      </c>
      <c r="E235" s="34">
        <f>IFERROR(__xludf.DUMMYFUNCTION("""COMPUTED_VALUE"""),1083.0645161290317)</f>
        <v>1083.064516</v>
      </c>
      <c r="F235" s="34">
        <f>IFERROR(__xludf.DUMMYFUNCTION("""COMPUTED_VALUE"""),830.2580645161287)</f>
        <v>830.2580645</v>
      </c>
      <c r="G235" s="34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IFERROR(__xludf.DUMMYFUNCTION("""COMPUTED_VALUE"""),1237.0)</f>
        <v>1237</v>
      </c>
      <c r="C236" s="34">
        <f>IFERROR(__xludf.DUMMYFUNCTION("""COMPUTED_VALUE"""),970.0)</f>
        <v>970</v>
      </c>
      <c r="D236" s="34">
        <f>IFERROR(__xludf.DUMMYFUNCTION("""COMPUTED_VALUE"""),344.0)</f>
        <v>344</v>
      </c>
      <c r="E236" s="34">
        <f>IFERROR(__xludf.DUMMYFUNCTION("""COMPUTED_VALUE"""),678.3548387096771)</f>
        <v>678.3548387</v>
      </c>
      <c r="F236" s="34">
        <f>IFERROR(__xludf.DUMMYFUNCTION("""COMPUTED_VALUE"""),531.9354838709675)</f>
        <v>531.9354839</v>
      </c>
      <c r="G236" s="34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IFERROR(__xludf.DUMMYFUNCTION("""COMPUTED_VALUE"""),362.0)</f>
        <v>362</v>
      </c>
      <c r="C237" s="34">
        <f>IFERROR(__xludf.DUMMYFUNCTION("""COMPUTED_VALUE"""),276.0)</f>
        <v>276</v>
      </c>
      <c r="D237" s="34">
        <f>IFERROR(__xludf.DUMMYFUNCTION("""COMPUTED_VALUE"""),85.0)</f>
        <v>85</v>
      </c>
      <c r="E237" s="34">
        <f>IFERROR(__xludf.DUMMYFUNCTION("""COMPUTED_VALUE"""),198.51612903225796)</f>
        <v>198.516129</v>
      </c>
      <c r="F237" s="34">
        <f>IFERROR(__xludf.DUMMYFUNCTION("""COMPUTED_VALUE"""),151.35483870967735)</f>
        <v>151.3548387</v>
      </c>
      <c r="G237" s="34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IFERROR(__xludf.DUMMYFUNCTION("""COMPUTED_VALUE"""),280.0)</f>
        <v>280</v>
      </c>
      <c r="C238" s="34">
        <f>IFERROR(__xludf.DUMMYFUNCTION("""COMPUTED_VALUE"""),205.0)</f>
        <v>205</v>
      </c>
      <c r="D238" s="34">
        <f>IFERROR(__xludf.DUMMYFUNCTION("""COMPUTED_VALUE"""),80.0)</f>
        <v>80</v>
      </c>
      <c r="E238" s="34">
        <f>IFERROR(__xludf.DUMMYFUNCTION("""COMPUTED_VALUE"""),153.54838709677412)</f>
        <v>153.5483871</v>
      </c>
      <c r="F238" s="34">
        <f>IFERROR(__xludf.DUMMYFUNCTION("""COMPUTED_VALUE"""),112.41935483870962)</f>
        <v>112.4193548</v>
      </c>
      <c r="G238" s="34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1">
        <f>IFERROR(__xludf.DUMMYFUNCTION("""COMPUTED_VALUE"""),96.0)</f>
        <v>96</v>
      </c>
      <c r="C239" s="34">
        <f>IFERROR(__xludf.DUMMYFUNCTION("""COMPUTED_VALUE"""),63.0)</f>
        <v>63</v>
      </c>
      <c r="D239" s="34">
        <f>IFERROR(__xludf.DUMMYFUNCTION("""COMPUTED_VALUE"""),20.0)</f>
        <v>20</v>
      </c>
      <c r="E239" s="34">
        <f>IFERROR(__xludf.DUMMYFUNCTION("""COMPUTED_VALUE"""),52.645161290322555)</f>
        <v>52.64516129</v>
      </c>
      <c r="F239" s="34">
        <f>IFERROR(__xludf.DUMMYFUNCTION("""COMPUTED_VALUE"""),34.54838709677418)</f>
        <v>34.5483871</v>
      </c>
      <c r="G239" s="34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1">
        <f>IFERROR(__xludf.DUMMYFUNCTION("""COMPUTED_VALUE"""),2456.0)</f>
        <v>2456</v>
      </c>
      <c r="C240" s="34">
        <f>IFERROR(__xludf.DUMMYFUNCTION("""COMPUTED_VALUE"""),1647.0)</f>
        <v>1647</v>
      </c>
      <c r="D240" s="34">
        <f>IFERROR(__xludf.DUMMYFUNCTION("""COMPUTED_VALUE"""),564.0)</f>
        <v>564</v>
      </c>
      <c r="E240" s="34">
        <f>IFERROR(__xludf.DUMMYFUNCTION("""COMPUTED_VALUE"""),1346.8387096774186)</f>
        <v>1346.83871</v>
      </c>
      <c r="F240" s="34">
        <f>IFERROR(__xludf.DUMMYFUNCTION("""COMPUTED_VALUE"""),903.1935483870964)</f>
        <v>903.1935484</v>
      </c>
      <c r="G240" s="34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1">
        <f>IFERROR(__xludf.DUMMYFUNCTION("""COMPUTED_VALUE"""),371.0)</f>
        <v>371</v>
      </c>
      <c r="C241" s="34">
        <f>IFERROR(__xludf.DUMMYFUNCTION("""COMPUTED_VALUE"""),299.0)</f>
        <v>299</v>
      </c>
      <c r="D241" s="34">
        <f>IFERROR(__xludf.DUMMYFUNCTION("""COMPUTED_VALUE"""),102.0)</f>
        <v>102</v>
      </c>
      <c r="E241" s="34">
        <f>IFERROR(__xludf.DUMMYFUNCTION("""COMPUTED_VALUE"""),203.4516129032257)</f>
        <v>203.4516129</v>
      </c>
      <c r="F241" s="34">
        <f>IFERROR(__xludf.DUMMYFUNCTION("""COMPUTED_VALUE"""),163.9677419354838)</f>
        <v>163.9677419</v>
      </c>
      <c r="G241" s="34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1">
        <f>IFERROR(__xludf.DUMMYFUNCTION("""COMPUTED_VALUE"""),360.0)</f>
        <v>360</v>
      </c>
      <c r="C242" s="34">
        <f>IFERROR(__xludf.DUMMYFUNCTION("""COMPUTED_VALUE"""),254.0)</f>
        <v>254</v>
      </c>
      <c r="D242" s="34">
        <f>IFERROR(__xludf.DUMMYFUNCTION("""COMPUTED_VALUE"""),58.0)</f>
        <v>58</v>
      </c>
      <c r="E242" s="34">
        <f>IFERROR(__xludf.DUMMYFUNCTION("""COMPUTED_VALUE"""),197.41935483870958)</f>
        <v>197.4193548</v>
      </c>
      <c r="F242" s="34">
        <f>IFERROR(__xludf.DUMMYFUNCTION("""COMPUTED_VALUE"""),139.2903225806451)</f>
        <v>139.2903226</v>
      </c>
      <c r="G242" s="34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1">
        <f>IFERROR(__xludf.DUMMYFUNCTION("""COMPUTED_VALUE"""),221.0)</f>
        <v>221</v>
      </c>
      <c r="C243" s="34">
        <f>IFERROR(__xludf.DUMMYFUNCTION("""COMPUTED_VALUE"""),118.0)</f>
        <v>118</v>
      </c>
      <c r="D243" s="34">
        <f>IFERROR(__xludf.DUMMYFUNCTION("""COMPUTED_VALUE"""),36.0)</f>
        <v>36</v>
      </c>
      <c r="E243" s="34">
        <f>IFERROR(__xludf.DUMMYFUNCTION("""COMPUTED_VALUE"""),121.19354838709671)</f>
        <v>121.1935484</v>
      </c>
      <c r="F243" s="34">
        <f>IFERROR(__xludf.DUMMYFUNCTION("""COMPUTED_VALUE"""),64.7096774193548)</f>
        <v>64.70967742</v>
      </c>
      <c r="G243" s="34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1">
        <f>IFERROR(__xludf.DUMMYFUNCTION("""COMPUTED_VALUE"""),1440.0)</f>
        <v>1440</v>
      </c>
      <c r="C244" s="34">
        <f>IFERROR(__xludf.DUMMYFUNCTION("""COMPUTED_VALUE"""),934.0)</f>
        <v>934</v>
      </c>
      <c r="D244" s="34">
        <f>IFERROR(__xludf.DUMMYFUNCTION("""COMPUTED_VALUE"""),355.0)</f>
        <v>355</v>
      </c>
      <c r="E244" s="34">
        <f>IFERROR(__xludf.DUMMYFUNCTION("""COMPUTED_VALUE"""),789.6774193548383)</f>
        <v>789.6774194</v>
      </c>
      <c r="F244" s="34">
        <f>IFERROR(__xludf.DUMMYFUNCTION("""COMPUTED_VALUE"""),512.1935483870965)</f>
        <v>512.1935484</v>
      </c>
      <c r="G244" s="34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1">
        <f>IFERROR(__xludf.DUMMYFUNCTION("""COMPUTED_VALUE"""),64.0)</f>
        <v>64</v>
      </c>
      <c r="C245" s="34">
        <f>IFERROR(__xludf.DUMMYFUNCTION("""COMPUTED_VALUE"""),42.0)</f>
        <v>42</v>
      </c>
      <c r="D245" s="34">
        <f>IFERROR(__xludf.DUMMYFUNCTION("""COMPUTED_VALUE"""),13.0)</f>
        <v>13</v>
      </c>
      <c r="E245" s="34">
        <f>IFERROR(__xludf.DUMMYFUNCTION("""COMPUTED_VALUE"""),35.09677419354837)</f>
        <v>35.09677419</v>
      </c>
      <c r="F245" s="34">
        <f>IFERROR(__xludf.DUMMYFUNCTION("""COMPUTED_VALUE"""),23.032258064516117)</f>
        <v>23.03225806</v>
      </c>
      <c r="G245" s="34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136</v>
      </c>
      <c r="B1" s="4" t="s">
        <v>137</v>
      </c>
      <c r="C1" s="4" t="s">
        <v>138</v>
      </c>
    </row>
    <row r="2">
      <c r="A2" s="4" t="s">
        <v>139</v>
      </c>
      <c r="B2" s="4" t="s">
        <v>140</v>
      </c>
      <c r="C2" s="8">
        <v>88.0</v>
      </c>
    </row>
    <row r="3">
      <c r="A3" s="4"/>
      <c r="B3" s="4" t="s">
        <v>141</v>
      </c>
      <c r="C3" s="8">
        <v>26.0</v>
      </c>
    </row>
    <row r="4">
      <c r="A4" s="4" t="s">
        <v>142</v>
      </c>
      <c r="B4" s="4" t="s">
        <v>140</v>
      </c>
      <c r="C4" s="8">
        <v>147.0</v>
      </c>
    </row>
    <row r="5">
      <c r="A5" s="4"/>
      <c r="B5" s="4" t="s">
        <v>141</v>
      </c>
      <c r="C5" s="8">
        <v>80.0</v>
      </c>
    </row>
    <row r="6">
      <c r="A6" s="4" t="s">
        <v>143</v>
      </c>
      <c r="B6" s="4" t="s">
        <v>140</v>
      </c>
      <c r="C6" s="8">
        <v>9.0</v>
      </c>
    </row>
    <row r="7">
      <c r="A7" s="4"/>
      <c r="B7" s="4" t="s">
        <v>141</v>
      </c>
      <c r="C7" s="8">
        <v>1.0</v>
      </c>
    </row>
    <row r="8">
      <c r="A8" s="4" t="s">
        <v>144</v>
      </c>
      <c r="B8" s="4" t="s">
        <v>140</v>
      </c>
      <c r="C8" s="8">
        <v>47.0</v>
      </c>
    </row>
    <row r="9">
      <c r="A9" s="4"/>
      <c r="B9" s="4" t="s">
        <v>141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145</v>
      </c>
    </row>
    <row r="2">
      <c r="A2" s="38" t="s">
        <v>146</v>
      </c>
      <c r="B2" s="38" t="s">
        <v>147</v>
      </c>
      <c r="C2" s="38" t="s">
        <v>148</v>
      </c>
      <c r="D2" s="38" t="s">
        <v>149</v>
      </c>
    </row>
    <row r="3">
      <c r="A3" s="39" t="s">
        <v>150</v>
      </c>
      <c r="B3" s="39"/>
      <c r="C3" s="39"/>
      <c r="D3" s="39"/>
    </row>
    <row r="4">
      <c r="A4" s="39" t="s">
        <v>151</v>
      </c>
      <c r="B4" s="39" t="s">
        <v>152</v>
      </c>
      <c r="C4" s="39" t="s">
        <v>153</v>
      </c>
      <c r="D4" s="39" t="s">
        <v>154</v>
      </c>
    </row>
    <row r="5">
      <c r="A5" s="39" t="s">
        <v>155</v>
      </c>
      <c r="B5" s="39" t="s">
        <v>152</v>
      </c>
      <c r="C5" s="39" t="s">
        <v>156</v>
      </c>
      <c r="D5" s="39" t="s">
        <v>154</v>
      </c>
    </row>
    <row r="6">
      <c r="A6" s="39" t="s">
        <v>157</v>
      </c>
      <c r="B6" s="39" t="s">
        <v>152</v>
      </c>
      <c r="C6" s="39" t="s">
        <v>158</v>
      </c>
      <c r="D6" s="39" t="s">
        <v>154</v>
      </c>
    </row>
    <row r="7">
      <c r="A7" s="39" t="s">
        <v>159</v>
      </c>
      <c r="B7" s="39" t="s">
        <v>152</v>
      </c>
      <c r="C7" s="39" t="s">
        <v>160</v>
      </c>
      <c r="D7" s="39" t="s">
        <v>154</v>
      </c>
    </row>
    <row r="8">
      <c r="A8" s="39" t="s">
        <v>161</v>
      </c>
      <c r="B8" s="39" t="s">
        <v>152</v>
      </c>
      <c r="C8" s="39" t="s">
        <v>162</v>
      </c>
      <c r="D8" s="39" t="s">
        <v>154</v>
      </c>
    </row>
    <row r="9">
      <c r="A9" s="39" t="s">
        <v>163</v>
      </c>
      <c r="B9" s="39" t="s">
        <v>152</v>
      </c>
      <c r="C9" s="39" t="s">
        <v>164</v>
      </c>
      <c r="D9" s="39" t="s">
        <v>154</v>
      </c>
    </row>
    <row r="10">
      <c r="A10" s="39" t="s">
        <v>165</v>
      </c>
      <c r="B10" s="39" t="s">
        <v>152</v>
      </c>
      <c r="C10" s="39" t="s">
        <v>166</v>
      </c>
      <c r="D10" s="39" t="s">
        <v>154</v>
      </c>
    </row>
    <row r="11">
      <c r="A11" s="39" t="s">
        <v>167</v>
      </c>
      <c r="B11" s="39" t="s">
        <v>152</v>
      </c>
      <c r="C11" s="39" t="s">
        <v>168</v>
      </c>
      <c r="D11" s="39" t="s">
        <v>154</v>
      </c>
    </row>
    <row r="12">
      <c r="A12" s="39" t="s">
        <v>169</v>
      </c>
      <c r="B12" s="39" t="s">
        <v>152</v>
      </c>
      <c r="C12" s="39" t="s">
        <v>170</v>
      </c>
      <c r="D12" s="39" t="s">
        <v>154</v>
      </c>
    </row>
    <row r="13">
      <c r="A13" s="39" t="s">
        <v>171</v>
      </c>
      <c r="B13" s="39" t="s">
        <v>152</v>
      </c>
      <c r="C13" s="39" t="s">
        <v>172</v>
      </c>
      <c r="D13" s="39" t="s">
        <v>154</v>
      </c>
    </row>
    <row r="14">
      <c r="A14" s="39" t="s">
        <v>173</v>
      </c>
      <c r="B14" s="39" t="s">
        <v>152</v>
      </c>
      <c r="C14" s="39" t="s">
        <v>174</v>
      </c>
      <c r="D14" s="39" t="s">
        <v>154</v>
      </c>
    </row>
    <row r="15">
      <c r="A15" s="39" t="s">
        <v>175</v>
      </c>
      <c r="B15" s="39" t="s">
        <v>152</v>
      </c>
      <c r="C15" s="39" t="s">
        <v>176</v>
      </c>
      <c r="D15" s="39"/>
    </row>
    <row r="16">
      <c r="A16" s="39" t="s">
        <v>177</v>
      </c>
      <c r="B16" s="39" t="s">
        <v>152</v>
      </c>
      <c r="C16" s="39" t="s">
        <v>153</v>
      </c>
      <c r="D16" s="39" t="s">
        <v>178</v>
      </c>
    </row>
    <row r="17">
      <c r="A17" s="39" t="s">
        <v>179</v>
      </c>
      <c r="B17" s="39" t="s">
        <v>152</v>
      </c>
      <c r="C17" s="39" t="s">
        <v>156</v>
      </c>
      <c r="D17" s="39" t="s">
        <v>178</v>
      </c>
    </row>
    <row r="18">
      <c r="A18" s="39" t="s">
        <v>180</v>
      </c>
      <c r="B18" s="39" t="s">
        <v>152</v>
      </c>
      <c r="C18" s="39" t="s">
        <v>158</v>
      </c>
      <c r="D18" s="39" t="s">
        <v>178</v>
      </c>
    </row>
    <row r="19">
      <c r="A19" s="39" t="s">
        <v>181</v>
      </c>
      <c r="B19" s="39" t="s">
        <v>152</v>
      </c>
      <c r="C19" s="39" t="s">
        <v>160</v>
      </c>
      <c r="D19" s="39" t="s">
        <v>178</v>
      </c>
    </row>
    <row r="20">
      <c r="A20" s="39" t="s">
        <v>182</v>
      </c>
      <c r="B20" s="39" t="s">
        <v>152</v>
      </c>
      <c r="C20" s="39" t="s">
        <v>162</v>
      </c>
      <c r="D20" s="39" t="s">
        <v>178</v>
      </c>
    </row>
    <row r="21">
      <c r="A21" s="39" t="s">
        <v>183</v>
      </c>
      <c r="B21" s="39" t="s">
        <v>152</v>
      </c>
      <c r="C21" s="39" t="s">
        <v>164</v>
      </c>
      <c r="D21" s="39" t="s">
        <v>178</v>
      </c>
    </row>
    <row r="22">
      <c r="A22" s="39" t="s">
        <v>184</v>
      </c>
      <c r="B22" s="39" t="s">
        <v>152</v>
      </c>
      <c r="C22" s="39" t="s">
        <v>166</v>
      </c>
      <c r="D22" s="39" t="s">
        <v>178</v>
      </c>
    </row>
    <row r="23">
      <c r="A23" s="39" t="s">
        <v>185</v>
      </c>
      <c r="B23" s="39" t="s">
        <v>152</v>
      </c>
      <c r="C23" s="39" t="s">
        <v>168</v>
      </c>
      <c r="D23" s="39" t="s">
        <v>178</v>
      </c>
    </row>
    <row r="24">
      <c r="A24" s="39" t="s">
        <v>186</v>
      </c>
      <c r="B24" s="39" t="s">
        <v>152</v>
      </c>
      <c r="C24" s="39" t="s">
        <v>170</v>
      </c>
      <c r="D24" s="39" t="s">
        <v>178</v>
      </c>
    </row>
    <row r="25">
      <c r="A25" s="39" t="s">
        <v>187</v>
      </c>
      <c r="B25" s="39" t="s">
        <v>152</v>
      </c>
      <c r="C25" s="39" t="s">
        <v>172</v>
      </c>
      <c r="D25" s="39" t="s">
        <v>178</v>
      </c>
    </row>
    <row r="26">
      <c r="A26" s="39" t="s">
        <v>188</v>
      </c>
      <c r="B26" s="39" t="s">
        <v>152</v>
      </c>
      <c r="C26" s="39" t="s">
        <v>174</v>
      </c>
      <c r="D26" s="39" t="s">
        <v>178</v>
      </c>
    </row>
    <row r="27">
      <c r="A27" s="39" t="s">
        <v>189</v>
      </c>
      <c r="B27" s="39" t="s">
        <v>152</v>
      </c>
      <c r="C27" s="39" t="s">
        <v>153</v>
      </c>
      <c r="D27" s="39" t="s">
        <v>190</v>
      </c>
    </row>
    <row r="28">
      <c r="A28" s="39" t="s">
        <v>191</v>
      </c>
      <c r="B28" s="39" t="s">
        <v>152</v>
      </c>
      <c r="C28" s="39" t="s">
        <v>156</v>
      </c>
      <c r="D28" s="39" t="s">
        <v>190</v>
      </c>
    </row>
    <row r="29">
      <c r="A29" s="39" t="s">
        <v>192</v>
      </c>
      <c r="B29" s="39" t="s">
        <v>152</v>
      </c>
      <c r="C29" s="39" t="s">
        <v>158</v>
      </c>
      <c r="D29" s="39" t="s">
        <v>190</v>
      </c>
    </row>
    <row r="30">
      <c r="A30" s="39" t="s">
        <v>193</v>
      </c>
      <c r="B30" s="39" t="s">
        <v>152</v>
      </c>
      <c r="C30" s="39" t="s">
        <v>160</v>
      </c>
      <c r="D30" s="39" t="s">
        <v>190</v>
      </c>
    </row>
    <row r="31">
      <c r="A31" s="39" t="s">
        <v>194</v>
      </c>
      <c r="B31" s="39" t="s">
        <v>152</v>
      </c>
      <c r="C31" s="39" t="s">
        <v>162</v>
      </c>
      <c r="D31" s="39" t="s">
        <v>190</v>
      </c>
    </row>
    <row r="32">
      <c r="A32" s="39" t="s">
        <v>195</v>
      </c>
      <c r="B32" s="39" t="s">
        <v>152</v>
      </c>
      <c r="C32" s="39" t="s">
        <v>164</v>
      </c>
      <c r="D32" s="39" t="s">
        <v>190</v>
      </c>
    </row>
    <row r="33">
      <c r="A33" s="39" t="s">
        <v>196</v>
      </c>
      <c r="B33" s="39" t="s">
        <v>152</v>
      </c>
      <c r="C33" s="39" t="s">
        <v>166</v>
      </c>
      <c r="D33" s="39" t="s">
        <v>190</v>
      </c>
    </row>
    <row r="34">
      <c r="A34" s="39" t="s">
        <v>197</v>
      </c>
      <c r="B34" s="39" t="s">
        <v>152</v>
      </c>
      <c r="C34" s="39" t="s">
        <v>168</v>
      </c>
      <c r="D34" s="39" t="s">
        <v>190</v>
      </c>
    </row>
    <row r="35">
      <c r="A35" s="39" t="s">
        <v>198</v>
      </c>
      <c r="B35" s="39" t="s">
        <v>152</v>
      </c>
      <c r="C35" s="39" t="s">
        <v>170</v>
      </c>
      <c r="D35" s="39" t="s">
        <v>190</v>
      </c>
    </row>
    <row r="36">
      <c r="A36" s="39" t="s">
        <v>199</v>
      </c>
      <c r="B36" s="39" t="s">
        <v>152</v>
      </c>
      <c r="C36" s="39" t="s">
        <v>172</v>
      </c>
      <c r="D36" s="39" t="s">
        <v>190</v>
      </c>
    </row>
    <row r="37">
      <c r="A37" s="39" t="s">
        <v>200</v>
      </c>
      <c r="B37" s="39" t="s">
        <v>152</v>
      </c>
      <c r="C37" s="39" t="s">
        <v>174</v>
      </c>
      <c r="D37" s="39" t="s">
        <v>190</v>
      </c>
    </row>
    <row r="38">
      <c r="A38" s="39" t="s">
        <v>201</v>
      </c>
      <c r="B38" s="39"/>
      <c r="C38" s="39"/>
      <c r="D38" s="39"/>
    </row>
    <row r="39">
      <c r="A39" s="39" t="s">
        <v>202</v>
      </c>
      <c r="B39" s="39" t="s">
        <v>152</v>
      </c>
      <c r="C39" s="39" t="s">
        <v>203</v>
      </c>
      <c r="D39" s="39" t="s">
        <v>204</v>
      </c>
    </row>
    <row r="40">
      <c r="A40" s="39" t="s">
        <v>205</v>
      </c>
      <c r="B40" s="39" t="s">
        <v>152</v>
      </c>
      <c r="C40" s="39" t="s">
        <v>203</v>
      </c>
      <c r="D40" s="39" t="s">
        <v>206</v>
      </c>
    </row>
    <row r="41">
      <c r="A41" s="39" t="s">
        <v>207</v>
      </c>
      <c r="B41" s="39" t="s">
        <v>152</v>
      </c>
      <c r="C41" s="39" t="s">
        <v>203</v>
      </c>
      <c r="D41" s="39" t="s">
        <v>208</v>
      </c>
    </row>
    <row r="42">
      <c r="A42" s="39" t="s">
        <v>209</v>
      </c>
      <c r="B42" s="39" t="s">
        <v>152</v>
      </c>
      <c r="C42" s="39" t="s">
        <v>203</v>
      </c>
      <c r="D42" s="39" t="s">
        <v>210</v>
      </c>
    </row>
    <row r="43">
      <c r="A43" s="39" t="s">
        <v>211</v>
      </c>
      <c r="B43" s="39" t="s">
        <v>152</v>
      </c>
      <c r="C43" s="39" t="s">
        <v>203</v>
      </c>
      <c r="D43" s="39" t="s">
        <v>212</v>
      </c>
    </row>
    <row r="44">
      <c r="A44" s="39" t="s">
        <v>213</v>
      </c>
      <c r="B44" s="39" t="s">
        <v>152</v>
      </c>
      <c r="C44" s="39" t="s">
        <v>176</v>
      </c>
      <c r="D44" s="39" t="s">
        <v>214</v>
      </c>
    </row>
    <row r="45">
      <c r="A45" s="39" t="s">
        <v>215</v>
      </c>
      <c r="B45" s="39" t="s">
        <v>152</v>
      </c>
      <c r="C45" s="39" t="s">
        <v>203</v>
      </c>
      <c r="D45" s="39" t="s">
        <v>216</v>
      </c>
    </row>
    <row r="46">
      <c r="A46" s="39" t="s">
        <v>217</v>
      </c>
      <c r="B46" s="39" t="s">
        <v>152</v>
      </c>
      <c r="C46" s="39" t="s">
        <v>203</v>
      </c>
      <c r="D46" s="39" t="s">
        <v>218</v>
      </c>
    </row>
    <row r="47">
      <c r="A47" s="39" t="s">
        <v>219</v>
      </c>
      <c r="B47" s="39" t="s">
        <v>152</v>
      </c>
      <c r="C47" s="39" t="s">
        <v>203</v>
      </c>
      <c r="D47" s="39" t="s">
        <v>220</v>
      </c>
    </row>
    <row r="48">
      <c r="A48" s="39" t="s">
        <v>221</v>
      </c>
      <c r="B48" s="39" t="s">
        <v>152</v>
      </c>
      <c r="C48" s="39" t="s">
        <v>203</v>
      </c>
      <c r="D48" s="39" t="s">
        <v>222</v>
      </c>
    </row>
    <row r="49">
      <c r="A49" s="39" t="s">
        <v>223</v>
      </c>
      <c r="B49" s="39" t="s">
        <v>152</v>
      </c>
      <c r="C49" s="39" t="s">
        <v>203</v>
      </c>
      <c r="D49" s="39" t="s">
        <v>224</v>
      </c>
    </row>
    <row r="50">
      <c r="A50" s="39" t="s">
        <v>225</v>
      </c>
      <c r="B50" s="39" t="s">
        <v>152</v>
      </c>
      <c r="C50" s="39" t="s">
        <v>203</v>
      </c>
      <c r="D50" s="39" t="s">
        <v>226</v>
      </c>
    </row>
    <row r="51">
      <c r="A51" s="39" t="s">
        <v>227</v>
      </c>
      <c r="B51" s="39" t="s">
        <v>152</v>
      </c>
      <c r="C51" s="39" t="s">
        <v>203</v>
      </c>
      <c r="D51" s="39" t="s">
        <v>228</v>
      </c>
    </row>
    <row r="52">
      <c r="A52" s="39" t="s">
        <v>229</v>
      </c>
      <c r="B52" s="39" t="s">
        <v>152</v>
      </c>
      <c r="C52" s="39" t="s">
        <v>203</v>
      </c>
      <c r="D52" s="39" t="s">
        <v>230</v>
      </c>
    </row>
    <row r="53">
      <c r="A53" s="39" t="s">
        <v>231</v>
      </c>
      <c r="B53" s="39" t="s">
        <v>152</v>
      </c>
      <c r="C53" s="39" t="s">
        <v>203</v>
      </c>
      <c r="D53" s="39" t="s">
        <v>232</v>
      </c>
    </row>
    <row r="54">
      <c r="A54" s="39" t="s">
        <v>136</v>
      </c>
      <c r="B54" s="39" t="s">
        <v>152</v>
      </c>
      <c r="C54" s="39" t="s">
        <v>203</v>
      </c>
      <c r="D54" s="39" t="s">
        <v>233</v>
      </c>
    </row>
    <row r="55">
      <c r="A55" s="39" t="s">
        <v>234</v>
      </c>
      <c r="B55" s="39" t="s">
        <v>152</v>
      </c>
      <c r="C55" s="39" t="s">
        <v>203</v>
      </c>
      <c r="D55" s="39" t="s">
        <v>235</v>
      </c>
    </row>
    <row r="56">
      <c r="A56" s="39" t="s">
        <v>236</v>
      </c>
      <c r="B56" s="39" t="s">
        <v>152</v>
      </c>
      <c r="C56" s="39" t="s">
        <v>203</v>
      </c>
      <c r="D56" s="39" t="s">
        <v>237</v>
      </c>
    </row>
    <row r="57">
      <c r="A57" s="39" t="s">
        <v>238</v>
      </c>
      <c r="B57" s="39" t="s">
        <v>152</v>
      </c>
      <c r="C57" s="39" t="s">
        <v>203</v>
      </c>
      <c r="D57" s="39" t="s">
        <v>239</v>
      </c>
    </row>
    <row r="58">
      <c r="A58" s="39" t="s">
        <v>240</v>
      </c>
      <c r="B58" s="39" t="s">
        <v>152</v>
      </c>
      <c r="C58" s="39" t="s">
        <v>176</v>
      </c>
      <c r="D58" s="39" t="s">
        <v>241</v>
      </c>
    </row>
    <row r="59">
      <c r="A59" s="39" t="s">
        <v>242</v>
      </c>
      <c r="B59" s="39" t="s">
        <v>152</v>
      </c>
      <c r="C59" s="39" t="s">
        <v>203</v>
      </c>
      <c r="D59" s="39" t="s">
        <v>243</v>
      </c>
    </row>
    <row r="60">
      <c r="A60" s="39" t="s">
        <v>244</v>
      </c>
      <c r="B60" s="39" t="s">
        <v>152</v>
      </c>
      <c r="C60" s="39" t="s">
        <v>203</v>
      </c>
      <c r="D60" s="39" t="s">
        <v>245</v>
      </c>
    </row>
    <row r="61">
      <c r="A61" s="39" t="s">
        <v>246</v>
      </c>
      <c r="B61" s="39" t="s">
        <v>152</v>
      </c>
      <c r="C61" s="39" t="s">
        <v>203</v>
      </c>
      <c r="D61" s="39" t="s">
        <v>247</v>
      </c>
    </row>
    <row r="62">
      <c r="A62" s="39" t="s">
        <v>248</v>
      </c>
      <c r="B62" s="39" t="s">
        <v>152</v>
      </c>
      <c r="C62" s="39" t="s">
        <v>203</v>
      </c>
      <c r="D62" s="39" t="s">
        <v>249</v>
      </c>
    </row>
    <row r="63">
      <c r="A63" s="39" t="s">
        <v>250</v>
      </c>
      <c r="B63" s="39" t="s">
        <v>152</v>
      </c>
      <c r="C63" s="39" t="s">
        <v>203</v>
      </c>
      <c r="D63" s="39" t="s">
        <v>251</v>
      </c>
    </row>
    <row r="64">
      <c r="A64" s="39" t="s">
        <v>252</v>
      </c>
      <c r="B64" s="39" t="s">
        <v>152</v>
      </c>
      <c r="C64" s="39" t="s">
        <v>203</v>
      </c>
      <c r="D64" s="39" t="s">
        <v>253</v>
      </c>
    </row>
    <row r="65">
      <c r="A65" s="39" t="s">
        <v>254</v>
      </c>
      <c r="B65" s="39" t="s">
        <v>152</v>
      </c>
      <c r="C65" s="39" t="s">
        <v>255</v>
      </c>
      <c r="D65" s="39" t="s">
        <v>256</v>
      </c>
    </row>
    <row r="66">
      <c r="A66" s="39" t="s">
        <v>257</v>
      </c>
      <c r="B66" s="39" t="s">
        <v>152</v>
      </c>
      <c r="C66" s="39" t="s">
        <v>203</v>
      </c>
      <c r="D66" s="39" t="s">
        <v>258</v>
      </c>
    </row>
    <row r="67">
      <c r="A67" s="39" t="s">
        <v>259</v>
      </c>
      <c r="B67" s="39" t="s">
        <v>152</v>
      </c>
      <c r="C67" s="39" t="s">
        <v>203</v>
      </c>
      <c r="D67" s="39" t="s">
        <v>260</v>
      </c>
    </row>
    <row r="68">
      <c r="A68" s="39" t="s">
        <v>261</v>
      </c>
      <c r="B68" s="39" t="s">
        <v>152</v>
      </c>
      <c r="C68" s="39" t="s">
        <v>255</v>
      </c>
      <c r="D68" s="39"/>
    </row>
    <row r="69">
      <c r="A69" s="39" t="s">
        <v>262</v>
      </c>
      <c r="B69" s="39" t="s">
        <v>152</v>
      </c>
      <c r="C69" s="39" t="s">
        <v>176</v>
      </c>
      <c r="D69" s="39" t="s">
        <v>263</v>
      </c>
    </row>
    <row r="70">
      <c r="A70" s="39" t="s">
        <v>264</v>
      </c>
      <c r="B70" s="39" t="s">
        <v>152</v>
      </c>
      <c r="C70" s="39" t="s">
        <v>203</v>
      </c>
      <c r="D70" s="39" t="s">
        <v>265</v>
      </c>
    </row>
    <row r="71">
      <c r="A71" s="39" t="s">
        <v>266</v>
      </c>
      <c r="B71" s="39" t="s">
        <v>152</v>
      </c>
      <c r="C71" s="39" t="s">
        <v>203</v>
      </c>
      <c r="D71" s="39" t="s">
        <v>267</v>
      </c>
    </row>
    <row r="72">
      <c r="A72" s="39" t="s">
        <v>268</v>
      </c>
      <c r="B72" s="39" t="s">
        <v>152</v>
      </c>
      <c r="C72" s="39" t="s">
        <v>203</v>
      </c>
      <c r="D72" s="39" t="s">
        <v>269</v>
      </c>
    </row>
    <row r="73">
      <c r="A73" s="39" t="s">
        <v>270</v>
      </c>
      <c r="B73" s="39" t="s">
        <v>152</v>
      </c>
      <c r="C73" s="39" t="s">
        <v>203</v>
      </c>
      <c r="D73" s="39" t="s">
        <v>271</v>
      </c>
    </row>
    <row r="74">
      <c r="A74" s="39" t="s">
        <v>272</v>
      </c>
      <c r="B74" s="39" t="s">
        <v>152</v>
      </c>
      <c r="C74" s="39" t="s">
        <v>203</v>
      </c>
      <c r="D74" s="39" t="s">
        <v>263</v>
      </c>
    </row>
    <row r="75">
      <c r="A75" s="39" t="s">
        <v>273</v>
      </c>
      <c r="B75" s="39" t="s">
        <v>152</v>
      </c>
      <c r="C75" s="39" t="s">
        <v>203</v>
      </c>
      <c r="D75" s="39" t="s">
        <v>274</v>
      </c>
    </row>
    <row r="76">
      <c r="A76" s="39" t="s">
        <v>275</v>
      </c>
      <c r="B76" s="39" t="s">
        <v>152</v>
      </c>
      <c r="C76" s="39" t="s">
        <v>203</v>
      </c>
      <c r="D76" s="39" t="s">
        <v>276</v>
      </c>
    </row>
    <row r="77">
      <c r="A77" s="39" t="s">
        <v>277</v>
      </c>
      <c r="B77" s="39" t="s">
        <v>152</v>
      </c>
      <c r="C77" s="39" t="s">
        <v>203</v>
      </c>
      <c r="D77" s="39" t="s">
        <v>278</v>
      </c>
    </row>
    <row r="78">
      <c r="A78" s="39" t="s">
        <v>279</v>
      </c>
      <c r="B78" s="39" t="s">
        <v>152</v>
      </c>
      <c r="C78" s="39" t="s">
        <v>203</v>
      </c>
      <c r="D78" s="39" t="s">
        <v>280</v>
      </c>
    </row>
    <row r="79">
      <c r="A79" s="39" t="s">
        <v>281</v>
      </c>
      <c r="B79" s="39" t="s">
        <v>152</v>
      </c>
      <c r="C79" s="39" t="s">
        <v>203</v>
      </c>
      <c r="D79" s="39" t="s">
        <v>282</v>
      </c>
    </row>
    <row r="80">
      <c r="A80" s="39" t="s">
        <v>283</v>
      </c>
      <c r="B80" s="39"/>
      <c r="C80" s="39"/>
      <c r="D80" s="39"/>
    </row>
    <row r="81">
      <c r="A81" s="39" t="s">
        <v>284</v>
      </c>
      <c r="B81" s="39" t="s">
        <v>152</v>
      </c>
      <c r="C81" s="39" t="s">
        <v>176</v>
      </c>
      <c r="D81" s="39" t="s">
        <v>285</v>
      </c>
    </row>
    <row r="82">
      <c r="A82" s="39" t="s">
        <v>286</v>
      </c>
      <c r="B82" s="39" t="s">
        <v>152</v>
      </c>
      <c r="C82" s="39" t="s">
        <v>203</v>
      </c>
      <c r="D82" s="39" t="s">
        <v>287</v>
      </c>
    </row>
    <row r="83">
      <c r="A83" s="39" t="s">
        <v>288</v>
      </c>
      <c r="B83" s="39" t="s">
        <v>152</v>
      </c>
      <c r="C83" s="39" t="s">
        <v>203</v>
      </c>
      <c r="D83" s="39" t="s">
        <v>289</v>
      </c>
    </row>
    <row r="84">
      <c r="A84" s="39" t="s">
        <v>290</v>
      </c>
      <c r="B84" s="39" t="s">
        <v>152</v>
      </c>
      <c r="C84" s="39" t="s">
        <v>203</v>
      </c>
      <c r="D84" s="39" t="s">
        <v>291</v>
      </c>
    </row>
    <row r="85">
      <c r="A85" s="39" t="s">
        <v>292</v>
      </c>
      <c r="B85" s="39" t="s">
        <v>152</v>
      </c>
      <c r="C85" s="39" t="s">
        <v>203</v>
      </c>
      <c r="D85" s="39" t="s">
        <v>293</v>
      </c>
    </row>
    <row r="86">
      <c r="A86" s="39" t="s">
        <v>294</v>
      </c>
      <c r="B86" s="39" t="s">
        <v>152</v>
      </c>
      <c r="C86" s="39" t="s">
        <v>255</v>
      </c>
      <c r="D86" s="39" t="s">
        <v>295</v>
      </c>
    </row>
    <row r="87">
      <c r="A87" s="39" t="s">
        <v>296</v>
      </c>
      <c r="B87" s="39" t="s">
        <v>152</v>
      </c>
      <c r="C87" s="39" t="s">
        <v>203</v>
      </c>
      <c r="D87" s="39" t="s">
        <v>297</v>
      </c>
    </row>
    <row r="88">
      <c r="A88" s="39" t="s">
        <v>298</v>
      </c>
      <c r="B88" s="39"/>
      <c r="C88" s="39"/>
      <c r="D88" s="39"/>
    </row>
    <row r="89">
      <c r="A89" s="39" t="s">
        <v>299</v>
      </c>
      <c r="B89" s="39" t="s">
        <v>300</v>
      </c>
      <c r="C89" s="39"/>
      <c r="D89" s="39"/>
    </row>
    <row r="90">
      <c r="A90" s="39" t="s">
        <v>301</v>
      </c>
      <c r="B90" s="39" t="s">
        <v>300</v>
      </c>
      <c r="C90" s="39"/>
      <c r="D90" s="39"/>
    </row>
    <row r="91">
      <c r="A91" s="39" t="s">
        <v>302</v>
      </c>
      <c r="B91" s="39" t="s">
        <v>300</v>
      </c>
      <c r="C91" s="39"/>
      <c r="D91" s="39"/>
    </row>
    <row r="92">
      <c r="A92" s="39" t="s">
        <v>138</v>
      </c>
      <c r="B92" s="39" t="s">
        <v>300</v>
      </c>
      <c r="C92" s="39"/>
      <c r="D92" s="39"/>
    </row>
    <row r="93">
      <c r="A93" s="39" t="s">
        <v>303</v>
      </c>
      <c r="B93" s="39" t="s">
        <v>300</v>
      </c>
      <c r="C93" s="39"/>
      <c r="D93" s="39"/>
    </row>
    <row r="94">
      <c r="A94" s="39" t="s">
        <v>304</v>
      </c>
      <c r="B94" s="39" t="s">
        <v>300</v>
      </c>
      <c r="C94" s="39"/>
      <c r="D94" s="39"/>
    </row>
    <row r="95">
      <c r="A95" s="39" t="s">
        <v>305</v>
      </c>
      <c r="B95" s="39" t="s">
        <v>300</v>
      </c>
      <c r="C95" s="39"/>
      <c r="D95" s="39"/>
    </row>
    <row r="96">
      <c r="A96" s="39" t="s">
        <v>306</v>
      </c>
      <c r="B96" s="39" t="s">
        <v>300</v>
      </c>
      <c r="C96" s="39"/>
      <c r="D96" s="39"/>
    </row>
    <row r="97">
      <c r="A97" s="39" t="s">
        <v>307</v>
      </c>
      <c r="B97" s="39" t="s">
        <v>300</v>
      </c>
      <c r="C97" s="39"/>
      <c r="D97" s="39"/>
    </row>
    <row r="98">
      <c r="A98" s="39" t="s">
        <v>308</v>
      </c>
      <c r="B98" s="39" t="s">
        <v>300</v>
      </c>
      <c r="C98" s="39"/>
      <c r="D98" s="39"/>
    </row>
    <row r="99">
      <c r="A99" s="39" t="s">
        <v>309</v>
      </c>
      <c r="B99" s="39" t="s">
        <v>300</v>
      </c>
      <c r="C99" s="39"/>
      <c r="D99" s="39"/>
    </row>
    <row r="100">
      <c r="A100" s="39" t="s">
        <v>310</v>
      </c>
      <c r="B100" s="39" t="s">
        <v>300</v>
      </c>
      <c r="C100" s="39"/>
      <c r="D100" s="39"/>
    </row>
    <row r="101">
      <c r="A101" s="39" t="s">
        <v>311</v>
      </c>
      <c r="B101" s="39" t="s">
        <v>300</v>
      </c>
      <c r="C101" s="39"/>
      <c r="D101" s="39"/>
    </row>
    <row r="102">
      <c r="A102" s="39" t="s">
        <v>312</v>
      </c>
      <c r="B102" s="39" t="s">
        <v>300</v>
      </c>
      <c r="C102" s="39"/>
      <c r="D102" s="39" t="s">
        <v>313</v>
      </c>
    </row>
    <row r="103">
      <c r="A103" s="39" t="s">
        <v>314</v>
      </c>
      <c r="B103" s="39" t="s">
        <v>300</v>
      </c>
      <c r="C103" s="39"/>
      <c r="D103" s="39"/>
    </row>
    <row r="104">
      <c r="A104" s="39" t="s">
        <v>315</v>
      </c>
      <c r="B104" s="39" t="s">
        <v>300</v>
      </c>
      <c r="C104" s="39"/>
      <c r="D104" s="39"/>
    </row>
    <row r="105">
      <c r="A105" s="39" t="s">
        <v>316</v>
      </c>
      <c r="B105" s="39" t="s">
        <v>300</v>
      </c>
      <c r="C105" s="39"/>
      <c r="D105" s="39" t="s">
        <v>317</v>
      </c>
    </row>
    <row r="106">
      <c r="A106" s="39" t="s">
        <v>318</v>
      </c>
      <c r="B106" s="39" t="s">
        <v>300</v>
      </c>
      <c r="C106" s="39"/>
      <c r="D106" s="39" t="s">
        <v>319</v>
      </c>
    </row>
    <row r="107">
      <c r="A107" s="39" t="s">
        <v>320</v>
      </c>
      <c r="B107" s="39" t="s">
        <v>300</v>
      </c>
      <c r="C107" s="39"/>
      <c r="D107" s="39"/>
    </row>
    <row r="108">
      <c r="A108" s="39" t="s">
        <v>321</v>
      </c>
      <c r="B108" s="39" t="s">
        <v>300</v>
      </c>
      <c r="C108" s="39"/>
      <c r="D108" s="39"/>
    </row>
    <row r="109">
      <c r="A109" s="39" t="s">
        <v>322</v>
      </c>
      <c r="B109" s="39" t="s">
        <v>300</v>
      </c>
      <c r="C109" s="39"/>
      <c r="D109" s="39" t="s">
        <v>323</v>
      </c>
    </row>
    <row r="110">
      <c r="A110" s="39" t="s">
        <v>324</v>
      </c>
      <c r="B110" s="39" t="s">
        <v>300</v>
      </c>
      <c r="C110" s="39"/>
      <c r="D110" s="39" t="s">
        <v>325</v>
      </c>
    </row>
    <row r="111">
      <c r="A111" s="39" t="s">
        <v>326</v>
      </c>
      <c r="B111" s="39" t="s">
        <v>300</v>
      </c>
      <c r="C111" s="39"/>
      <c r="D111" s="39" t="s">
        <v>327</v>
      </c>
    </row>
    <row r="112">
      <c r="A112" s="39" t="s">
        <v>328</v>
      </c>
      <c r="B112" s="39" t="s">
        <v>300</v>
      </c>
      <c r="C112" s="39"/>
      <c r="D112" s="39" t="s">
        <v>329</v>
      </c>
    </row>
    <row r="113">
      <c r="A113" s="39" t="s">
        <v>330</v>
      </c>
      <c r="B113" s="39" t="s">
        <v>300</v>
      </c>
      <c r="C113" s="39"/>
      <c r="D113" s="39" t="s">
        <v>331</v>
      </c>
    </row>
    <row r="114">
      <c r="A114" s="39" t="s">
        <v>332</v>
      </c>
      <c r="B114" s="39" t="s">
        <v>300</v>
      </c>
      <c r="C114" s="39"/>
      <c r="D114" s="39" t="s">
        <v>333</v>
      </c>
    </row>
    <row r="115">
      <c r="A115" s="39" t="s">
        <v>334</v>
      </c>
      <c r="B115" s="39" t="s">
        <v>300</v>
      </c>
      <c r="C115" s="39"/>
      <c r="D115" s="39" t="s">
        <v>335</v>
      </c>
    </row>
    <row r="116">
      <c r="A116" s="39" t="s">
        <v>336</v>
      </c>
      <c r="B116" s="39" t="s">
        <v>300</v>
      </c>
      <c r="C116" s="39"/>
      <c r="D116" s="39" t="s">
        <v>337</v>
      </c>
    </row>
    <row r="117">
      <c r="A117" s="39" t="s">
        <v>338</v>
      </c>
      <c r="B117" s="39" t="s">
        <v>300</v>
      </c>
      <c r="C117" s="39"/>
      <c r="D117" s="39" t="s">
        <v>339</v>
      </c>
    </row>
    <row r="118">
      <c r="A118" s="39" t="s">
        <v>340</v>
      </c>
      <c r="B118" s="39" t="s">
        <v>300</v>
      </c>
      <c r="C118" s="39"/>
      <c r="D118" s="39" t="s">
        <v>341</v>
      </c>
    </row>
    <row r="119">
      <c r="A119" s="39" t="s">
        <v>342</v>
      </c>
      <c r="B119" s="39" t="s">
        <v>300</v>
      </c>
      <c r="C119" s="39"/>
      <c r="D119" s="39" t="s">
        <v>343</v>
      </c>
    </row>
    <row r="120">
      <c r="A120" s="39" t="s">
        <v>344</v>
      </c>
      <c r="B120" s="39" t="s">
        <v>300</v>
      </c>
      <c r="C120" s="39"/>
      <c r="D120" s="39" t="s">
        <v>345</v>
      </c>
    </row>
    <row r="121">
      <c r="A121" s="39" t="s">
        <v>346</v>
      </c>
      <c r="B121" s="39" t="s">
        <v>300</v>
      </c>
      <c r="C121" s="39"/>
      <c r="D121" s="39"/>
    </row>
    <row r="122">
      <c r="A122" s="39" t="s">
        <v>347</v>
      </c>
      <c r="B122" s="39" t="s">
        <v>300</v>
      </c>
      <c r="C122" s="39"/>
      <c r="D122" s="39"/>
    </row>
    <row r="123">
      <c r="A123" s="39" t="s">
        <v>348</v>
      </c>
      <c r="B123" s="39" t="s">
        <v>300</v>
      </c>
      <c r="C123" s="39"/>
      <c r="D123" s="39"/>
    </row>
    <row r="124">
      <c r="A124" s="39" t="s">
        <v>349</v>
      </c>
      <c r="B124" s="39" t="s">
        <v>300</v>
      </c>
      <c r="C124" s="39"/>
      <c r="D124" s="39"/>
    </row>
    <row r="125">
      <c r="A125" s="39" t="s">
        <v>350</v>
      </c>
      <c r="B125" s="39" t="s">
        <v>300</v>
      </c>
      <c r="C125" s="39"/>
      <c r="D125" s="39"/>
    </row>
    <row r="126">
      <c r="A126" s="39" t="s">
        <v>351</v>
      </c>
      <c r="B126" s="39" t="s">
        <v>300</v>
      </c>
      <c r="C126" s="39"/>
      <c r="D126" s="39"/>
    </row>
    <row r="127">
      <c r="A127" s="39" t="s">
        <v>352</v>
      </c>
      <c r="B127" s="39" t="s">
        <v>300</v>
      </c>
      <c r="C127" s="39"/>
      <c r="D127" s="39"/>
    </row>
    <row r="128">
      <c r="A128" s="39" t="s">
        <v>353</v>
      </c>
      <c r="B128" s="39" t="s">
        <v>300</v>
      </c>
      <c r="C128" s="39"/>
      <c r="D128" s="39"/>
    </row>
    <row r="129">
      <c r="A129" s="39" t="s">
        <v>354</v>
      </c>
      <c r="B129" s="39" t="s">
        <v>300</v>
      </c>
      <c r="C129" s="39"/>
      <c r="D129" s="39" t="s">
        <v>355</v>
      </c>
    </row>
    <row r="130">
      <c r="A130" s="39" t="s">
        <v>356</v>
      </c>
      <c r="B130" s="39" t="s">
        <v>300</v>
      </c>
      <c r="C130" s="39"/>
      <c r="D130" s="39" t="s">
        <v>357</v>
      </c>
    </row>
    <row r="131">
      <c r="A131" s="39" t="s">
        <v>358</v>
      </c>
      <c r="B131" s="39" t="s">
        <v>300</v>
      </c>
      <c r="C131" s="39"/>
      <c r="D131" s="39" t="s">
        <v>359</v>
      </c>
    </row>
    <row r="132">
      <c r="A132" s="39" t="s">
        <v>360</v>
      </c>
      <c r="B132" s="39" t="s">
        <v>300</v>
      </c>
      <c r="C132" s="39"/>
      <c r="D132" s="39"/>
    </row>
    <row r="133">
      <c r="A133" s="39" t="s">
        <v>361</v>
      </c>
      <c r="B133" s="39" t="s">
        <v>300</v>
      </c>
      <c r="C133" s="39"/>
      <c r="D133" s="39"/>
    </row>
    <row r="134">
      <c r="A134" s="39" t="s">
        <v>362</v>
      </c>
      <c r="B134" s="39" t="s">
        <v>300</v>
      </c>
      <c r="C134" s="39"/>
      <c r="D134" s="39"/>
    </row>
    <row r="135">
      <c r="A135" s="39" t="s">
        <v>363</v>
      </c>
      <c r="B135" s="39" t="s">
        <v>300</v>
      </c>
      <c r="C135" s="39"/>
      <c r="D135" s="39"/>
    </row>
    <row r="136">
      <c r="A136" s="39" t="s">
        <v>364</v>
      </c>
      <c r="B136" s="39" t="s">
        <v>300</v>
      </c>
      <c r="C136" s="39"/>
      <c r="D136" s="39" t="s">
        <v>365</v>
      </c>
    </row>
    <row r="137">
      <c r="A137" s="39" t="s">
        <v>366</v>
      </c>
      <c r="B137" s="39" t="s">
        <v>300</v>
      </c>
      <c r="C137" s="39"/>
      <c r="D137" s="39" t="s">
        <v>367</v>
      </c>
    </row>
    <row r="138">
      <c r="A138" s="39" t="s">
        <v>368</v>
      </c>
      <c r="B138" s="39"/>
      <c r="C138" s="39"/>
      <c r="D138" s="39"/>
    </row>
    <row r="139">
      <c r="A139" s="39" t="s">
        <v>369</v>
      </c>
      <c r="B139" s="39" t="s">
        <v>300</v>
      </c>
      <c r="C139" s="39"/>
      <c r="D139" s="39"/>
    </row>
    <row r="140">
      <c r="A140" s="39" t="s">
        <v>370</v>
      </c>
      <c r="B140" s="39" t="s">
        <v>300</v>
      </c>
      <c r="C140" s="39"/>
      <c r="D140" s="39"/>
    </row>
    <row r="141">
      <c r="A141" s="39" t="s">
        <v>371</v>
      </c>
      <c r="B141" s="39" t="s">
        <v>300</v>
      </c>
      <c r="C141" s="39"/>
      <c r="D141" s="39"/>
    </row>
    <row r="142">
      <c r="A142" s="39" t="s">
        <v>372</v>
      </c>
      <c r="B142" s="39" t="s">
        <v>300</v>
      </c>
      <c r="C142" s="39"/>
      <c r="D142" s="39"/>
    </row>
    <row r="143">
      <c r="A143" s="39" t="s">
        <v>373</v>
      </c>
      <c r="B143" s="39" t="s">
        <v>300</v>
      </c>
      <c r="C143" s="39"/>
      <c r="D143" s="39"/>
    </row>
    <row r="144">
      <c r="A144" s="39" t="s">
        <v>374</v>
      </c>
      <c r="B144" s="39" t="s">
        <v>300</v>
      </c>
      <c r="C144" s="39"/>
      <c r="D144" s="39"/>
    </row>
    <row r="145">
      <c r="A145" s="39" t="s">
        <v>375</v>
      </c>
      <c r="B145" s="39"/>
      <c r="C145" s="39"/>
      <c r="D145" s="39"/>
    </row>
    <row r="146">
      <c r="A146" s="39" t="s">
        <v>376</v>
      </c>
      <c r="B146" s="39" t="s">
        <v>300</v>
      </c>
      <c r="C146" s="39"/>
      <c r="D146" s="39" t="s">
        <v>377</v>
      </c>
    </row>
    <row r="147">
      <c r="A147" s="39" t="s">
        <v>378</v>
      </c>
      <c r="B147" s="39" t="s">
        <v>300</v>
      </c>
      <c r="C147" s="39"/>
      <c r="D147" s="39" t="s">
        <v>379</v>
      </c>
    </row>
    <row r="148">
      <c r="A148" s="39" t="s">
        <v>380</v>
      </c>
      <c r="B148" s="39" t="s">
        <v>300</v>
      </c>
      <c r="C148" s="39"/>
      <c r="D148" s="39" t="s">
        <v>381</v>
      </c>
    </row>
    <row r="149">
      <c r="A149" s="39" t="s">
        <v>382</v>
      </c>
      <c r="B149" s="39" t="s">
        <v>300</v>
      </c>
      <c r="C149" s="39"/>
      <c r="D149" s="39" t="s">
        <v>383</v>
      </c>
    </row>
    <row r="150">
      <c r="A150" s="39" t="s">
        <v>384</v>
      </c>
      <c r="B150" s="39" t="s">
        <v>300</v>
      </c>
      <c r="C150" s="39"/>
      <c r="D150" s="39" t="s">
        <v>385</v>
      </c>
    </row>
    <row r="151">
      <c r="A151" s="39" t="s">
        <v>386</v>
      </c>
      <c r="B151" s="39" t="s">
        <v>300</v>
      </c>
      <c r="C151" s="39"/>
      <c r="D151" s="39" t="s">
        <v>387</v>
      </c>
    </row>
    <row r="152">
      <c r="A152" s="39" t="s">
        <v>388</v>
      </c>
      <c r="B152" s="39" t="s">
        <v>300</v>
      </c>
      <c r="C152" s="39"/>
      <c r="D152" s="39" t="s">
        <v>389</v>
      </c>
    </row>
    <row r="153">
      <c r="A153" s="39" t="s">
        <v>390</v>
      </c>
      <c r="B153" s="39" t="s">
        <v>300</v>
      </c>
      <c r="C153" s="39"/>
      <c r="D153" s="39" t="s">
        <v>391</v>
      </c>
    </row>
    <row r="154">
      <c r="A154" s="39" t="s">
        <v>392</v>
      </c>
      <c r="B154" s="39" t="s">
        <v>300</v>
      </c>
      <c r="C154" s="39"/>
      <c r="D154" s="39" t="s">
        <v>393</v>
      </c>
    </row>
    <row r="155">
      <c r="A155" s="39" t="s">
        <v>394</v>
      </c>
      <c r="B155" s="39" t="s">
        <v>300</v>
      </c>
      <c r="C155" s="39"/>
      <c r="D155" s="39" t="s">
        <v>395</v>
      </c>
    </row>
    <row r="156">
      <c r="A156" s="39" t="s">
        <v>396</v>
      </c>
      <c r="B156" s="39" t="s">
        <v>300</v>
      </c>
      <c r="C156" s="39"/>
      <c r="D156" s="39" t="s">
        <v>397</v>
      </c>
    </row>
  </sheetData>
</worksheet>
</file>